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4385" yWindow="-15" windowWidth="14430" windowHeight="12570" tabRatio="899" firstSheet="21"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比较法-住宅" sheetId="21" r:id="rId41"/>
    <sheet name="比较法-仓储" sheetId="36" r:id="rId42"/>
    <sheet name="比较法-车位" sheetId="35" r:id="rId43"/>
    <sheet name="土地成交案例" sheetId="90" r:id="rId44"/>
    <sheet name="中指住宅" sheetId="101" r:id="rId45"/>
    <sheet name="中指仓储" sheetId="103" r:id="rId46"/>
    <sheet name="山澜阙府" sheetId="86" r:id="rId47"/>
    <sheet name="上源府" sheetId="85" r:id="rId48"/>
    <sheet name="山澜赋" sheetId="100" r:id="rId49"/>
    <sheet name="世园村" sheetId="84" r:id="rId50"/>
    <sheet name="山澜樾府" sheetId="102" r:id="rId51"/>
    <sheet name="碧桂园·世奥龙鼎" sheetId="87" r:id="rId52"/>
    <sheet name="车位销售" sheetId="109"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state="hidden" r:id="rId59"/>
    <sheet name="地价" sheetId="71" state="hidden" r:id="rId60"/>
    <sheet name="区片价" sheetId="44" state="hidden" r:id="rId61"/>
    <sheet name="存贷款利率" sheetId="73" state="hidden" r:id="rId62"/>
  </sheets>
  <externalReferences>
    <externalReference r:id="rId63"/>
    <externalReference r:id="rId64"/>
    <externalReference r:id="rId65"/>
    <externalReference r:id="rId66"/>
    <externalReference r:id="rId67"/>
    <externalReference r:id="rId68"/>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1" hidden="1">'比较法-仓储'!$A$1:$L$37</definedName>
    <definedName name="_xlnm._FilterDatabase" localSheetId="42" hidden="1">'比较法-车位'!$A$1:$L$39</definedName>
    <definedName name="_xlnm._FilterDatabase" localSheetId="35" hidden="1">'比较法-工业'!$A$1:$L$43</definedName>
    <definedName name="_xlnm._FilterDatabase" localSheetId="33" hidden="1">'比较法-商业'!$A$1:$L$49</definedName>
    <definedName name="_xlnm._FilterDatabase" localSheetId="40"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1">'比较法-仓储'!$A$1:$K$42,'比较法-仓储'!$A$45:$M$96</definedName>
    <definedName name="_xlnm.Print_Area" localSheetId="42">'比较法-车位'!$A$1:$K$44,'比较法-车位'!$A$47:$M$102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0">'比较法-住宅'!$A$1:$K$54,'比较法-住宅'!$A$57:$M$131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10" i="109" l="1"/>
  <c r="L10" i="109" l="1"/>
  <c r="L7" i="109"/>
  <c r="L6" i="109"/>
  <c r="E57" i="39"/>
  <c r="C14" i="74" l="1"/>
  <c r="B14" i="74"/>
  <c r="N9" i="1"/>
  <c r="G22" i="6"/>
  <c r="O13" i="3"/>
  <c r="M13" i="3"/>
  <c r="L20" i="108"/>
  <c r="M20" i="108"/>
  <c r="H251" i="94"/>
  <c r="E81" i="35"/>
  <c r="D81" i="35"/>
  <c r="C81" i="35"/>
  <c r="I21" i="35"/>
  <c r="G21" i="35"/>
  <c r="E21" i="35"/>
  <c r="I19" i="35"/>
  <c r="G19" i="35"/>
  <c r="E19" i="35"/>
  <c r="I17" i="35"/>
  <c r="G17" i="35"/>
  <c r="E17" i="35"/>
  <c r="I15" i="35"/>
  <c r="G15" i="35"/>
  <c r="E15" i="35"/>
  <c r="F465" i="108"/>
  <c r="F466" i="108"/>
  <c r="H17" i="108" s="1"/>
  <c r="E783" i="108"/>
  <c r="D783" i="108"/>
  <c r="M6" i="108" l="1"/>
  <c r="G462" i="108"/>
  <c r="M15" i="108" s="1"/>
  <c r="G415" i="108"/>
  <c r="M14" i="108" s="1"/>
  <c r="G367" i="108"/>
  <c r="M13" i="108" s="1"/>
  <c r="G339" i="108"/>
  <c r="M12" i="108" s="1"/>
  <c r="G313" i="108"/>
  <c r="M11" i="108" s="1"/>
  <c r="G278" i="108"/>
  <c r="M10" i="108" s="1"/>
  <c r="G242" i="108"/>
  <c r="M9" i="108" s="1"/>
  <c r="G214" i="108"/>
  <c r="M8" i="108" s="1"/>
  <c r="G188" i="108"/>
  <c r="M7" i="108" s="1"/>
  <c r="G155" i="108"/>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N8" i="1"/>
  <c r="F254" i="94"/>
  <c r="E139" i="106" l="1"/>
  <c r="F252" i="94" s="1"/>
  <c r="F251" i="94" s="1"/>
  <c r="I15" i="108"/>
  <c r="N15" i="108" s="1"/>
  <c r="I12" i="108"/>
  <c r="N12" i="108" s="1"/>
  <c r="I8" i="108"/>
  <c r="N8" i="108" s="1"/>
  <c r="I5" i="108"/>
  <c r="N5" i="108" s="1"/>
  <c r="L22" i="108"/>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M70" i="80"/>
  <c r="M67" i="80"/>
  <c r="J74" i="80"/>
  <c r="K68" i="80"/>
  <c r="K67" i="80"/>
  <c r="J69" i="80"/>
  <c r="N63" i="80"/>
  <c r="L59" i="80"/>
  <c r="J63" i="80"/>
  <c r="K63" i="80"/>
  <c r="B48" i="80"/>
  <c r="J52" i="80"/>
  <c r="F255" i="94"/>
  <c r="I35" i="36"/>
  <c r="G35" i="36"/>
  <c r="E35" i="36"/>
  <c r="I5" i="36"/>
  <c r="G5" i="36"/>
  <c r="E5" i="36"/>
  <c r="I5" i="21"/>
  <c r="G5" i="21"/>
  <c r="E5" i="21"/>
  <c r="I47" i="21"/>
  <c r="G47" i="21"/>
  <c r="E47" i="21"/>
  <c r="K16" i="108" l="1"/>
  <c r="O10" i="108"/>
  <c r="O16" i="108" s="1"/>
  <c r="N16" i="108"/>
  <c r="I13" i="3" s="1"/>
  <c r="I16" i="108"/>
  <c r="F253" i="94"/>
  <c r="H120" i="96"/>
  <c r="E120" i="96"/>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S262" i="94"/>
  <c r="N262" i="94"/>
  <c r="V261" i="94"/>
  <c r="U261" i="94"/>
  <c r="T261" i="94"/>
  <c r="S261" i="94"/>
  <c r="N261" i="94"/>
  <c r="V260" i="94"/>
  <c r="U260" i="94"/>
  <c r="T260" i="94"/>
  <c r="N260" i="94"/>
  <c r="S260" i="94" s="1"/>
  <c r="V259" i="94"/>
  <c r="U259" i="94"/>
  <c r="R259" i="94"/>
  <c r="T259" i="94" s="1"/>
  <c r="N259" i="94"/>
  <c r="S259" i="94" s="1"/>
  <c r="V258" i="94"/>
  <c r="U258" i="94"/>
  <c r="T258" i="94"/>
  <c r="R258" i="94"/>
  <c r="N258" i="94"/>
  <c r="S258" i="94" s="1"/>
  <c r="V257" i="94"/>
  <c r="U257" i="94"/>
  <c r="T257" i="94"/>
  <c r="N257" i="94"/>
  <c r="S257" i="94" s="1"/>
  <c r="V256" i="94"/>
  <c r="U256" i="94"/>
  <c r="T256" i="94"/>
  <c r="S256" i="94"/>
  <c r="N256" i="94"/>
  <c r="V255" i="94"/>
  <c r="U255" i="94"/>
  <c r="T255" i="94"/>
  <c r="R255" i="94"/>
  <c r="N255" i="94"/>
  <c r="S255" i="94" s="1"/>
  <c r="V254" i="94"/>
  <c r="U254" i="94"/>
  <c r="T254" i="94"/>
  <c r="R254" i="94"/>
  <c r="R264" i="94" s="1"/>
  <c r="N254" i="94"/>
  <c r="S254" i="94" s="1"/>
  <c r="V253" i="94"/>
  <c r="U253" i="94"/>
  <c r="T253" i="94"/>
  <c r="N253" i="94"/>
  <c r="S253" i="94" s="1"/>
  <c r="V252" i="94"/>
  <c r="U252" i="94"/>
  <c r="T252" i="94"/>
  <c r="S252" i="94"/>
  <c r="N252" i="94"/>
  <c r="V251" i="94"/>
  <c r="U251" i="94"/>
  <c r="T251" i="94"/>
  <c r="T264" i="94" s="1"/>
  <c r="N251" i="94"/>
  <c r="S251" i="94" s="1"/>
  <c r="H248" i="94"/>
  <c r="J247" i="94"/>
  <c r="F247" i="94"/>
  <c r="J246" i="94"/>
  <c r="F246" i="94"/>
  <c r="M245" i="94"/>
  <c r="M247" i="94" s="1"/>
  <c r="J245" i="94"/>
  <c r="F245" i="94"/>
  <c r="F243" i="94"/>
  <c r="L246" i="94" s="1"/>
  <c r="L247" i="94" s="1"/>
  <c r="O242" i="94"/>
  <c r="L242" i="94"/>
  <c r="M242" i="94" s="1"/>
  <c r="E242" i="94"/>
  <c r="M241" i="94"/>
  <c r="L241" i="94"/>
  <c r="O241" i="94" s="1"/>
  <c r="K241" i="94"/>
  <c r="E241" i="94"/>
  <c r="L240" i="94"/>
  <c r="K240" i="94" s="1"/>
  <c r="E240" i="94"/>
  <c r="M239" i="94"/>
  <c r="L239" i="94"/>
  <c r="K239" i="94" s="1"/>
  <c r="E239" i="94"/>
  <c r="O238" i="94"/>
  <c r="M238" i="94"/>
  <c r="L238" i="94"/>
  <c r="K238" i="94" s="1"/>
  <c r="E238" i="94"/>
  <c r="O237"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J248" i="94" l="1"/>
  <c r="U264" i="94"/>
  <c r="V264" i="94"/>
  <c r="F249" i="94"/>
  <c r="S264" i="94"/>
  <c r="F248" i="94"/>
  <c r="O235" i="94"/>
  <c r="M236" i="94"/>
  <c r="O239" i="94"/>
  <c r="M240" i="94"/>
  <c r="K242" i="94"/>
  <c r="N264" i="94"/>
  <c r="O236" i="94"/>
  <c r="O240" i="94"/>
  <c r="I46" i="39"/>
  <c r="G46" i="39"/>
  <c r="E46" i="39"/>
  <c r="I38" i="39"/>
  <c r="G38" i="39"/>
  <c r="E38" i="39"/>
  <c r="I7" i="39"/>
  <c r="G7" i="39"/>
  <c r="E7" i="39"/>
  <c r="I5" i="39"/>
  <c r="G5" i="39"/>
  <c r="E5" i="39"/>
  <c r="D54" i="36"/>
  <c r="E54" i="36" s="1"/>
  <c r="D66" i="21"/>
  <c r="E66" i="21" s="1"/>
  <c r="F66" i="21" s="1"/>
  <c r="G66" i="21" s="1"/>
  <c r="S39" i="80"/>
  <c r="S40" i="80"/>
  <c r="S41" i="80"/>
  <c r="S42" i="80"/>
  <c r="S43" i="80" s="1"/>
  <c r="S38" i="80"/>
  <c r="E63" i="80"/>
  <c r="R62" i="80"/>
  <c r="E62" i="80"/>
  <c r="R61" i="80"/>
  <c r="E61" i="80"/>
  <c r="R60" i="80"/>
  <c r="E60" i="80"/>
  <c r="E64" i="80" s="1"/>
  <c r="R59" i="80"/>
  <c r="R63" i="80" s="1"/>
  <c r="I56" i="80"/>
  <c r="E56" i="80"/>
  <c r="L52" i="80"/>
  <c r="L56" i="80" s="1"/>
  <c r="K52" i="80"/>
  <c r="Z42" i="80" s="1"/>
  <c r="J56" i="80"/>
  <c r="I52" i="80"/>
  <c r="H52" i="80"/>
  <c r="H56" i="80" s="1"/>
  <c r="G52" i="80"/>
  <c r="G56" i="80" s="1"/>
  <c r="F52" i="80"/>
  <c r="Y42" i="80" s="1"/>
  <c r="Y44" i="80" s="1"/>
  <c r="E52" i="80"/>
  <c r="D52" i="80"/>
  <c r="D56" i="80" s="1"/>
  <c r="C52" i="80"/>
  <c r="Y38" i="80" s="1"/>
  <c r="T51" i="80"/>
  <c r="N51" i="80"/>
  <c r="J51" i="80"/>
  <c r="B51" i="80"/>
  <c r="T50" i="80"/>
  <c r="N50" i="80"/>
  <c r="B50" i="80"/>
  <c r="Y49" i="80"/>
  <c r="X49" i="80"/>
  <c r="N49" i="80"/>
  <c r="B49" i="80"/>
  <c r="N48" i="80"/>
  <c r="N47" i="80"/>
  <c r="B47" i="80"/>
  <c r="N46" i="80"/>
  <c r="B46" i="80"/>
  <c r="N45" i="80"/>
  <c r="B45" i="80"/>
  <c r="N44" i="80"/>
  <c r="B44" i="80"/>
  <c r="Z43" i="80"/>
  <c r="Y43" i="80"/>
  <c r="X43" i="80" s="1"/>
  <c r="N43" i="80"/>
  <c r="B43" i="80"/>
  <c r="N42" i="80"/>
  <c r="B42" i="80"/>
  <c r="N41" i="80"/>
  <c r="B41" i="80"/>
  <c r="Z40" i="80"/>
  <c r="X40" i="80" s="1"/>
  <c r="AC39" i="80" s="1"/>
  <c r="AE39" i="80" s="1"/>
  <c r="N40" i="80"/>
  <c r="B40" i="80"/>
  <c r="Z39" i="80"/>
  <c r="Z41" i="80" s="1"/>
  <c r="N39" i="80"/>
  <c r="B39" i="80"/>
  <c r="N38" i="80"/>
  <c r="B38" i="80"/>
  <c r="N37" i="80"/>
  <c r="B37" i="80"/>
  <c r="K28" i="80"/>
  <c r="J28" i="80"/>
  <c r="Z20" i="80" s="1"/>
  <c r="Z21" i="80" s="1"/>
  <c r="I28" i="80"/>
  <c r="H28" i="80"/>
  <c r="G28" i="80"/>
  <c r="Z17" i="80" s="1"/>
  <c r="X17" i="80" s="1"/>
  <c r="AC16" i="80" s="1"/>
  <c r="AE16" i="80" s="1"/>
  <c r="F28" i="80"/>
  <c r="E28" i="80"/>
  <c r="D28" i="80"/>
  <c r="C28" i="80"/>
  <c r="Y15" i="80" s="1"/>
  <c r="N27" i="80"/>
  <c r="L27" i="80"/>
  <c r="L28" i="80" s="1"/>
  <c r="X24" i="80" s="1"/>
  <c r="AC18" i="80" s="1"/>
  <c r="AE18" i="80" s="1"/>
  <c r="K27" i="80"/>
  <c r="B27" i="80" s="1"/>
  <c r="N26" i="80"/>
  <c r="B26" i="80"/>
  <c r="N25" i="80"/>
  <c r="B25" i="80"/>
  <c r="N24" i="80"/>
  <c r="B24" i="80"/>
  <c r="N23" i="80"/>
  <c r="B23" i="80"/>
  <c r="N22" i="80"/>
  <c r="B22" i="80"/>
  <c r="N21" i="80"/>
  <c r="B21" i="80"/>
  <c r="Y20" i="80"/>
  <c r="X20" i="80" s="1"/>
  <c r="N20" i="80"/>
  <c r="B20" i="80"/>
  <c r="Z19" i="80"/>
  <c r="X19" i="80" s="1"/>
  <c r="Y19" i="80"/>
  <c r="Y21" i="80" s="1"/>
  <c r="N19" i="80"/>
  <c r="B19" i="80"/>
  <c r="N18" i="80"/>
  <c r="B18" i="80"/>
  <c r="N17" i="80"/>
  <c r="B17" i="80"/>
  <c r="Z16" i="80"/>
  <c r="Z18" i="80" s="1"/>
  <c r="X16" i="80"/>
  <c r="N16" i="80"/>
  <c r="B16" i="80"/>
  <c r="AC15" i="80"/>
  <c r="AE15" i="80" s="1"/>
  <c r="N15" i="80"/>
  <c r="B15" i="80"/>
  <c r="N14" i="80"/>
  <c r="B14" i="80"/>
  <c r="B28" i="80" s="1"/>
  <c r="B29" i="80" s="1"/>
  <c r="N13" i="80"/>
  <c r="B13" i="80"/>
  <c r="F8" i="80"/>
  <c r="D8" i="80"/>
  <c r="H2" i="80" s="1"/>
  <c r="D6" i="80"/>
  <c r="D5" i="80"/>
  <c r="D7" i="80" s="1"/>
  <c r="N2" i="80"/>
  <c r="J2" i="80"/>
  <c r="I2" i="80"/>
  <c r="E2" i="80"/>
  <c r="Y41" i="80" l="1"/>
  <c r="X38" i="80"/>
  <c r="AC37" i="80" s="1"/>
  <c r="C56" i="80"/>
  <c r="J58" i="80"/>
  <c r="L58" i="80" s="1"/>
  <c r="L60" i="80" s="1"/>
  <c r="L61" i="80" s="1"/>
  <c r="J76" i="80"/>
  <c r="J77" i="80" s="1"/>
  <c r="M68" i="80"/>
  <c r="M71" i="80" s="1"/>
  <c r="W50" i="80"/>
  <c r="W51" i="80" s="1"/>
  <c r="Y51" i="80" s="1"/>
  <c r="X47" i="80"/>
  <c r="AC41" i="80" s="1"/>
  <c r="AE41" i="80" s="1"/>
  <c r="B52" i="80"/>
  <c r="A55" i="80" s="1"/>
  <c r="N265" i="94"/>
  <c r="S44" i="80"/>
  <c r="X15" i="80"/>
  <c r="Y18" i="80"/>
  <c r="X42" i="80"/>
  <c r="Z44" i="80"/>
  <c r="Z45" i="80" s="1"/>
  <c r="Y22" i="80"/>
  <c r="X21" i="80"/>
  <c r="Z22" i="80"/>
  <c r="Y45" i="80"/>
  <c r="AE37" i="80"/>
  <c r="Y50" i="80"/>
  <c r="F56" i="80"/>
  <c r="W27" i="80"/>
  <c r="K56" i="80"/>
  <c r="X39" i="80"/>
  <c r="AC38" i="80" s="1"/>
  <c r="AE38" i="80" s="1"/>
  <c r="B58" i="80" l="1"/>
  <c r="K74" i="80"/>
  <c r="K75" i="80" s="1"/>
  <c r="M56" i="80"/>
  <c r="M55" i="80" s="1"/>
  <c r="B53" i="80"/>
  <c r="C33" i="21"/>
  <c r="X44" i="80"/>
  <c r="AC40" i="80" s="1"/>
  <c r="S45" i="80"/>
  <c r="W28" i="80"/>
  <c r="Y28" i="80" s="1"/>
  <c r="X26" i="80" s="1"/>
  <c r="X27" i="80"/>
  <c r="AC17" i="80"/>
  <c r="AE17" i="80" s="1"/>
  <c r="X41" i="80"/>
  <c r="AC43" i="80" s="1"/>
  <c r="AC14" i="80"/>
  <c r="X18" i="80"/>
  <c r="AC20" i="80" s="1"/>
  <c r="S46" i="80" l="1"/>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F21" i="37"/>
  <c r="F84" i="34"/>
  <c r="G84" i="34" s="1"/>
  <c r="H21" i="34"/>
  <c r="AB21" i="34" s="1"/>
  <c r="H21" i="33"/>
  <c r="U21" i="33" s="1"/>
  <c r="F21" i="33"/>
  <c r="S21" i="33" s="1"/>
  <c r="H1" i="69"/>
  <c r="AC25" i="40"/>
  <c r="W25" i="40"/>
  <c r="U25" i="40"/>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H5" i="3" s="1"/>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N16" i="3"/>
  <c r="BN17" i="3"/>
  <c r="BP13" i="3"/>
  <c r="BP14" i="3"/>
  <c r="BP5" i="3" s="1"/>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26" i="21"/>
  <c r="W26" i="21"/>
  <c r="F26" i="21"/>
  <c r="S26" i="21" s="1"/>
  <c r="AB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F29" i="36"/>
  <c r="AA29" i="36" s="1"/>
  <c r="U31" i="36"/>
  <c r="J33" i="36"/>
  <c r="AC33" i="36" s="1"/>
  <c r="H22" i="35"/>
  <c r="AB22" i="35"/>
  <c r="W22" i="35"/>
  <c r="U34" i="35"/>
  <c r="F36" i="34"/>
  <c r="J35" i="34"/>
  <c r="U34" i="34"/>
  <c r="H39" i="33"/>
  <c r="AB39" i="33"/>
  <c r="F26" i="33"/>
  <c r="AA26" i="33" s="1"/>
  <c r="U33" i="33"/>
  <c r="U35" i="33"/>
  <c r="S40" i="33"/>
  <c r="W33" i="33"/>
  <c r="W39" i="33"/>
  <c r="H39" i="37"/>
  <c r="AB39" i="37" s="1"/>
  <c r="S27" i="35"/>
  <c r="F11" i="40"/>
  <c r="AA11" i="40"/>
  <c r="H11" i="40"/>
  <c r="AB11" i="40" s="1"/>
  <c r="W8" i="40"/>
  <c r="AA9" i="40"/>
  <c r="U9" i="40"/>
  <c r="S34" i="40"/>
  <c r="U38" i="40"/>
  <c r="U34" i="40"/>
  <c r="F42" i="39"/>
  <c r="AA42" i="39" s="1"/>
  <c r="F41" i="39"/>
  <c r="S41" i="39" s="1"/>
  <c r="H40" i="39"/>
  <c r="AB40" i="39" s="1"/>
  <c r="H39" i="39"/>
  <c r="U39" i="39" s="1"/>
  <c r="S38"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C25" i="39"/>
  <c r="H11"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23" i="35"/>
  <c r="AA23" i="35" s="1"/>
  <c r="J32" i="35"/>
  <c r="AC32" i="35" s="1"/>
  <c r="J16" i="35"/>
  <c r="AC16" i="35" s="1"/>
  <c r="H16" i="35"/>
  <c r="U16" i="35" s="1"/>
  <c r="F16" i="35"/>
  <c r="S16"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H10" i="36"/>
  <c r="AB10" i="36" s="1"/>
  <c r="H14" i="36"/>
  <c r="U14" i="36" s="1"/>
  <c r="F28" i="36"/>
  <c r="AA28" i="36"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c r="AA44" i="33"/>
  <c r="U46" i="33"/>
  <c r="AA14" i="33"/>
  <c r="J36" i="37"/>
  <c r="AC36" i="37" s="1"/>
  <c r="J10" i="36"/>
  <c r="AC10" i="36" s="1"/>
  <c r="AB26" i="33"/>
  <c r="AA14" i="37"/>
  <c r="W31" i="34"/>
  <c r="AB46" i="34"/>
  <c r="AB45" i="33"/>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AZ514" i="3" s="1"/>
  <c r="BA512" i="3"/>
  <c r="BA510" i="3"/>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AB44" i="39"/>
  <c r="U44" i="39"/>
  <c r="G100"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F11" i="39"/>
  <c r="S11" i="39" s="1"/>
  <c r="G4" i="4"/>
  <c r="I4" i="4"/>
  <c r="A2" i="9"/>
  <c r="F61" i="43"/>
  <c r="H64" i="43" s="1"/>
  <c r="BL549" i="3"/>
  <c r="AZ549" i="3" s="1"/>
  <c r="AZ494" i="3"/>
  <c r="AZ522" i="3"/>
  <c r="AZ530"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BL196" i="3"/>
  <c r="G197" i="3"/>
  <c r="BA199" i="3"/>
  <c r="AZ199" i="3" s="1"/>
  <c r="BL200" i="3"/>
  <c r="AZ200" i="3" s="1"/>
  <c r="G201" i="3"/>
  <c r="BA203" i="3"/>
  <c r="BL204" i="3"/>
  <c r="AZ55" i="3"/>
  <c r="AZ14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500"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AZ392" i="3" s="1"/>
  <c r="G393" i="3"/>
  <c r="AZ275" i="3"/>
  <c r="AZ341" i="3"/>
  <c r="AZ496" i="3"/>
  <c r="G548" i="3"/>
  <c r="G538" i="3"/>
  <c r="G520" i="3"/>
  <c r="G502" i="3"/>
  <c r="BK5" i="3"/>
  <c r="G17" i="3"/>
  <c r="AZ380" i="3"/>
  <c r="AZ499" i="3"/>
  <c r="AZ509" i="3"/>
  <c r="G509" i="3"/>
  <c r="BL493" i="3"/>
  <c r="AZ493" i="3"/>
  <c r="U36" i="40"/>
  <c r="F83" i="43"/>
  <c r="H85" i="43" s="1"/>
  <c r="F50" i="43"/>
  <c r="H54" i="43" s="1"/>
  <c r="F72" i="43"/>
  <c r="H75" i="43" s="1"/>
  <c r="U17" i="39"/>
  <c r="AZ563" i="3"/>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74" i="3"/>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AC26" i="33"/>
  <c r="W26" i="33"/>
  <c r="W27" i="34"/>
  <c r="AC27" i="34"/>
  <c r="U34" i="36"/>
  <c r="AB33" i="36"/>
  <c r="U33" i="36"/>
  <c r="AC12" i="39"/>
  <c r="W12" i="39"/>
  <c r="AC39" i="40"/>
  <c r="W39" i="40"/>
  <c r="AZ433" i="3"/>
  <c r="W12" i="33"/>
  <c r="AC12" i="33"/>
  <c r="AA32" i="36"/>
  <c r="S32" i="36"/>
  <c r="AZ437" i="3"/>
  <c r="U30" i="33"/>
  <c r="AC13" i="34"/>
  <c r="AA47" i="34"/>
  <c r="W28" i="37"/>
  <c r="S19" i="39"/>
  <c r="F12" i="33"/>
  <c r="H12" i="39"/>
  <c r="AB12" i="39" s="1"/>
  <c r="F39" i="40"/>
  <c r="S39" i="40" s="1"/>
  <c r="AZ367" i="3"/>
  <c r="B12" i="1"/>
  <c r="E12" i="1" s="1"/>
  <c r="B10" i="1"/>
  <c r="E10" i="1" s="1"/>
  <c r="K12" i="1"/>
  <c r="M12" i="1" s="1"/>
  <c r="S13" i="1"/>
  <c r="AR13" i="1" s="1"/>
  <c r="R13" i="1"/>
  <c r="J51" i="67"/>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S23" i="35"/>
  <c r="W24" i="35"/>
  <c r="AB13" i="35"/>
  <c r="U29" i="35"/>
  <c r="U36" i="35"/>
  <c r="AA36" i="35"/>
  <c r="S28" i="35"/>
  <c r="U22" i="35"/>
  <c r="S20" i="35"/>
  <c r="S22" i="35"/>
  <c r="AA11"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B11" i="39"/>
  <c r="U11" i="39"/>
  <c r="W17" i="39"/>
  <c r="AC17" i="39"/>
  <c r="W31" i="39"/>
  <c r="AC31" i="39"/>
  <c r="AA45" i="39"/>
  <c r="U38" i="39"/>
  <c r="S8" i="39"/>
  <c r="AC25"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J37" i="21"/>
  <c r="W37" i="21" s="1"/>
  <c r="H15" i="21"/>
  <c r="U15" i="21" s="1"/>
  <c r="AC19" i="21"/>
  <c r="W39" i="21"/>
  <c r="AC14" i="21"/>
  <c r="W30" i="21"/>
  <c r="S46" i="21"/>
  <c r="H45" i="21"/>
  <c r="U45" i="21" s="1"/>
  <c r="F29" i="21"/>
  <c r="AA29" i="21" s="1"/>
  <c r="H32" i="21"/>
  <c r="U32" i="21" s="1"/>
  <c r="H9" i="21"/>
  <c r="AB9" i="21" s="1"/>
  <c r="J9" i="21"/>
  <c r="W9" i="21" s="1"/>
  <c r="F32" i="21"/>
  <c r="S32" i="21" s="1"/>
  <c r="AA31" i="21"/>
  <c r="W29" i="21"/>
  <c r="S1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AC32" i="39"/>
  <c r="AC23" i="37"/>
  <c r="J63" i="37"/>
  <c r="K63" i="37" s="1"/>
  <c r="L63" i="37" s="1"/>
  <c r="M63" i="37" s="1"/>
  <c r="J11" i="37"/>
  <c r="AC11" i="37" s="1"/>
  <c r="H70" i="34"/>
  <c r="I70" i="34" s="1"/>
  <c r="J70" i="34" s="1"/>
  <c r="K70" i="34"/>
  <c r="L70" i="34" s="1"/>
  <c r="M70" i="34" s="1"/>
  <c r="J11" i="34"/>
  <c r="W11" i="34" s="1"/>
  <c r="W25" i="33"/>
  <c r="AA17"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E12" i="76"/>
  <c r="E7" i="76"/>
  <c r="F4" i="73"/>
  <c r="E10" i="76"/>
  <c r="D6" i="73"/>
  <c r="F6" i="73"/>
  <c r="F20" i="31"/>
  <c r="E11" i="76"/>
  <c r="AO13" i="1"/>
  <c r="B9" i="76"/>
  <c r="E2" i="68"/>
  <c r="B13" i="76"/>
  <c r="F3" i="73"/>
  <c r="B10" i="76"/>
  <c r="E8" i="76"/>
  <c r="E9" i="76"/>
  <c r="B7" i="76"/>
  <c r="B12" i="76"/>
  <c r="B8" i="76"/>
  <c r="F7" i="73"/>
  <c r="E2" i="69"/>
  <c r="E13" i="76"/>
  <c r="F5" i="73"/>
  <c r="G21" i="6" l="1"/>
  <c r="E21" i="6" s="1"/>
  <c r="K8" i="1" s="1"/>
  <c r="M8" i="1" s="1"/>
  <c r="O8" i="1" s="1"/>
  <c r="P8" i="1" s="1"/>
  <c r="G20" i="6"/>
  <c r="AC27" i="35"/>
  <c r="AB27" i="35"/>
  <c r="AC20" i="35"/>
  <c r="H14" i="35"/>
  <c r="AB14" i="35" s="1"/>
  <c r="F14" i="35"/>
  <c r="AA14" i="35" s="1"/>
  <c r="J14" i="35"/>
  <c r="W14" i="35" s="1"/>
  <c r="W28" i="35"/>
  <c r="U28" i="35"/>
  <c r="AC29" i="35"/>
  <c r="S32" i="35"/>
  <c r="U32" i="35"/>
  <c r="AC30" i="35"/>
  <c r="AA33" i="35"/>
  <c r="S31" i="35"/>
  <c r="AB16" i="35"/>
  <c r="AB20" i="35"/>
  <c r="W16" i="35"/>
  <c r="S14" i="35"/>
  <c r="U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c r="F31" i="12"/>
  <c r="F30" i="69"/>
  <c r="F48" i="69" s="1"/>
  <c r="F28" i="67"/>
  <c r="D93" i="9"/>
  <c r="F32" i="67"/>
  <c r="F60" i="67" s="1"/>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W14"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54" i="3"/>
  <c r="AZ459"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AZ2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94" i="3" s="1"/>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AZ58" i="3" s="1"/>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AZ18" i="3" s="1"/>
  <c r="G21" i="3"/>
  <c r="BL21"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7" i="15"/>
  <c r="F38" i="15"/>
  <c r="M29" i="67"/>
  <c r="J15" i="15"/>
  <c r="F9" i="15"/>
  <c r="F43" i="67"/>
  <c r="M24" i="67"/>
  <c r="F37" i="15"/>
  <c r="M23" i="67"/>
  <c r="M22" i="15"/>
  <c r="L47" i="15"/>
  <c r="D3" i="73"/>
  <c r="F43" i="15"/>
  <c r="F16" i="67"/>
  <c r="L47" i="67"/>
  <c r="D7" i="73"/>
  <c r="M28" i="15"/>
  <c r="M8" i="15"/>
  <c r="F36" i="15"/>
  <c r="M29" i="15"/>
  <c r="M9" i="67"/>
  <c r="F9" i="67"/>
  <c r="D4" i="73"/>
  <c r="C76" i="15"/>
  <c r="M23" i="15"/>
  <c r="L48" i="67"/>
  <c r="F6" i="67"/>
  <c r="F40" i="15"/>
  <c r="F13" i="67"/>
  <c r="M22" i="67"/>
  <c r="F40" i="67"/>
  <c r="M8" i="67"/>
  <c r="F13" i="15"/>
  <c r="F42" i="15"/>
  <c r="F37" i="67"/>
  <c r="F42" i="67"/>
  <c r="F16" i="15"/>
  <c r="M26" i="15"/>
  <c r="F26" i="15"/>
  <c r="M28" i="67"/>
  <c r="F6" i="15"/>
  <c r="F7" i="67"/>
  <c r="L48" i="15"/>
  <c r="D5" i="73"/>
  <c r="M9" i="15"/>
  <c r="M26" i="67"/>
  <c r="F26" i="67"/>
  <c r="F8" i="15"/>
  <c r="C76" i="67"/>
  <c r="F38" i="67"/>
  <c r="F8" i="67"/>
  <c r="M24" i="15"/>
  <c r="M6" i="15"/>
  <c r="F36" i="67"/>
  <c r="J15" i="67"/>
  <c r="M6" i="67"/>
  <c r="G27" i="6" l="1"/>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F7" i="36" s="1"/>
  <c r="S7" i="36" s="1"/>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C16" i="67"/>
  <c r="F41" i="67"/>
  <c r="C16" i="15"/>
  <c r="G1" i="73"/>
  <c r="F67" i="39" l="1"/>
  <c r="H7" i="36"/>
  <c r="AB7" i="36" s="1"/>
  <c r="T36" i="36" s="1"/>
  <c r="G36" i="36" s="1"/>
  <c r="G40" i="36" s="1"/>
  <c r="H40" i="36" s="1"/>
  <c r="K7" i="1"/>
  <c r="K16" i="1" s="1"/>
  <c r="D7" i="12"/>
  <c r="D3" i="36"/>
  <c r="AZ5" i="3"/>
  <c r="E3" i="6" s="1"/>
  <c r="E6"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G41" i="36" s="1"/>
  <c r="H41"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M27" i="67"/>
  <c r="M27" i="15"/>
  <c r="F41" i="15"/>
  <c r="G54" i="34" l="1"/>
  <c r="H54" i="34" s="1"/>
  <c r="I40" i="36"/>
  <c r="J40" i="36" s="1"/>
  <c r="R37" i="36"/>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67"/>
  <c r="C17" i="15"/>
  <c r="C14" i="67"/>
  <c r="AR6" i="1" l="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4"/>
  <c r="D2" i="37"/>
  <c r="D2" i="36"/>
  <c r="D2" i="35"/>
  <c r="C8" i="71" l="1"/>
  <c r="D9" i="71"/>
  <c r="B2" i="36"/>
  <c r="B2" i="35"/>
  <c r="M3" i="35"/>
  <c r="B2" i="37"/>
  <c r="B3" i="37" s="1"/>
  <c r="B2" i="34"/>
  <c r="B3" i="34" s="1"/>
  <c r="W7" i="39"/>
  <c r="AC7" i="39"/>
  <c r="V47" i="39" s="1"/>
  <c r="I47" i="39" s="1"/>
  <c r="E47" i="39"/>
  <c r="U7" i="39"/>
  <c r="AB7" i="39"/>
  <c r="T47" i="39" s="1"/>
  <c r="G47" i="39" s="1"/>
  <c r="J7" i="40"/>
  <c r="F7" i="40"/>
  <c r="H7" i="40"/>
  <c r="AO11" i="1"/>
  <c r="AO9" i="1"/>
  <c r="AO8" i="1"/>
  <c r="AO6" i="1"/>
  <c r="AO10" i="1"/>
  <c r="AO12" i="1"/>
  <c r="B3" i="35" l="1"/>
  <c r="E6" i="12" s="1"/>
  <c r="E8" i="12"/>
  <c r="B3" i="36"/>
  <c r="D6" i="12" s="1"/>
  <c r="D8" i="12"/>
  <c r="C4" i="12" s="1"/>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7" i="1" l="1"/>
  <c r="O7" i="1" s="1"/>
  <c r="P7" i="1" s="1"/>
  <c r="O6" i="1"/>
  <c r="N16" i="1"/>
  <c r="B21" i="1" s="1"/>
  <c r="AC21" i="80"/>
  <c r="AD21" i="80" s="1"/>
  <c r="AC44" i="80"/>
  <c r="AD44" i="80" s="1"/>
  <c r="M5" i="80"/>
  <c r="N5" i="80" s="1"/>
  <c r="I4" i="6" l="1"/>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C29" i="11"/>
  <c r="D27" i="11" s="1"/>
  <c r="C24" i="11"/>
  <c r="C29" i="68"/>
  <c r="D27" i="68" s="1"/>
  <c r="B23" i="1"/>
  <c r="C28" i="11"/>
  <c r="C27" i="11" s="1"/>
  <c r="C44" i="11"/>
  <c r="D41" i="11" s="1"/>
  <c r="B24" i="1"/>
  <c r="C44" i="68"/>
  <c r="D41" i="68" s="1"/>
  <c r="C24" i="68"/>
  <c r="C28" i="68"/>
  <c r="C27" i="68" s="1"/>
  <c r="P6" i="1"/>
  <c r="O16" i="1"/>
  <c r="H6" i="3" l="1"/>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P16" i="1"/>
  <c r="C11" i="12" s="1"/>
  <c r="C26" i="68"/>
  <c r="D22" i="68" s="1"/>
  <c r="C23" i="11"/>
  <c r="C26" i="11"/>
  <c r="D22" i="11" s="1"/>
  <c r="C25" i="11"/>
  <c r="C23" i="68"/>
  <c r="C25" i="68"/>
  <c r="F34" i="11"/>
  <c r="F50" i="68"/>
  <c r="M59" i="67"/>
  <c r="F50" i="11"/>
  <c r="M59" i="15"/>
  <c r="C26" i="12"/>
  <c r="D25" i="12" s="1"/>
  <c r="F50" i="69"/>
  <c r="C51" i="69" s="1"/>
  <c r="C29" i="12"/>
  <c r="D28" i="12" s="1"/>
  <c r="F34" i="68"/>
  <c r="F11" i="12"/>
  <c r="F26" i="43"/>
  <c r="G26" i="43"/>
  <c r="B116" i="43"/>
  <c r="N94" i="46"/>
  <c r="H26" i="43"/>
  <c r="J26" i="43"/>
  <c r="Z7" i="43"/>
  <c r="E26" i="43"/>
  <c r="N370" i="46"/>
  <c r="E6" i="3" l="1"/>
  <c r="C22" i="68"/>
  <c r="C31" i="68" s="1"/>
  <c r="C14" i="12"/>
  <c r="C23" i="12"/>
  <c r="C52" i="69"/>
  <c r="B2" i="69" s="1"/>
  <c r="B3" i="69"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37" i="68"/>
  <c r="C36" i="68"/>
  <c r="C34" i="68"/>
  <c r="C34" i="11"/>
  <c r="C36" i="11"/>
  <c r="C37" i="11"/>
  <c r="C22" i="11"/>
  <c r="C31" i="11" s="1"/>
  <c r="C15" i="12"/>
  <c r="C12" i="12"/>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D7" i="74" l="1"/>
  <c r="D8" i="74"/>
  <c r="R24" i="6"/>
  <c r="R11" i="1" s="1"/>
  <c r="H27" i="6"/>
  <c r="R22" i="6"/>
  <c r="R9" i="1" s="1"/>
  <c r="R26" i="6"/>
  <c r="A7" i="51"/>
  <c r="B7" i="72" s="1"/>
  <c r="C4" i="52"/>
  <c r="B45" i="72" s="1"/>
  <c r="A10" i="51"/>
  <c r="B9" i="72" s="1"/>
  <c r="R25" i="6"/>
  <c r="R12" i="1" s="1"/>
  <c r="R20" i="6"/>
  <c r="R7" i="1" s="1"/>
  <c r="D16" i="6"/>
  <c r="R21" i="6"/>
  <c r="R8" i="1" s="1"/>
  <c r="R23" i="6"/>
  <c r="R10" i="1" s="1"/>
  <c r="C38" i="68"/>
  <c r="C35" i="68"/>
  <c r="C57" i="69"/>
  <c r="C56" i="69" s="1"/>
  <c r="D27" i="6"/>
  <c r="R19" i="6"/>
  <c r="D30" i="6"/>
  <c r="C38" i="11"/>
  <c r="C35" i="11"/>
  <c r="C118" i="43"/>
  <c r="D116" i="43" s="1"/>
  <c r="C33" i="43"/>
  <c r="C16" i="12"/>
  <c r="C21" i="12" s="1"/>
  <c r="F35" i="67"/>
  <c r="F35" i="15"/>
  <c r="M21" i="67"/>
  <c r="M21" i="15"/>
  <c r="C33" i="11" l="1"/>
  <c r="C42" i="11" s="1"/>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C39" i="11"/>
  <c r="C43" i="11" s="1"/>
  <c r="C33" i="68"/>
  <c r="E33" i="43"/>
  <c r="C30" i="43" s="1"/>
  <c r="C34" i="43"/>
  <c r="E34" i="43" s="1"/>
  <c r="C31" i="43" s="1"/>
  <c r="I5" i="6"/>
  <c r="I6" i="6"/>
  <c r="C22" i="12"/>
  <c r="C30" i="12" s="1"/>
  <c r="C28" i="12" s="1"/>
  <c r="R6" i="1"/>
  <c r="R16" i="1" s="1"/>
  <c r="R27" i="6"/>
  <c r="E6" i="76"/>
  <c r="C46" i="11" l="1"/>
  <c r="C45" i="11" s="1"/>
  <c r="C27" i="12"/>
  <c r="C25" i="12" s="1"/>
  <c r="C32" i="12" s="1"/>
  <c r="B2" i="12" s="1"/>
  <c r="E2" i="76"/>
  <c r="B2" i="43"/>
  <c r="C39" i="68"/>
  <c r="C42" i="68"/>
  <c r="C41" i="11"/>
  <c r="Q69" i="67"/>
  <c r="Q68" i="67" s="1"/>
  <c r="C40" i="67"/>
  <c r="C80" i="67"/>
  <c r="C79" i="67" s="1"/>
  <c r="Q69" i="15"/>
  <c r="Q68" i="15" s="1"/>
  <c r="C80" i="15"/>
  <c r="C79" i="15" s="1"/>
  <c r="C40" i="15"/>
  <c r="L51" i="67"/>
  <c r="B6" i="76"/>
  <c r="D19" i="9"/>
  <c r="L51" i="15"/>
  <c r="C49" i="11" l="1"/>
  <c r="C51" i="11" s="1"/>
  <c r="C52" i="11" s="1"/>
  <c r="B2" i="11" s="1"/>
  <c r="B3" i="11" s="1"/>
  <c r="L57" i="67"/>
  <c r="L60" i="67" s="1"/>
  <c r="Q67" i="67"/>
  <c r="L57" i="15"/>
  <c r="L60" i="15" s="1"/>
  <c r="Q67" i="15"/>
  <c r="B2" i="76"/>
  <c r="B3" i="76" s="1"/>
  <c r="D102" i="9"/>
  <c r="D21" i="9"/>
  <c r="C45" i="67"/>
  <c r="C46" i="67" s="1"/>
  <c r="C83" i="67"/>
  <c r="C82" i="67" s="1"/>
  <c r="C43" i="67"/>
  <c r="Q47" i="67"/>
  <c r="Q53" i="67" s="1"/>
  <c r="Q65" i="67"/>
  <c r="Q56" i="67"/>
  <c r="C46" i="68"/>
  <c r="C45" i="68" s="1"/>
  <c r="C43" i="68"/>
  <c r="C41" i="68" s="1"/>
  <c r="B3" i="43"/>
  <c r="C46" i="15"/>
  <c r="Q47" i="15"/>
  <c r="Q53" i="15" s="1"/>
  <c r="Q56" i="15"/>
  <c r="C43" i="15"/>
  <c r="Q65" i="15"/>
  <c r="C83" i="15"/>
  <c r="C82" i="15" s="1"/>
  <c r="B2" i="15"/>
  <c r="B3" i="12"/>
  <c r="AO7" i="1"/>
  <c r="D20" i="9"/>
  <c r="C49" i="68" l="1"/>
  <c r="C51" i="68" s="1"/>
  <c r="C52" i="68" s="1"/>
  <c r="B2" i="68" s="1"/>
  <c r="B7" i="70"/>
  <c r="B2" i="70" s="1"/>
  <c r="B3" i="70" s="1"/>
  <c r="D103" i="9"/>
  <c r="B3" i="15"/>
  <c r="Q57" i="15"/>
  <c r="Q62" i="15" s="1"/>
  <c r="Q66" i="15"/>
  <c r="Q75" i="15" s="1"/>
  <c r="C56" i="11"/>
  <c r="C57" i="11" s="1"/>
  <c r="L46" i="67"/>
  <c r="D2" i="67" s="1"/>
  <c r="Q57" i="67"/>
  <c r="Q62" i="67" s="1"/>
  <c r="Q66" i="67"/>
  <c r="Q75" i="67" s="1"/>
  <c r="C19" i="9"/>
  <c r="C57" i="68" l="1"/>
  <c r="C56" i="68" s="1"/>
  <c r="G19" i="9"/>
  <c r="D14" i="74" s="1"/>
  <c r="G14" i="74" s="1"/>
  <c r="B6" i="74" s="1"/>
  <c r="D6" i="74" s="1"/>
  <c r="C102" i="9"/>
  <c r="D22" i="9"/>
  <c r="C21" i="9"/>
  <c r="B3" i="68"/>
  <c r="B2" i="67"/>
  <c r="B3" i="67"/>
  <c r="D34" i="9"/>
  <c r="D35" i="9"/>
  <c r="C20" i="9"/>
  <c r="F14" i="74" l="1"/>
  <c r="B5" i="74"/>
  <c r="D5" i="74" s="1"/>
  <c r="E14" i="74"/>
  <c r="G20" i="9"/>
  <c r="C103" i="9"/>
  <c r="G21" i="9"/>
  <c r="C32" i="9"/>
  <c r="C35" i="9" l="1"/>
  <c r="H118" i="9"/>
  <c r="H4" i="52" l="1"/>
  <c r="C104" i="9"/>
  <c r="I118" i="9"/>
  <c r="H119" i="9"/>
  <c r="H5" i="52" s="1"/>
  <c r="H101" i="9"/>
  <c r="C34" i="9"/>
  <c r="D118" i="9" s="1"/>
  <c r="F118" i="9"/>
  <c r="C105" i="9" l="1"/>
  <c r="H102" i="9"/>
  <c r="I4" i="52"/>
  <c r="D119" i="9"/>
  <c r="D5" i="52" s="1"/>
  <c r="B49" i="72" s="1"/>
  <c r="D4" i="52"/>
  <c r="B47" i="72" s="1"/>
  <c r="F4" i="52"/>
  <c r="B51" i="72" s="1"/>
  <c r="G118" i="9"/>
  <c r="G4" i="52" s="1"/>
  <c r="B52" i="72" s="1"/>
  <c r="F119" i="9"/>
  <c r="F5" i="52" s="1"/>
  <c r="B53" i="72" s="1"/>
  <c r="D5" i="53"/>
  <c r="D45" i="9"/>
  <c r="M48" i="9"/>
  <c r="H107" i="9"/>
  <c r="E118" i="9" l="1"/>
  <c r="E4" i="52" s="1"/>
  <c r="B48" i="72" s="1"/>
  <c r="D13" i="53"/>
  <c r="D122" i="9"/>
  <c r="M49" i="9"/>
  <c r="H108" i="9"/>
  <c r="D52" i="9"/>
  <c r="C85" i="9"/>
  <c r="C64" i="9"/>
  <c r="C63" i="9" s="1"/>
  <c r="C67" i="9" s="1"/>
  <c r="C78" i="9"/>
  <c r="C73" i="9" s="1"/>
  <c r="D55" i="9"/>
  <c r="M53" i="9" s="1"/>
  <c r="C72" i="9"/>
  <c r="C93" i="9"/>
  <c r="C86" i="9" s="1"/>
  <c r="D53" i="9"/>
  <c r="D6" i="53"/>
  <c r="B22" i="72" s="1"/>
  <c r="B20" i="72"/>
  <c r="D7" i="53"/>
  <c r="B21" i="72" s="1"/>
  <c r="C5" i="74"/>
  <c r="C68" i="9" l="1"/>
  <c r="D54" i="9" s="1"/>
  <c r="D59" i="9"/>
  <c r="M55" i="9" s="1"/>
  <c r="L63" i="9"/>
  <c r="M63" i="9" s="1"/>
  <c r="L68" i="9"/>
  <c r="M68" i="9" s="1"/>
  <c r="L67" i="9"/>
  <c r="M67" i="9" s="1"/>
  <c r="L64" i="9"/>
  <c r="M64" i="9" s="1"/>
  <c r="L66" i="9"/>
  <c r="M66" i="9" s="1"/>
  <c r="L65" i="9"/>
  <c r="M65" i="9" s="1"/>
  <c r="C79" i="9"/>
  <c r="C95" i="9"/>
  <c r="D123" i="9"/>
  <c r="D9" i="52" s="1"/>
  <c r="D8" i="52"/>
  <c r="B30" i="72"/>
  <c r="D14" i="53"/>
  <c r="B32" i="72" s="1"/>
  <c r="D15" i="53"/>
  <c r="B31" i="72" s="1"/>
  <c r="C6" i="74"/>
  <c r="C96" i="9" l="1"/>
  <c r="E96" i="9" s="1"/>
  <c r="E97" i="9" s="1"/>
  <c r="M69" i="9"/>
  <c r="N69"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微软用户</author>
  </authors>
  <commentList>
    <comment ref="C40" authorId="0">
      <text>
        <r>
          <rPr>
            <b/>
            <sz val="9"/>
            <color indexed="81"/>
            <rFont val="宋体"/>
            <family val="3"/>
            <charset val="134"/>
          </rPr>
          <t>微软用户:</t>
        </r>
        <r>
          <rPr>
            <sz val="9"/>
            <color indexed="81"/>
            <rFont val="宋体"/>
            <family val="3"/>
            <charset val="134"/>
          </rPr>
          <t xml:space="preserve">
住建委3341.59，预测绘3562.4</t>
        </r>
      </text>
    </comment>
    <comment ref="C41" authorId="0">
      <text>
        <r>
          <rPr>
            <b/>
            <sz val="9"/>
            <color indexed="81"/>
            <rFont val="宋体"/>
            <family val="3"/>
            <charset val="134"/>
          </rPr>
          <t>微软用户:</t>
        </r>
        <r>
          <rPr>
            <sz val="9"/>
            <color indexed="81"/>
            <rFont val="宋体"/>
            <family val="3"/>
            <charset val="134"/>
          </rPr>
          <t xml:space="preserve">
住建委3231.25，预测3562.24</t>
        </r>
      </text>
    </comment>
    <comment ref="C44" authorId="0">
      <text>
        <r>
          <rPr>
            <b/>
            <sz val="9"/>
            <color indexed="81"/>
            <rFont val="宋体"/>
            <family val="3"/>
            <charset val="134"/>
          </rPr>
          <t>微软用户:</t>
        </r>
        <r>
          <rPr>
            <sz val="9"/>
            <color indexed="81"/>
            <rFont val="宋体"/>
            <family val="3"/>
            <charset val="134"/>
          </rPr>
          <t xml:space="preserve">
住建委3530.32，预测绘3750.44</t>
        </r>
      </text>
    </comment>
    <comment ref="C45" authorId="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<sst xmlns="http://schemas.openxmlformats.org/spreadsheetml/2006/main" count="16071" uniqueCount="5297">
  <si>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</si>
  <si>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</si>
  <si>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</si>
  <si>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</si>
  <si>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</si>
  <si>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</si>
  <si>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</si>
  <si>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</si>
  <si>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</si>
  <si>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</si>
  <si>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</si>
  <si>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</si>
  <si>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</si>
  <si>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</si>
  <si>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</si>
  <si>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</si>
  <si>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</si>
  <si>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</si>
  <si>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</si>
  <si>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</si>
  <si>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</si>
  <si>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</si>
  <si>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</si>
  <si>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</si>
  <si>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</si>
  <si>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</si>
  <si>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</si>
  <si>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</si>
  <si>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</si>
  <si>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</si>
  <si>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</si>
  <si>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</si>
  <si>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</si>
  <si>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</si>
  <si>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</si>
  <si>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</si>
  <si>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</si>
  <si>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</si>
  <si>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</si>
  <si>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</si>
  <si>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</si>
  <si>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</si>
  <si>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</si>
  <si>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</si>
  <si>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</si>
  <si>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</si>
  <si>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</si>
  <si>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</si>
  <si>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</si>
  <si>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</si>
  <si>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</si>
  <si>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</si>
  <si>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</si>
  <si>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</si>
  <si>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</si>
  <si>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</si>
  <si>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</si>
  <si>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</si>
  <si>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</si>
  <si>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</si>
  <si>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</si>
  <si>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</si>
  <si>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</si>
  <si>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</si>
  <si>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</si>
  <si>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</si>
  <si>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</si>
  <si>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</si>
  <si>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</si>
  <si>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</si>
  <si>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</si>
  <si>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</si>
  <si>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</si>
  <si>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</si>
  <si>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</si>
  <si>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</si>
  <si>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</si>
  <si>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</si>
  <si>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</si>
  <si>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</si>
  <si>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</si>
  <si>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</si>
  <si>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</si>
  <si>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</si>
  <si>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</si>
  <si>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</si>
  <si>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</si>
  <si>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</si>
  <si>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</si>
  <si>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</si>
  <si>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</si>
  <si>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</si>
  <si>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</si>
  <si>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</si>
  <si>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</si>
  <si>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</si>
  <si>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</si>
  <si>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</si>
  <si>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</si>
  <si>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</si>
  <si>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</si>
  <si>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</si>
  <si>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</si>
  <si>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</si>
  <si>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</si>
  <si>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</si>
  <si>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</si>
  <si>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</si>
  <si>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</si>
  <si>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</si>
  <si>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</si>
  <si>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</si>
  <si>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</si>
  <si>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</si>
  <si>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</si>
  <si>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</si>
  <si>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</si>
  <si>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</si>
  <si>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</si>
  <si>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</si>
  <si>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</si>
  <si>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</si>
  <si>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</si>
  <si>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</si>
  <si>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</si>
  <si>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</si>
  <si>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</si>
  <si>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</si>
  <si>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</si>
  <si>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</si>
  <si>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</si>
  <si>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</si>
  <si>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</si>
  <si>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</si>
  <si>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</si>
  <si>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</si>
  <si>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</si>
  <si>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</si>
  <si>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</si>
  <si>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</si>
  <si>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</si>
  <si>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</si>
  <si>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</si>
  <si>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</si>
  <si>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</si>
  <si>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</si>
  <si>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</si>
  <si>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</si>
  <si>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</si>
  <si>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</si>
  <si>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</si>
  <si>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</si>
  <si>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</si>
  <si>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</si>
  <si>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</si>
  <si>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</si>
  <si>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</si>
  <si>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</si>
  <si>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</si>
  <si>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</si>
  <si>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</si>
  <si>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</si>
  <si>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</si>
  <si>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</si>
  <si>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</si>
  <si>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</si>
  <si>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</si>
  <si>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</si>
  <si>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</si>
  <si>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</si>
  <si>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</si>
  <si>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</si>
  <si>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</si>
  <si>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</si>
  <si>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</si>
  <si>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</si>
  <si>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</si>
  <si>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</si>
  <si>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</si>
  <si>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</si>
  <si>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</si>
  <si>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</si>
  <si>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</si>
  <si>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</si>
  <si>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</si>
  <si>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</si>
  <si>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</si>
  <si>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</si>
  <si>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</si>
  <si>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</si>
  <si>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</si>
  <si>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</si>
  <si>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</si>
  <si>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</si>
  <si>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</si>
  <si>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</si>
  <si>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</si>
  <si>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</si>
  <si>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</si>
  <si>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</si>
  <si>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</si>
  <si>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</si>
  <si>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</si>
  <si>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</si>
  <si>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</si>
  <si>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</si>
  <si>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</si>
  <si>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</si>
  <si>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</si>
  <si>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</si>
  <si>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</si>
  <si>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</si>
  <si>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</si>
  <si>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</si>
  <si>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</si>
  <si>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</si>
  <si>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</si>
  <si>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</si>
  <si>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</si>
  <si>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</si>
  <si>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</si>
  <si>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</si>
  <si>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</si>
  <si>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</si>
  <si>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</si>
  <si>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</si>
  <si>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</si>
  <si>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</si>
  <si>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</si>
  <si>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</si>
  <si>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</si>
  <si>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</si>
  <si>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</si>
  <si>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</si>
  <si>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</si>
  <si>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</si>
  <si>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</si>
  <si>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</si>
  <si>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</si>
  <si>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</si>
  <si>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</si>
  <si>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</si>
  <si>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</si>
  <si>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</si>
  <si>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</si>
  <si>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</si>
  <si>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</si>
  <si>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</si>
  <si>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</si>
  <si>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</si>
  <si>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</si>
  <si>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</si>
  <si>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</si>
  <si>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</si>
  <si>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</si>
  <si>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</si>
  <si>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</si>
  <si>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</si>
  <si>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</si>
  <si>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</si>
  <si>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</si>
  <si>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</si>
  <si>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</si>
  <si>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</si>
  <si>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</si>
  <si>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</si>
  <si>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</si>
  <si>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</si>
  <si>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</si>
  <si>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</si>
  <si>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</si>
  <si>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</si>
  <si>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</si>
  <si>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</si>
  <si>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</si>
  <si>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</si>
  <si>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</si>
  <si>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</si>
  <si>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</si>
  <si>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</si>
  <si>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</si>
  <si>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</si>
  <si>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</si>
  <si>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</si>
  <si>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</si>
  <si>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</si>
  <si>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</si>
  <si>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</si>
  <si>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</si>
  <si>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</si>
  <si>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</si>
  <si>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</si>
  <si>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</si>
  <si>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</si>
  <si>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</si>
  <si>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</si>
  <si>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</si>
  <si>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</si>
  <si>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</si>
  <si>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</si>
  <si>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</si>
  <si>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</si>
  <si>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</si>
  <si>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</si>
  <si>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</si>
  <si>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</si>
  <si>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</si>
  <si>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</si>
  <si>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</si>
  <si>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</si>
  <si>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</si>
  <si>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</si>
  <si>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</si>
  <si>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</si>
  <si>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</si>
  <si>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</si>
  <si>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</si>
  <si>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</si>
  <si>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</si>
  <si>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</si>
  <si>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</si>
  <si>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</si>
  <si>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</si>
  <si>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</si>
  <si>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</si>
  <si>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</si>
  <si>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</si>
  <si>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</si>
  <si>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</si>
  <si>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</si>
  <si>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</si>
  <si>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</si>
  <si>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</si>
  <si>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</si>
  <si>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</si>
  <si>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</si>
  <si>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</si>
  <si>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</si>
  <si>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</si>
  <si>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</si>
  <si>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</si>
  <si>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</si>
  <si>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</si>
  <si>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</si>
  <si>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</si>
  <si>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</si>
  <si>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</si>
  <si>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</si>
  <si>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</si>
  <si>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</si>
  <si>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</si>
  <si>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</si>
  <si>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</si>
  <si>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</si>
  <si>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</si>
  <si>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</si>
  <si>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</si>
  <si>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</si>
  <si>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</si>
  <si>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</si>
  <si>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</si>
  <si>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</si>
  <si>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</si>
  <si>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</si>
  <si>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</si>
  <si>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</si>
  <si>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</si>
  <si>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</si>
  <si>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</si>
  <si>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</si>
  <si>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</si>
  <si>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</si>
  <si>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</si>
  <si>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</si>
  <si>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</si>
  <si>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</si>
  <si>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</si>
  <si>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</si>
  <si>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</si>
  <si>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</si>
  <si>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</si>
  <si>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</si>
  <si>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</si>
  <si>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</si>
  <si>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</si>
  <si>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</si>
  <si>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</si>
  <si>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</si>
  <si>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</si>
  <si>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</si>
  <si>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</si>
  <si>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</si>
  <si>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</si>
  <si>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</si>
  <si>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</si>
  <si>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</si>
  <si>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</si>
  <si>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</si>
  <si>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</si>
  <si>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</si>
  <si>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</si>
  <si>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</si>
  <si>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</si>
  <si>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</si>
  <si>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</si>
  <si>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</si>
  <si>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</si>
  <si>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</si>
  <si>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</si>
  <si>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</si>
  <si>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</si>
  <si>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</si>
  <si>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</si>
  <si>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</si>
  <si>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</si>
  <si>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</si>
  <si>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</si>
  <si>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</si>
  <si>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</si>
  <si>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</si>
  <si>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</si>
  <si>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</si>
  <si>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</si>
  <si>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</si>
  <si>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</si>
  <si>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</si>
  <si>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</si>
  <si>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</si>
  <si>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</si>
  <si>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</si>
  <si>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</si>
  <si>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</si>
  <si>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</si>
  <si>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</si>
  <si>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</si>
  <si>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</si>
  <si>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</si>
  <si>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</si>
  <si>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</si>
  <si>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</si>
  <si>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</si>
  <si>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</si>
  <si>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</si>
  <si>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</si>
  <si>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</si>
  <si>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</si>
  <si>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</si>
  <si>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</si>
  <si>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</si>
  <si>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</si>
  <si>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</si>
  <si>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</si>
  <si>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</si>
  <si>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</si>
  <si>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</si>
  <si>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</si>
  <si>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</si>
  <si>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</si>
  <si>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</si>
  <si>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</si>
  <si>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</si>
  <si>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</si>
  <si>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</si>
  <si>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</si>
  <si>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</si>
  <si>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</si>
  <si>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</si>
  <si>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</si>
  <si>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</si>
  <si>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</si>
  <si>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</si>
  <si>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</si>
  <si>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</si>
  <si>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</si>
  <si>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</si>
  <si>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</si>
  <si>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</si>
  <si>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</si>
  <si>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</si>
  <si>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</si>
  <si>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</si>
  <si>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</si>
  <si>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</si>
  <si>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</si>
  <si>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</si>
  <si>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</si>
  <si>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</si>
  <si>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</si>
  <si>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</si>
  <si>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</si>
  <si>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</si>
  <si>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</si>
  <si>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</si>
  <si>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</si>
  <si>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</si>
  <si>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</si>
  <si>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</si>
  <si>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</si>
  <si>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</si>
  <si>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</si>
  <si>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</si>
  <si>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</si>
  <si>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</si>
  <si>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</si>
  <si>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</si>
  <si>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</si>
  <si>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</si>
  <si>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</si>
  <si>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</si>
  <si>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</si>
  <si>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</si>
  <si>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</si>
  <si>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</si>
  <si>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</si>
  <si>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</si>
  <si>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</si>
  <si>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</si>
  <si>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</si>
  <si>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</si>
  <si>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</si>
  <si>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</si>
  <si>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</si>
  <si>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</si>
  <si>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</si>
  <si>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</si>
  <si>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</si>
  <si>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</si>
  <si>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</si>
  <si>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</si>
  <si>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</si>
  <si>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</si>
  <si>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</si>
  <si>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</si>
  <si>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</si>
  <si>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</si>
  <si>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</si>
  <si>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</si>
  <si>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</si>
  <si>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</si>
  <si>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</si>
  <si>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</si>
  <si>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</si>
  <si>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</si>
  <si>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</si>
  <si>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</si>
  <si>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</si>
  <si>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</si>
  <si>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</si>
  <si>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</si>
  <si>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</si>
  <si>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</si>
  <si>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</si>
  <si>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</si>
  <si>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</si>
  <si>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</si>
  <si>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</si>
  <si>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</si>
  <si>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</si>
  <si>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</si>
  <si>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</si>
  <si>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</si>
  <si>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</si>
  <si>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</si>
  <si>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</si>
  <si>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</si>
  <si>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</si>
  <si>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</si>
  <si>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</si>
  <si>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</si>
  <si>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</si>
  <si>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</si>
  <si>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</si>
  <si>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</si>
  <si>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</si>
  <si>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</si>
  <si>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</si>
  <si>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</si>
  <si>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</si>
  <si>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</si>
  <si>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</si>
  <si>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</si>
  <si>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</si>
  <si>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</si>
  <si>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</si>
  <si>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</si>
  <si>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</si>
  <si>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</si>
  <si>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</si>
  <si>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</si>
  <si>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</si>
  <si>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</si>
  <si>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</si>
  <si>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</si>
  <si>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</si>
  <si>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</si>
  <si>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</si>
  <si>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</si>
  <si>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</si>
  <si>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</si>
  <si>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</si>
  <si>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</si>
  <si>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</si>
  <si>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</si>
  <si>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</si>
  <si>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</si>
  <si>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</si>
  <si>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</si>
  <si>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</si>
  <si>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</si>
  <si>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</si>
  <si>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</si>
  <si>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</si>
  <si>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</si>
  <si>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</si>
  <si>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</si>
  <si>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</si>
  <si>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</si>
  <si>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</si>
  <si>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</si>
  <si>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</si>
  <si>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</si>
  <si>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</si>
  <si>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</si>
  <si>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</si>
  <si>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</si>
  <si>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</si>
  <si>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</si>
  <si>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</si>
  <si>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</si>
  <si>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</si>
  <si>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</si>
  <si>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</si>
  <si>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</si>
  <si>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</si>
  <si>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</si>
  <si>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</si>
  <si>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</si>
  <si>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</si>
  <si>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</si>
  <si>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</si>
  <si>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</si>
  <si>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</si>
  <si>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</si>
  <si>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</si>
  <si>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</si>
  <si>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</si>
  <si>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</si>
  <si>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</si>
  <si>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</si>
  <si>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</si>
  <si>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</si>
  <si>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</si>
  <si>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</si>
  <si>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</si>
  <si>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</si>
  <si>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</si>
  <si>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</si>
  <si>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</si>
  <si>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</si>
  <si>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</si>
  <si>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</si>
  <si>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</si>
  <si>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</si>
  <si>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</si>
  <si>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</si>
  <si>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</si>
  <si>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</si>
  <si>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</si>
  <si>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</si>
  <si>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</si>
  <si>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</si>
  <si>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</si>
  <si>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</si>
  <si>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</si>
  <si>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</si>
  <si>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</si>
  <si>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</si>
  <si>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</si>
  <si>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</si>
  <si>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</si>
  <si>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</si>
  <si>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</si>
  <si>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</si>
  <si>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</si>
  <si>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</si>
  <si>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</si>
  <si>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</si>
  <si>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</si>
  <si>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</si>
  <si>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</si>
  <si>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</si>
  <si>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</si>
  <si>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</si>
  <si>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</si>
  <si>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</si>
  <si>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</si>
  <si>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</si>
  <si>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</si>
  <si>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</si>
  <si>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</si>
  <si>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</si>
  <si>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</si>
  <si>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</si>
  <si>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</si>
  <si>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</si>
  <si>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</si>
  <si>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</si>
  <si>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</si>
  <si>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</si>
  <si>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</si>
  <si>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</si>
  <si>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</si>
  <si>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</si>
  <si>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</si>
  <si>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</si>
  <si>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</si>
  <si>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</si>
  <si>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</si>
  <si>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</si>
  <si>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</si>
  <si>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</si>
  <si>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</si>
  <si>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</si>
  <si>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</si>
  <si>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</si>
  <si>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</si>
  <si>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</si>
  <si>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</si>
  <si>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</si>
  <si>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</si>
  <si>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</si>
  <si>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</si>
  <si>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</si>
  <si>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</si>
  <si>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</si>
  <si>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</si>
  <si>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</si>
  <si>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</si>
  <si>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</si>
  <si>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</si>
  <si>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</si>
  <si>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</si>
  <si>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</si>
  <si>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</si>
  <si>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</si>
  <si>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</si>
  <si>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</si>
  <si>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</si>
  <si>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</si>
  <si>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</si>
  <si>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</si>
  <si>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</si>
  <si>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</si>
  <si>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</si>
  <si>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</si>
  <si>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</si>
  <si>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</si>
  <si>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</si>
  <si>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</si>
  <si>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</si>
  <si>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</si>
  <si>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</si>
  <si>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</si>
  <si>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</si>
  <si>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</si>
  <si>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</si>
  <si>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</si>
  <si>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</si>
  <si>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</si>
  <si>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</si>
  <si>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</si>
  <si>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</si>
  <si>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</si>
  <si>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</si>
  <si>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</si>
  <si>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</si>
  <si>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</si>
  <si>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</si>
  <si>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</si>
  <si>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</si>
  <si>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</si>
  <si>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</si>
  <si>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</si>
  <si>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</si>
  <si>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</si>
  <si>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</si>
  <si>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</si>
  <si>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</si>
  <si>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</si>
  <si>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</si>
  <si>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</si>
  <si>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</si>
  <si>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</si>
  <si>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</si>
  <si>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</si>
  <si>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</si>
  <si>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</si>
  <si>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</si>
  <si>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</si>
  <si>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</si>
  <si>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</si>
  <si>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</si>
  <si>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</si>
  <si>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</si>
  <si>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</si>
  <si>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</si>
  <si>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</si>
  <si>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</si>
  <si>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</si>
  <si>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</si>
  <si>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</si>
  <si>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</si>
  <si>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</si>
  <si>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</si>
  <si>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</si>
  <si>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</si>
  <si>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</si>
  <si>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</si>
  <si>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</si>
  <si>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</si>
  <si>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</si>
  <si>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</si>
  <si>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</si>
  <si>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</si>
  <si>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</si>
  <si>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</si>
  <si>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</si>
  <si>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</si>
  <si>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</si>
  <si>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</si>
  <si>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</si>
  <si>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</si>
  <si>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</si>
  <si>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</si>
  <si>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</si>
  <si>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</si>
  <si>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</si>
  <si>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</si>
  <si>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</si>
  <si>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</si>
  <si>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</si>
  <si>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</si>
  <si>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</si>
  <si>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</si>
  <si>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</si>
  <si>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</si>
  <si>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</si>
  <si>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</si>
  <si>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</si>
  <si>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</si>
  <si>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</si>
  <si>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</si>
  <si>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</si>
  <si>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</si>
  <si>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</si>
  <si>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</si>
  <si>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</si>
  <si>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</si>
  <si>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</si>
  <si>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</si>
  <si>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</si>
  <si>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</si>
  <si>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</si>
  <si>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</si>
  <si>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</si>
  <si>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</si>
  <si>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</si>
  <si>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</si>
  <si>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</si>
  <si>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</si>
  <si>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</si>
  <si>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</si>
  <si>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</si>
  <si>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</si>
  <si>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</si>
  <si>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</si>
  <si>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</si>
  <si>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</si>
  <si>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</si>
  <si>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</si>
  <si>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</si>
  <si>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</si>
  <si>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</si>
  <si>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</si>
  <si>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</si>
  <si>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</si>
  <si>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</si>
  <si>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</si>
  <si>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</si>
  <si>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</si>
  <si>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</si>
  <si>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</si>
  <si>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</si>
  <si>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</si>
  <si>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</si>
  <si>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</si>
  <si>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</si>
  <si>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</si>
  <si>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</si>
  <si>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</si>
  <si>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</si>
  <si>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</si>
  <si>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</si>
  <si>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</si>
  <si>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</si>
  <si>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</si>
  <si>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</si>
  <si>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</si>
  <si>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</si>
  <si>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</si>
  <si>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</si>
  <si>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</si>
  <si>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</si>
  <si>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</si>
  <si>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</si>
  <si>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</si>
  <si>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</si>
  <si>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</si>
  <si>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</si>
  <si>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</si>
  <si>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</si>
  <si>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</si>
  <si>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</si>
  <si>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</si>
  <si>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</si>
  <si>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</si>
  <si>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</si>
  <si>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</si>
  <si>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</si>
  <si>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</si>
  <si>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</si>
  <si>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</si>
  <si>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</si>
  <si>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</si>
  <si>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</si>
  <si>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</si>
  <si>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</si>
  <si>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</si>
  <si>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</si>
  <si>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</si>
  <si>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</si>
  <si>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</si>
  <si>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</si>
  <si>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</si>
  <si>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</si>
  <si>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</si>
  <si>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</si>
  <si>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</si>
  <si>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</si>
  <si>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</si>
  <si>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</si>
  <si>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</si>
  <si>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</si>
  <si>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</si>
  <si>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</si>
  <si>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</si>
  <si>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</si>
  <si>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</si>
  <si>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</si>
  <si>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</si>
  <si>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</si>
  <si>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</si>
  <si>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</si>
  <si>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</si>
  <si>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</si>
  <si>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</si>
  <si>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</si>
  <si>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</si>
  <si>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</si>
  <si>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</si>
  <si>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</si>
  <si>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</si>
  <si>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</si>
  <si>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</si>
  <si>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</si>
  <si>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</si>
  <si>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</si>
  <si>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</si>
  <si>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</si>
  <si>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</si>
  <si>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</si>
  <si>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</si>
  <si>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</si>
  <si>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</si>
  <si>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</si>
  <si>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</si>
  <si>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</si>
  <si>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</si>
  <si>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</si>
  <si>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</si>
  <si>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</si>
  <si>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</si>
  <si>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</si>
  <si>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</si>
  <si>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</si>
  <si>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</si>
  <si>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</si>
  <si>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</si>
  <si>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</si>
  <si>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</si>
  <si>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</si>
  <si>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</si>
  <si>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</si>
  <si>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</si>
  <si>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</si>
  <si>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</si>
  <si>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</si>
  <si>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</si>
  <si>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</si>
  <si>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</si>
  <si>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</si>
  <si>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</si>
  <si>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</si>
  <si>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</si>
  <si>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</si>
  <si>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</si>
  <si>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</si>
  <si>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</si>
  <si>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</si>
  <si>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</si>
  <si>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</si>
  <si>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</si>
  <si>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</si>
  <si>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</si>
  <si>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</si>
  <si>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</si>
  <si>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</si>
  <si>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</si>
  <si>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</si>
  <si>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</si>
  <si>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</si>
  <si>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</si>
  <si>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</si>
  <si>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</si>
  <si>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</si>
  <si>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</si>
  <si>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</si>
  <si>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</si>
  <si>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</si>
  <si>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</si>
  <si>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</si>
  <si>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</si>
  <si>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</si>
  <si>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</si>
  <si>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</si>
  <si>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</si>
  <si>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</si>
  <si>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</si>
  <si>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</si>
  <si>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</si>
  <si>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</si>
  <si>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</si>
  <si>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</si>
  <si>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</si>
  <si>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</si>
  <si>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</si>
  <si>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</si>
  <si>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</si>
  <si>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</si>
  <si>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</si>
  <si>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</si>
  <si>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</si>
  <si>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</si>
  <si>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</si>
  <si>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</si>
  <si>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</si>
  <si>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</si>
  <si>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</si>
  <si>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</si>
  <si>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</si>
  <si>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</si>
  <si>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</si>
  <si>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</si>
  <si>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</si>
  <si>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</si>
  <si>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</si>
  <si>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</si>
  <si>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</si>
  <si>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</si>
  <si>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</si>
  <si>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</si>
  <si>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</si>
  <si>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</si>
  <si>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</si>
  <si>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</si>
  <si>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</si>
  <si>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</si>
  <si>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</si>
  <si>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</si>
  <si>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</si>
  <si>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</si>
  <si>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</si>
  <si>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</si>
  <si>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</si>
  <si>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</si>
  <si>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</si>
  <si>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</si>
  <si>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</si>
  <si>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</si>
  <si>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</si>
  <si>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</si>
  <si>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</si>
  <si>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</si>
  <si>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</si>
  <si>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</si>
  <si>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</si>
  <si>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</si>
  <si>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</si>
  <si>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</si>
  <si>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</si>
  <si>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</si>
  <si>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</si>
  <si>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</si>
  <si>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</si>
  <si>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</si>
  <si>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</si>
  <si>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</si>
  <si>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</si>
  <si>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</si>
  <si>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</si>
  <si>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</si>
  <si>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</si>
  <si>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</si>
  <si>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</si>
  <si>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</si>
  <si>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</si>
  <si>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</si>
  <si>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</si>
  <si>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</si>
  <si>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</si>
  <si>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</si>
  <si>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</si>
  <si>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</si>
  <si>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</si>
  <si>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</si>
  <si>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</si>
  <si>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</si>
  <si>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</si>
  <si>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</si>
  <si>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</si>
  <si>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</si>
  <si>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</si>
  <si>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</si>
  <si>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</si>
  <si>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</si>
  <si>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</si>
  <si>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</si>
  <si>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</si>
  <si>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</si>
  <si>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</si>
  <si>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</si>
  <si>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</si>
  <si>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</si>
  <si>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</si>
  <si>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</si>
  <si>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</si>
  <si>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</si>
  <si>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</si>
  <si>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</si>
  <si>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</si>
  <si>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</si>
  <si>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</si>
  <si>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</si>
  <si>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</si>
  <si>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</si>
  <si>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</si>
  <si>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</si>
  <si>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</si>
  <si>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</si>
  <si>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</si>
  <si>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</si>
  <si>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</si>
  <si>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</si>
  <si>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</si>
  <si>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</si>
  <si>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</si>
  <si>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</si>
  <si>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</si>
  <si>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</si>
  <si>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</si>
  <si>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</si>
  <si>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</si>
  <si>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</si>
  <si>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</si>
  <si>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</si>
  <si>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</si>
  <si>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</si>
  <si>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</si>
  <si>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</si>
  <si>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</si>
  <si>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</si>
  <si>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</si>
  <si>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</si>
  <si>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</si>
  <si>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</si>
  <si>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</si>
  <si>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</si>
  <si>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</si>
  <si>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</si>
  <si>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</si>
  <si>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</si>
  <si>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</si>
  <si>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</si>
  <si>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</si>
  <si>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</si>
  <si>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</si>
  <si>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</si>
  <si>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</si>
  <si>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</si>
  <si>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</si>
  <si>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</si>
  <si>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</si>
  <si>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</si>
  <si>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</si>
  <si>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</si>
  <si>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</si>
  <si>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</si>
  <si>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</si>
  <si>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</si>
  <si>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</si>
  <si>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</si>
  <si>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</si>
  <si>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</si>
  <si>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</si>
  <si>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</si>
  <si>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</si>
  <si>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</si>
  <si>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</si>
  <si>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</si>
  <si>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</si>
  <si>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</si>
  <si>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</si>
  <si>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</si>
  <si>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</si>
  <si>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</si>
  <si>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</si>
  <si>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</si>
  <si>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</si>
  <si>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</si>
  <si>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</si>
  <si>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</si>
  <si>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</si>
  <si>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</si>
  <si>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</si>
  <si>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</si>
  <si>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</si>
  <si>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</si>
  <si>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</si>
  <si>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</si>
  <si>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</si>
  <si>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</si>
  <si>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</si>
  <si>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</si>
  <si>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</si>
  <si>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</si>
  <si>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</si>
  <si>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</si>
  <si>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</si>
  <si>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</si>
  <si>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</si>
  <si>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</si>
  <si>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</si>
  <si>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</si>
  <si>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</si>
  <si>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</si>
  <si>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</si>
  <si>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</si>
  <si>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</si>
  <si>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</si>
  <si>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</si>
  <si>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</si>
  <si>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</si>
  <si>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</si>
  <si>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</si>
  <si>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</si>
  <si>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</si>
  <si>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</si>
  <si>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</si>
  <si>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</si>
  <si>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</si>
  <si>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</si>
  <si>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</si>
  <si>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</si>
  <si>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</si>
  <si>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</si>
  <si>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</si>
  <si>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</si>
  <si>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</si>
  <si>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</si>
  <si>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</si>
  <si>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</si>
  <si>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</si>
  <si>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</si>
  <si>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</si>
  <si>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</si>
  <si>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</si>
  <si>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</si>
  <si>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</si>
  <si>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</si>
  <si>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</si>
  <si>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</si>
  <si>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</si>
  <si>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</si>
  <si>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</si>
  <si>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</si>
  <si>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</si>
  <si>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</si>
  <si>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</si>
  <si>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</si>
  <si>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</si>
  <si>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</si>
  <si>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</si>
  <si>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</si>
  <si>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</si>
  <si>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</si>
  <si>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</si>
  <si>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</si>
  <si>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</si>
  <si>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</si>
  <si>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</si>
  <si>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</si>
  <si>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</si>
  <si>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</si>
  <si>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</si>
  <si>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</si>
  <si>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</si>
  <si>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</si>
  <si>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</si>
  <si>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</si>
  <si>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</si>
  <si>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</si>
  <si>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</si>
  <si>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</si>
  <si>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</si>
  <si>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</si>
  <si>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</si>
  <si>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</si>
  <si>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</si>
  <si>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</si>
  <si>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</si>
  <si>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</si>
  <si>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</si>
  <si>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</si>
  <si>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</si>
  <si>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</si>
  <si>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</si>
  <si>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</si>
  <si>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</si>
  <si>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</si>
  <si>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</si>
  <si>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</si>
  <si>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</si>
  <si>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</si>
  <si>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</si>
  <si>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</si>
  <si>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</si>
  <si>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</si>
  <si>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</si>
  <si>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</si>
  <si>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</si>
  <si>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</si>
  <si>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</si>
  <si>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</si>
  <si>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</si>
  <si>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</si>
  <si>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</si>
  <si>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</si>
  <si>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</si>
  <si>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</si>
  <si>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</si>
  <si>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</si>
  <si>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</si>
  <si>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</si>
  <si>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</si>
  <si>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</si>
  <si>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</si>
  <si>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</si>
  <si>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</si>
  <si>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</si>
  <si>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</si>
  <si>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</si>
  <si>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</si>
  <si>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</si>
  <si>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</si>
  <si>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</si>
  <si>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</si>
  <si>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</si>
  <si>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</si>
  <si>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</si>
  <si>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</si>
  <si>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</si>
  <si>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</si>
  <si>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</si>
  <si>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</si>
  <si>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</si>
  <si>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</si>
  <si>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</si>
  <si>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</si>
  <si>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</si>
  <si>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</si>
  <si>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</si>
  <si>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</si>
  <si>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</si>
  <si>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</si>
  <si>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</si>
  <si>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</si>
  <si>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</si>
  <si>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</si>
  <si>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</si>
  <si>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</si>
  <si>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</si>
  <si>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</si>
  <si>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</si>
  <si>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</si>
  <si>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</si>
  <si>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</si>
  <si>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</si>
  <si>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</si>
  <si>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</si>
  <si>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</si>
  <si>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</si>
  <si>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</si>
  <si>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</si>
  <si>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</si>
  <si>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</si>
  <si>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</si>
  <si>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</si>
  <si>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</si>
  <si>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</si>
  <si>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</si>
  <si>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</si>
  <si>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</si>
  <si>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</si>
  <si>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</si>
  <si>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</si>
  <si>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</si>
  <si>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</si>
  <si>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</si>
  <si>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</si>
  <si>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</si>
  <si>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</si>
  <si>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</si>
  <si>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</si>
  <si>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</si>
  <si>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</si>
  <si>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</si>
  <si>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</si>
  <si>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</si>
  <si>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</si>
  <si>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</si>
  <si>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</si>
  <si>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</si>
  <si>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</si>
  <si>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</si>
  <si>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</si>
  <si>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</si>
  <si>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</si>
  <si>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</si>
  <si>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</si>
  <si>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</si>
  <si>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</si>
  <si>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</si>
  <si>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</si>
  <si>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</si>
  <si>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</si>
  <si>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</si>
  <si>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</si>
  <si>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</si>
  <si>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</si>
  <si>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</si>
  <si>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</si>
  <si>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</si>
  <si>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</si>
  <si>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</si>
  <si>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</si>
  <si>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</si>
  <si>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</si>
  <si>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</si>
  <si>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</si>
  <si>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</si>
  <si>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</si>
  <si>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</si>
  <si>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</si>
  <si>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</si>
  <si>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</si>
  <si>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</si>
  <si>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</si>
  <si>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</si>
  <si>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</si>
  <si>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</si>
  <si>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</si>
  <si>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</si>
  <si>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</si>
  <si>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</si>
  <si>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</si>
  <si>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</si>
  <si>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</si>
  <si>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</si>
  <si>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</si>
  <si>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</si>
  <si>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</si>
  <si>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</si>
  <si>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</si>
  <si>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</si>
  <si>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</si>
  <si>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</si>
  <si>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</si>
  <si>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</si>
  <si>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</si>
  <si>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</si>
  <si>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</si>
  <si>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</si>
  <si>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</si>
  <si>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</si>
  <si>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</si>
  <si>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</si>
  <si>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</si>
  <si>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</si>
  <si>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</si>
  <si>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</si>
  <si>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</si>
  <si>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</si>
  <si>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</si>
  <si>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</si>
  <si>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</si>
  <si>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</si>
  <si>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</si>
  <si>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</si>
  <si>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</si>
  <si>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</si>
  <si>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</si>
  <si>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</si>
  <si>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</si>
  <si>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</si>
  <si>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</si>
  <si>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</si>
  <si>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</si>
  <si>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</si>
  <si>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</si>
  <si>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</si>
  <si>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</si>
  <si>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</si>
  <si>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</si>
  <si>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</si>
  <si>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</si>
  <si>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</si>
  <si>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</si>
  <si>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</si>
  <si>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</si>
  <si>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</si>
  <si>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</si>
  <si>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</si>
  <si>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</si>
  <si>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</si>
  <si>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</si>
  <si>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</si>
  <si>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</si>
  <si>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</si>
  <si>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</si>
  <si>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</si>
  <si>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</si>
  <si>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</si>
  <si>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</si>
  <si>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</si>
  <si>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</si>
  <si>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</si>
  <si>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</si>
  <si>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</si>
  <si>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</si>
  <si>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</si>
  <si>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</si>
  <si>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</si>
  <si>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</si>
  <si>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</si>
  <si>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</si>
  <si>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</si>
  <si>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</si>
  <si>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</si>
  <si>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</si>
  <si>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</si>
  <si>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</si>
  <si>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</si>
  <si>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</si>
  <si>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</si>
  <si>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</si>
  <si>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</si>
  <si>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</si>
  <si>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</si>
  <si>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</si>
  <si>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</si>
  <si>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</si>
  <si>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</si>
  <si>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</si>
  <si>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</si>
  <si>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</si>
  <si>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</si>
  <si>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</si>
  <si>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</si>
  <si>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</si>
  <si>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</si>
  <si>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</si>
  <si>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</si>
  <si>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</si>
  <si>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</si>
  <si>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</si>
  <si>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</si>
  <si>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</si>
  <si>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</si>
  <si>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</si>
  <si>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</si>
  <si>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</si>
  <si>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</si>
  <si>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</si>
  <si>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</si>
  <si>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</si>
  <si>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</si>
  <si>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</si>
  <si>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</si>
  <si>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</si>
  <si>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</si>
  <si>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</si>
  <si>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</si>
  <si>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</si>
  <si>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</si>
  <si>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</si>
  <si>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</si>
  <si>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</si>
  <si>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</si>
  <si>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</si>
  <si>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</si>
  <si>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</si>
  <si>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</si>
  <si>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</si>
  <si>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</si>
  <si>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</si>
  <si>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</si>
  <si>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</si>
  <si>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</si>
  <si>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</si>
  <si>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</si>
  <si>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</si>
  <si>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</si>
  <si>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</si>
  <si>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</si>
  <si>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</si>
  <si>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</si>
  <si>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</si>
  <si>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</si>
  <si>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</si>
  <si>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</si>
  <si>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</si>
  <si>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</si>
  <si>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</si>
  <si>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</si>
  <si>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</si>
  <si>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</si>
  <si>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</si>
  <si>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</si>
  <si>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</si>
  <si>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</si>
  <si>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</si>
  <si>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</si>
  <si>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</si>
  <si>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</si>
  <si>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</si>
  <si>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</si>
  <si>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</si>
  <si>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</si>
  <si>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</si>
  <si>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</si>
  <si>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</si>
  <si>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</si>
  <si>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</si>
  <si>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</si>
  <si>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</si>
  <si>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</si>
  <si>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</si>
  <si>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</si>
  <si>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</si>
  <si>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</si>
  <si>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</si>
  <si>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</si>
  <si>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</si>
  <si>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</si>
  <si>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</si>
  <si>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</si>
  <si>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</si>
  <si>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</si>
  <si>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</si>
  <si>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</si>
  <si>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</si>
  <si>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</si>
  <si>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</si>
  <si>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</si>
  <si>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</si>
  <si>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</si>
  <si>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</si>
  <si>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</si>
  <si>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</si>
  <si>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</si>
  <si>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</si>
  <si>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</si>
  <si>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</si>
  <si>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</si>
  <si>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</si>
  <si>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</si>
  <si>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</si>
  <si>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</si>
  <si>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</si>
  <si>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</si>
  <si>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</si>
  <si>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</si>
  <si>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</si>
  <si>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</si>
  <si>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</si>
  <si>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</si>
  <si>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</si>
  <si>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</si>
  <si>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</si>
  <si>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</si>
  <si>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</si>
  <si>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</si>
  <si>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</si>
  <si>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</si>
  <si>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</si>
  <si>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</si>
  <si>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</si>
  <si>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</si>
  <si>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</si>
  <si>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</si>
  <si>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</si>
  <si>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</si>
  <si>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</si>
  <si>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</si>
  <si>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</si>
  <si>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</si>
  <si>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</si>
  <si>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</si>
  <si>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</si>
  <si>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</si>
  <si>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</si>
  <si>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</si>
  <si>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</si>
  <si>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</si>
  <si>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</si>
  <si>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</si>
  <si>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</si>
  <si>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</si>
  <si>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</si>
  <si>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</si>
  <si>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</si>
  <si>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</si>
  <si>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</si>
  <si>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</si>
  <si>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</si>
  <si>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</si>
  <si>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</si>
  <si>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</si>
  <si>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</si>
  <si>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</si>
  <si>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</si>
  <si>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</si>
  <si>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</si>
  <si>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</si>
  <si>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</si>
  <si>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</si>
  <si>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</si>
  <si>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</si>
  <si>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</si>
  <si>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</si>
  <si>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</si>
  <si>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</si>
  <si>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</si>
  <si>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</si>
  <si>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</si>
  <si>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</si>
  <si>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</si>
  <si>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</si>
  <si>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</si>
  <si>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</si>
  <si>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</si>
  <si>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</si>
  <si>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</si>
  <si>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</si>
  <si>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</si>
  <si>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</si>
  <si>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</si>
  <si>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</si>
  <si>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</si>
  <si>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</si>
  <si>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</si>
  <si>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</si>
  <si>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</si>
  <si>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</si>
  <si>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</si>
  <si>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</si>
  <si>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</si>
  <si>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</si>
  <si>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</si>
  <si>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</si>
  <si>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</si>
  <si>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</si>
  <si>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</si>
  <si>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</si>
  <si>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</si>
  <si>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</si>
  <si>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</si>
  <si>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</si>
  <si>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</si>
  <si>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</si>
  <si>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</si>
  <si>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</si>
  <si>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</si>
  <si>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</si>
  <si>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</si>
  <si>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</si>
  <si>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</si>
  <si>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</si>
  <si>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</si>
  <si>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</si>
  <si>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</si>
  <si>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</si>
  <si>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</si>
  <si>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</si>
  <si>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</si>
  <si>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</si>
  <si>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</si>
  <si>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</si>
  <si>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</si>
  <si>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</si>
  <si>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</si>
  <si>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</si>
  <si>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</si>
  <si>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</si>
  <si>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</si>
  <si>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</si>
  <si>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</si>
  <si>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</si>
  <si>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</si>
  <si>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</si>
  <si>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</si>
  <si>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</si>
  <si>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</si>
  <si>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</si>
  <si>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</si>
  <si>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</si>
  <si>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</si>
  <si>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</si>
  <si>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</si>
  <si>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</si>
  <si>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</si>
  <si>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</si>
  <si>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</si>
  <si>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</si>
  <si>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</si>
  <si>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</si>
  <si>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</si>
  <si>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</si>
  <si>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</si>
  <si>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</si>
  <si>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</si>
  <si>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</si>
  <si>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</si>
  <si>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</si>
  <si>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</si>
  <si>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</si>
  <si>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</si>
  <si>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</si>
  <si>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</si>
  <si>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</si>
  <si>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</si>
  <si>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</si>
  <si>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</si>
  <si>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</si>
  <si>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</si>
  <si>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</si>
  <si>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</si>
  <si>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</si>
  <si>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</si>
  <si>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</si>
  <si>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</si>
  <si>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</si>
  <si>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</si>
  <si>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</si>
  <si>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</si>
  <si>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</si>
  <si>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</si>
  <si>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</si>
  <si>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</si>
  <si>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</si>
  <si>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</si>
  <si>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</si>
  <si>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</si>
  <si>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</si>
  <si>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</si>
  <si>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</si>
  <si>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</si>
  <si>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</si>
  <si>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</si>
  <si>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</si>
  <si>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</si>
  <si>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</si>
  <si>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</si>
  <si>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</si>
  <si>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</si>
  <si>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</si>
  <si>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</si>
  <si>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</si>
  <si>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</si>
  <si>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</si>
  <si>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</si>
  <si>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</si>
  <si>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</si>
  <si>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</si>
  <si>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</si>
  <si>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</si>
  <si>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</si>
  <si>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</si>
  <si>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</si>
  <si>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</si>
  <si>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</si>
  <si>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</si>
  <si>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</si>
  <si>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</si>
  <si>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</si>
  <si>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</si>
  <si>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</si>
  <si>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</si>
  <si>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</si>
  <si>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</si>
  <si>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</si>
  <si>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</si>
  <si>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</si>
  <si>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</si>
  <si>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</si>
  <si>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</si>
  <si>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</si>
  <si>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</si>
  <si>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</si>
  <si>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</si>
  <si>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</si>
  <si>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</si>
  <si>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</si>
  <si>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</si>
  <si>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</si>
  <si>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</si>
  <si>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</si>
  <si>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</si>
  <si>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</si>
  <si>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</si>
  <si>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</si>
  <si>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</si>
  <si>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</si>
  <si>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</si>
  <si>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</si>
  <si>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</si>
  <si>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</si>
  <si>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</si>
  <si>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</si>
  <si>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</si>
  <si>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</si>
  <si>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</si>
  <si>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</si>
  <si>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</si>
  <si>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</si>
  <si>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</si>
  <si>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</si>
  <si>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</si>
  <si>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</si>
  <si>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</si>
  <si>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</si>
  <si>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</si>
  <si>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</si>
  <si>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</si>
  <si>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</si>
  <si>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</si>
  <si>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</si>
  <si>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</si>
  <si>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</si>
  <si>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</si>
  <si>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</si>
  <si>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</si>
  <si>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</si>
  <si>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</si>
  <si>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</si>
  <si>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</si>
  <si>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</si>
  <si>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</si>
  <si>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</si>
  <si>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</si>
  <si>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</si>
  <si>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</si>
  <si>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</si>
  <si>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</si>
  <si>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</si>
  <si>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</si>
  <si>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</si>
  <si>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</si>
  <si>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</si>
  <si>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</si>
  <si>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</si>
  <si>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</si>
  <si>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</si>
  <si>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</si>
  <si>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</si>
  <si>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</si>
  <si>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</si>
  <si>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</si>
  <si>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</si>
  <si>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</si>
  <si>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</si>
  <si>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</si>
  <si>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</si>
  <si>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</si>
  <si>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</si>
  <si>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</si>
  <si>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</si>
  <si>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</si>
  <si>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</si>
  <si>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</si>
  <si>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</si>
  <si>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</si>
  <si>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</si>
  <si>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</si>
  <si>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</si>
  <si>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</si>
  <si>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</si>
  <si>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</si>
  <si>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</si>
  <si>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</si>
  <si>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</si>
  <si>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</si>
  <si>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</si>
  <si>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</si>
  <si>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</si>
  <si>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</si>
  <si>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</si>
  <si>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</si>
  <si>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</si>
  <si>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</si>
  <si>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</si>
  <si>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</si>
  <si>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</si>
  <si>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</si>
  <si>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</si>
  <si>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</si>
  <si>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</si>
  <si>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</si>
  <si>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</si>
  <si>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</si>
  <si>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</si>
  <si>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</si>
  <si>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</si>
  <si>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</si>
  <si>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</si>
  <si>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</si>
  <si>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</si>
  <si>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</si>
  <si>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</si>
  <si>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</si>
  <si>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</si>
  <si>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</si>
  <si>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</si>
  <si>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</si>
  <si>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</si>
  <si>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</si>
  <si>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</si>
  <si>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</si>
  <si>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</si>
  <si>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</si>
  <si>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</si>
  <si>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</si>
  <si>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</si>
  <si>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</si>
  <si>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</si>
  <si>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</si>
  <si>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</si>
  <si>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</si>
  <si>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</si>
  <si>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</si>
  <si>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</si>
  <si>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</si>
  <si>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</si>
  <si>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</si>
  <si>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</si>
  <si>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</si>
  <si>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</si>
  <si>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</si>
  <si>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</si>
  <si>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</si>
  <si>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</si>
  <si>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</si>
  <si>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</si>
  <si>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</si>
  <si>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</si>
  <si>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</si>
  <si>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</si>
  <si>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</si>
  <si>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</si>
  <si>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</si>
  <si>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</si>
  <si>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</si>
  <si>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</si>
  <si>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</si>
  <si>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</si>
  <si>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</si>
  <si>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</si>
  <si>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</si>
  <si>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</si>
  <si>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</si>
  <si>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</si>
  <si>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</si>
  <si>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</si>
  <si>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</si>
  <si>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</si>
  <si>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</si>
  <si>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</si>
  <si>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</si>
  <si>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</si>
  <si>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</si>
  <si>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</si>
  <si>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</si>
  <si>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</si>
  <si>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</si>
  <si>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</si>
  <si>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</si>
  <si>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</si>
  <si>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</si>
  <si>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</si>
  <si>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</si>
  <si>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</si>
  <si>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</si>
  <si>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</si>
  <si>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</si>
  <si>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</si>
  <si>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</si>
  <si>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</si>
  <si>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</si>
  <si>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</si>
  <si>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</si>
  <si>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</si>
  <si>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</si>
  <si>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</si>
  <si>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</si>
  <si>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</si>
  <si>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</si>
  <si>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</si>
  <si>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</si>
  <si>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</si>
  <si>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</si>
  <si>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</si>
  <si>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</si>
  <si>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</si>
  <si>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</si>
  <si>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</si>
  <si>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</si>
  <si>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</si>
  <si>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</si>
  <si>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</si>
  <si>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</si>
  <si>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</si>
  <si>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</si>
  <si>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</si>
  <si>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</si>
  <si>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</si>
  <si>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</si>
  <si>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</si>
  <si>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</si>
  <si>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</si>
  <si>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</si>
  <si>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</si>
  <si>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</si>
  <si>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</si>
  <si>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</si>
  <si>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</si>
  <si>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</si>
  <si>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</si>
  <si>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</si>
  <si>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</si>
  <si>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</si>
  <si>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</si>
  <si>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</si>
  <si>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</si>
  <si>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</si>
  <si>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</si>
  <si>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</si>
  <si>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</si>
  <si>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</si>
  <si>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</si>
  <si>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</si>
  <si>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</si>
  <si>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</si>
  <si>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</si>
  <si>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</si>
  <si>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</si>
  <si>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</si>
  <si>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</si>
  <si>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</si>
  <si>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</si>
  <si>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</si>
  <si>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</si>
  <si>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</si>
  <si>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</si>
  <si>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</si>
  <si>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</si>
  <si>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</si>
  <si>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</si>
  <si>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</si>
  <si>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</si>
  <si>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</si>
  <si>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</si>
  <si>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</si>
  <si>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</si>
  <si>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</si>
  <si>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</si>
  <si>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</si>
  <si>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</si>
  <si>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</si>
  <si>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</si>
  <si>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</si>
  <si>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</si>
  <si>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</si>
  <si>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</si>
  <si>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</si>
  <si>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</si>
  <si>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</si>
  <si>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</si>
  <si>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</si>
  <si>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</si>
  <si>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</si>
  <si>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</si>
  <si>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</si>
  <si>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</si>
  <si>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</si>
  <si>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</si>
  <si>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</si>
  <si>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</si>
  <si>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</si>
  <si>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</si>
  <si>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</si>
  <si>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</si>
  <si>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</si>
  <si>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</si>
  <si>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</si>
  <si>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</si>
  <si>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</si>
  <si>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</si>
  <si>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</si>
  <si>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</si>
  <si>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</si>
  <si>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</si>
  <si>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</si>
  <si>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</si>
  <si>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</si>
  <si>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</si>
  <si>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</si>
  <si>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</si>
  <si>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</si>
  <si>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</si>
  <si>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</si>
  <si>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</si>
  <si>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</si>
  <si>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</si>
  <si>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</si>
  <si>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</si>
  <si>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</si>
  <si>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</si>
  <si>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</si>
  <si>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</si>
  <si>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</si>
  <si>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</si>
  <si>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</si>
  <si>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</si>
  <si>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</si>
  <si>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</si>
  <si>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</si>
  <si>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</si>
  <si>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</si>
  <si>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</si>
  <si>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</si>
  <si>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</si>
  <si>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</si>
  <si>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</si>
  <si>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</si>
  <si>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</si>
  <si>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</si>
  <si>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</si>
  <si>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</si>
  <si>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</si>
  <si>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</si>
  <si>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</si>
  <si>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</si>
  <si>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</si>
  <si>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</si>
  <si>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</si>
  <si>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</si>
  <si>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</si>
  <si>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</si>
  <si>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</si>
  <si>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</si>
  <si>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</si>
  <si>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</si>
  <si>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</si>
  <si>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</si>
  <si>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</si>
  <si>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</si>
  <si>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</si>
  <si>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</si>
  <si>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</si>
  <si>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</si>
  <si>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</si>
  <si>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</si>
  <si>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</si>
  <si>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</si>
  <si>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</si>
  <si>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</si>
  <si>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</si>
  <si>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</si>
  <si>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</si>
  <si>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</si>
  <si>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</si>
  <si>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</si>
  <si>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</si>
  <si>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</si>
  <si>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</si>
  <si>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</si>
  <si>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</si>
  <si>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</si>
  <si>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</si>
  <si>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</si>
  <si>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</si>
  <si>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</si>
  <si>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</si>
  <si>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</si>
  <si>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</si>
  <si>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</si>
  <si>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</si>
  <si>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</si>
  <si>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</si>
  <si>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</si>
  <si>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</si>
  <si>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</si>
  <si>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</si>
  <si>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</si>
  <si>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</si>
  <si>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</si>
  <si>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</si>
  <si>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</si>
  <si>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</si>
  <si>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</si>
  <si>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</si>
  <si>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</si>
  <si>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</si>
  <si>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</si>
  <si>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</si>
  <si>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</si>
  <si>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</si>
  <si>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</si>
  <si>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</si>
  <si>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</si>
  <si>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</si>
  <si>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</si>
  <si>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</si>
  <si>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</si>
  <si>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</si>
  <si>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</si>
  <si>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</si>
  <si>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</si>
  <si>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</si>
  <si>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</si>
  <si>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</si>
  <si>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</si>
  <si>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</si>
  <si>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</si>
  <si>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</si>
  <si>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</si>
  <si>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</si>
  <si>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</si>
  <si>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</si>
  <si>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</si>
  <si>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</si>
  <si>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</si>
  <si>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</si>
  <si>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</si>
  <si>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</si>
  <si>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</si>
  <si>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</si>
  <si>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</si>
  <si>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</si>
  <si>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</si>
  <si>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</si>
  <si>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</si>
  <si>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</si>
  <si>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</si>
  <si>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</si>
  <si>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</si>
  <si>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</si>
  <si>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</si>
  <si>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</si>
  <si>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</si>
  <si>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</si>
  <si>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</si>
  <si>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</si>
  <si>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</si>
  <si>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</si>
  <si>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</si>
  <si>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</si>
  <si>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</si>
  <si>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</si>
  <si>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</si>
  <si>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</si>
  <si>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</si>
  <si>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</si>
  <si>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</si>
  <si>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</si>
  <si>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</si>
  <si>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</si>
  <si>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</si>
  <si>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</si>
  <si>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</si>
  <si>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</si>
  <si>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</si>
  <si>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</si>
  <si>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</si>
  <si>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</si>
  <si>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</si>
  <si>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</si>
  <si>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</si>
  <si>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</si>
  <si>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</si>
  <si>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</si>
  <si>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</si>
  <si>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</si>
  <si>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</si>
  <si>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</si>
  <si>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</si>
  <si>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</si>
  <si>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</si>
  <si>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</si>
  <si>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</si>
  <si>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</si>
  <si>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</si>
  <si>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</si>
  <si>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</si>
  <si>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</si>
  <si>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</si>
  <si>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</si>
  <si>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</si>
  <si>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</si>
  <si>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</si>
  <si>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</si>
  <si>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</si>
  <si>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</si>
  <si>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</si>
  <si>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</si>
  <si>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</si>
  <si>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</si>
  <si>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</si>
  <si>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</si>
  <si>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</si>
  <si>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</si>
  <si>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</si>
  <si>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</si>
  <si>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</si>
  <si>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</si>
  <si>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</si>
  <si>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</si>
  <si>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</si>
  <si>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</si>
  <si>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</si>
  <si>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</si>
  <si>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</si>
  <si>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</si>
  <si>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</si>
  <si>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</si>
  <si>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</si>
  <si>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</si>
  <si>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</si>
  <si>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</si>
  <si>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</si>
  <si>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</si>
  <si>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</si>
  <si>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</si>
  <si>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</si>
  <si>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</si>
  <si>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</si>
  <si>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</si>
  <si>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</si>
  <si>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</si>
  <si>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</si>
  <si>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</si>
  <si>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</si>
  <si>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</si>
  <si>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</si>
  <si>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</si>
  <si>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</si>
  <si>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</si>
  <si>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</si>
  <si>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</si>
  <si>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</si>
  <si>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</si>
  <si>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</si>
  <si>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</si>
  <si>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</si>
  <si>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</si>
  <si>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</si>
  <si>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</si>
  <si>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</si>
  <si>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</si>
  <si>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</si>
  <si>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</si>
  <si>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</si>
  <si>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</si>
  <si>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</si>
  <si>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</si>
  <si>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</si>
  <si>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</si>
  <si>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</si>
  <si>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</si>
  <si>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</si>
  <si>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</si>
  <si>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</si>
  <si>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</si>
  <si>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</si>
  <si>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</si>
  <si>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</si>
  <si>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</si>
  <si>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</si>
  <si>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</si>
  <si>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</si>
  <si>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</si>
  <si>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</si>
  <si>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</si>
  <si>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</si>
  <si>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</si>
  <si>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</si>
  <si>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</si>
  <si>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</si>
  <si>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</si>
  <si>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</si>
  <si>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</si>
  <si>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</si>
  <si>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</si>
  <si>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</si>
  <si>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</si>
  <si>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</si>
  <si>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</si>
  <si>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</si>
  <si>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</si>
  <si>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</si>
  <si>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</si>
  <si>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</si>
  <si>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</si>
  <si>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</si>
  <si>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</si>
  <si>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</si>
  <si>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</si>
  <si>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</si>
  <si>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</si>
  <si>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</si>
  <si>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</si>
  <si>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</si>
  <si>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</si>
  <si>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</si>
  <si>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</si>
  <si>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</si>
  <si>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</si>
  <si>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</si>
  <si>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</si>
  <si>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</si>
  <si>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</si>
  <si>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</si>
  <si>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</si>
  <si>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</si>
  <si>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</si>
  <si>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</si>
  <si>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</si>
  <si>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</si>
  <si>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</si>
  <si>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</si>
  <si>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</si>
  <si>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</si>
  <si>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</si>
  <si>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</si>
  <si>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</si>
  <si>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</si>
  <si>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</si>
  <si>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</si>
  <si>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</si>
  <si>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</si>
  <si>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</si>
  <si>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</si>
  <si>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</si>
  <si>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</si>
  <si>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</si>
  <si>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</si>
  <si>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</si>
  <si>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</si>
  <si>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</si>
  <si>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</si>
  <si>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</si>
  <si>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</si>
  <si>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</si>
  <si>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</si>
  <si>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</si>
  <si>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</si>
  <si>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</si>
  <si>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</si>
  <si>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</si>
  <si>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</si>
  <si>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</si>
  <si>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</si>
  <si>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</si>
  <si>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</si>
  <si>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</si>
  <si>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</si>
  <si>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</si>
  <si>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</si>
  <si>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</si>
  <si>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</si>
  <si>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</si>
  <si>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</si>
  <si>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</si>
  <si>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</si>
  <si>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</si>
  <si>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</si>
  <si>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</si>
  <si>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</si>
  <si>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</si>
  <si>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</si>
  <si>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</si>
  <si>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</si>
  <si>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</si>
  <si>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</si>
  <si>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</si>
  <si>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</si>
  <si>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</si>
  <si>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</si>
  <si>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</si>
  <si>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</si>
  <si>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</si>
  <si>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</si>
  <si>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</si>
  <si>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</si>
  <si>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</si>
  <si>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</si>
  <si>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</si>
  <si>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</si>
  <si>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</si>
  <si>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</si>
  <si>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</si>
  <si>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</si>
  <si>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</si>
  <si>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</si>
  <si>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</si>
  <si>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</si>
  <si>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</si>
  <si>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</si>
  <si>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</si>
  <si>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</si>
  <si>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</si>
  <si>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</si>
  <si>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</si>
  <si>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</si>
  <si>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</si>
  <si>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</si>
  <si>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</si>
  <si>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</si>
  <si>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</si>
  <si>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</si>
  <si>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</si>
  <si>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</si>
  <si>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</si>
  <si>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</si>
  <si>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</si>
  <si>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</si>
  <si>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</si>
  <si>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</si>
  <si>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</si>
  <si>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</si>
  <si>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</si>
  <si>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</si>
  <si>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</si>
  <si>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</si>
  <si>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</si>
  <si>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</si>
  <si>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</si>
  <si>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</si>
  <si>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</si>
  <si>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</si>
  <si>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</si>
  <si>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</si>
  <si>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</si>
  <si>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</si>
  <si>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</si>
  <si>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</si>
  <si>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</si>
  <si>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</si>
  <si>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</si>
  <si>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</si>
  <si>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</si>
  <si>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</si>
  <si>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</si>
  <si>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</si>
  <si>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</si>
  <si>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</si>
  <si>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</si>
  <si>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</si>
  <si>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</si>
  <si>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</si>
  <si>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</si>
  <si>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</si>
  <si>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</si>
  <si>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</si>
  <si>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</si>
  <si>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</si>
  <si>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</si>
  <si>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</si>
  <si>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</si>
  <si>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</si>
  <si>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</si>
  <si>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</si>
  <si>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</si>
  <si>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</si>
  <si>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</si>
  <si>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</si>
  <si>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</si>
  <si>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</si>
  <si>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</si>
  <si>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</si>
  <si>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</si>
  <si>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</si>
  <si>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</si>
  <si>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</si>
  <si>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</si>
  <si>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</si>
  <si>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</si>
  <si>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</si>
  <si>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</si>
  <si>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</si>
  <si>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</si>
  <si>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</si>
  <si>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</si>
  <si>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</si>
  <si>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</si>
  <si>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</si>
  <si>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</si>
  <si>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</si>
  <si>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</si>
  <si>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</si>
  <si>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</si>
  <si>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</si>
  <si>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</si>
  <si>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</si>
  <si>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</si>
  <si>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</si>
  <si>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</si>
  <si>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</si>
  <si>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</si>
  <si>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</si>
  <si>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</si>
  <si>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</si>
  <si>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</si>
  <si>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</si>
  <si>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</si>
  <si>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</si>
  <si>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</si>
  <si>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</si>
  <si>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</si>
  <si>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</si>
  <si>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</si>
  <si>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</si>
  <si>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</si>
  <si>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</si>
  <si>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</si>
  <si>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</si>
  <si>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</si>
  <si>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</si>
  <si>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</si>
  <si>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</si>
  <si>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</si>
  <si>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</si>
  <si>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</si>
  <si>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</si>
  <si>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</si>
  <si>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</si>
  <si>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</si>
  <si>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</si>
  <si>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</si>
  <si>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</si>
  <si>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</si>
  <si>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</si>
  <si>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</si>
  <si>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</si>
  <si>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</si>
  <si>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</si>
  <si>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</si>
  <si>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</si>
  <si>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</si>
  <si>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</si>
  <si>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</si>
  <si>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</si>
  <si>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</si>
  <si>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</si>
  <si>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</si>
  <si>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</si>
  <si>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</si>
  <si>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</si>
  <si>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</si>
  <si>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</si>
  <si>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</si>
  <si>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</si>
  <si>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</si>
  <si>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</si>
  <si>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</si>
  <si>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</si>
  <si>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</si>
  <si>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</si>
  <si>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</si>
  <si>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</si>
  <si>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</si>
  <si>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</si>
  <si>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</si>
  <si>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</si>
  <si>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</si>
  <si>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</si>
  <si>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</si>
  <si>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</si>
  <si>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</si>
  <si>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</si>
  <si>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</si>
  <si>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</si>
  <si>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</si>
  <si>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</si>
  <si>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</si>
  <si>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</si>
  <si>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</si>
  <si>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</si>
  <si>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</si>
  <si>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</si>
  <si>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</si>
  <si>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</si>
  <si>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</si>
  <si>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</si>
  <si>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</si>
  <si>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</si>
  <si>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</si>
  <si>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</si>
  <si>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</si>
  <si>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</si>
  <si>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</si>
  <si>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</si>
  <si>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</si>
  <si>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</si>
  <si>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</si>
  <si>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</si>
  <si>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</si>
  <si>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</si>
  <si>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</si>
  <si>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</si>
  <si>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</si>
  <si>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</si>
  <si>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</si>
  <si>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</si>
  <si>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</si>
  <si>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</si>
  <si>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</si>
  <si>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</si>
  <si>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</si>
  <si>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</si>
  <si>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</si>
  <si>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</si>
  <si>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</si>
  <si>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</si>
  <si>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</si>
  <si>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</si>
  <si>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</si>
  <si>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</si>
  <si>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</si>
  <si>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</si>
  <si>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</si>
  <si>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</si>
  <si>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</si>
  <si>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</si>
  <si>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</si>
  <si>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</si>
  <si>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</si>
  <si>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</si>
  <si>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</si>
  <si>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</si>
  <si>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</si>
  <si>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</si>
  <si>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</si>
  <si>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</si>
  <si>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</si>
  <si>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</si>
  <si>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</si>
  <si>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</si>
  <si>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</si>
  <si>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</si>
  <si>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</si>
  <si>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</si>
  <si>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</si>
  <si>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</si>
  <si>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</si>
  <si>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</si>
  <si>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</si>
  <si>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</si>
  <si>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</si>
  <si>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</si>
  <si>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</si>
  <si>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</si>
  <si>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</si>
  <si>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</si>
  <si>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</si>
  <si>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</si>
  <si>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</si>
  <si>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</si>
  <si>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</si>
  <si>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</si>
  <si>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</si>
  <si>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</si>
  <si>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</si>
  <si>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</si>
  <si>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</si>
  <si>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</si>
  <si>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</si>
  <si>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</si>
  <si>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</si>
  <si>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</si>
  <si>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</si>
  <si>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</si>
  <si>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</si>
  <si>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</si>
  <si>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</si>
  <si>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</si>
  <si>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</si>
  <si>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</si>
  <si>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</si>
  <si>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</si>
  <si>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</si>
  <si>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</si>
  <si>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</si>
  <si>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</si>
  <si>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</si>
  <si>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</si>
  <si>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</si>
  <si>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</si>
  <si>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</si>
  <si>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</si>
  <si>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</si>
  <si>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</si>
  <si>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</si>
  <si>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</si>
  <si>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</si>
  <si>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</si>
  <si>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</si>
  <si>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</si>
  <si>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</si>
  <si>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</si>
  <si>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</si>
  <si>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</si>
  <si>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</si>
  <si>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</si>
  <si>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</si>
  <si>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</si>
  <si>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</si>
  <si>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</si>
  <si>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</si>
  <si>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</si>
  <si>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</si>
  <si>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</si>
  <si>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</si>
  <si>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</si>
  <si>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</si>
  <si>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</si>
  <si>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</si>
  <si>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</si>
  <si>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</si>
  <si>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</si>
  <si>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</si>
  <si>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</si>
  <si>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</si>
  <si>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</si>
  <si>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</si>
  <si>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</si>
  <si>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</si>
  <si>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</si>
  <si>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</si>
  <si>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</si>
  <si>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</si>
  <si>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</si>
  <si>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</si>
  <si>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</si>
  <si>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</si>
  <si>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</si>
  <si>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</si>
  <si>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</si>
  <si>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</si>
  <si>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</si>
  <si>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</si>
  <si>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</si>
  <si>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</si>
  <si>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</si>
  <si>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</si>
  <si>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</si>
  <si>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</si>
  <si>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</si>
  <si>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</si>
  <si>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</si>
  <si>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</si>
  <si>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</si>
  <si>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</si>
  <si>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</si>
  <si>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</si>
  <si>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</si>
  <si>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</si>
  <si>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</si>
  <si>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</si>
  <si>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</si>
  <si>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</si>
  <si>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</si>
  <si>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</si>
  <si>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</si>
  <si>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</si>
  <si>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</si>
  <si>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</si>
  <si>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</si>
  <si>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</si>
  <si>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</si>
  <si>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</si>
  <si>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</si>
  <si>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</si>
  <si>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</si>
  <si>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</si>
  <si>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</si>
  <si>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</si>
  <si>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</si>
  <si>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</si>
  <si>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</si>
  <si>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</si>
  <si>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</si>
  <si>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</si>
  <si>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</si>
  <si>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</si>
  <si>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</si>
  <si>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</si>
  <si>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</si>
  <si>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</si>
  <si>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</si>
  <si>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</si>
  <si>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</si>
  <si>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</si>
  <si>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</si>
  <si>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</si>
  <si>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</si>
  <si>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</si>
  <si>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</si>
  <si>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</si>
  <si>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</si>
  <si>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</si>
  <si>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</si>
  <si>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</si>
  <si>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</si>
  <si>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</si>
  <si>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</si>
  <si>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</si>
  <si>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</si>
  <si>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</si>
  <si>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</si>
  <si>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</si>
  <si>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</si>
  <si>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</si>
  <si>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</si>
  <si>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</si>
  <si>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</si>
  <si>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</si>
  <si>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</si>
  <si>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</si>
  <si>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</si>
  <si>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</si>
  <si>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</si>
  <si>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</si>
  <si>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</si>
  <si>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</si>
  <si>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</si>
  <si>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</si>
  <si>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</si>
  <si>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</si>
  <si>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</si>
  <si>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</si>
  <si>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</si>
  <si>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</si>
  <si>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</si>
  <si>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</si>
  <si>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</si>
  <si>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</si>
  <si>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</si>
  <si>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</si>
  <si>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</si>
  <si>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</si>
  <si>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</si>
  <si>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</si>
  <si>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</si>
  <si>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</si>
  <si>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</si>
  <si>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</si>
  <si>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</si>
  <si>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</si>
  <si>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</si>
  <si>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</si>
  <si>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</si>
  <si>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</si>
  <si>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</si>
  <si>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</si>
  <si>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</si>
  <si>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</si>
  <si>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</si>
  <si>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</si>
  <si>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</si>
  <si>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</si>
  <si>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</si>
  <si>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</si>
  <si>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</si>
  <si>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</si>
  <si>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</si>
  <si>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</si>
  <si>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</si>
  <si>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</si>
  <si>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</si>
  <si>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</si>
  <si>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</si>
  <si>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</si>
  <si>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</si>
  <si>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</si>
  <si>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</si>
  <si>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</si>
  <si>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</si>
  <si>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</si>
  <si>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</si>
  <si>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</si>
  <si>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</si>
  <si>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</si>
  <si>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</si>
  <si>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</si>
  <si>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</si>
  <si>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</si>
  <si>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</si>
  <si>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</si>
  <si>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</si>
  <si>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</si>
  <si>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</si>
  <si>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</si>
  <si>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</si>
  <si>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</si>
  <si>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</si>
  <si>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</si>
  <si>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</si>
  <si>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</si>
  <si>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</si>
  <si>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</si>
  <si>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</si>
  <si>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</si>
  <si>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</si>
  <si>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</si>
  <si>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</si>
  <si>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</si>
  <si>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</si>
  <si>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</si>
  <si>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</si>
  <si>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</si>
  <si>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</si>
  <si>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</si>
  <si>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</si>
  <si>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</si>
  <si>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</si>
  <si>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</si>
  <si>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</si>
  <si>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</si>
  <si>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</si>
  <si>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</si>
  <si>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</si>
  <si>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</si>
  <si>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</si>
  <si>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</si>
  <si>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</si>
  <si>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</si>
  <si>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</si>
  <si>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</si>
  <si>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</si>
  <si>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</si>
  <si>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</si>
  <si>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</si>
  <si>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</si>
  <si>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</si>
  <si>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</si>
  <si>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</si>
  <si>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</si>
  <si>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</si>
  <si>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</si>
  <si>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</si>
  <si>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</si>
  <si>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</si>
  <si>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</si>
  <si>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</si>
  <si>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</si>
  <si>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</si>
  <si>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</si>
  <si>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</si>
  <si>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</si>
  <si>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</si>
  <si>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</si>
  <si>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</si>
  <si>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</si>
  <si>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</si>
  <si>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</si>
  <si>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</si>
  <si>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</si>
  <si>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</si>
  <si>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</si>
  <si>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</si>
  <si>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</si>
  <si>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</si>
  <si>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</si>
  <si>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</si>
  <si>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</si>
  <si>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</si>
  <si>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</si>
  <si>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</si>
  <si>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</si>
  <si>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</si>
  <si>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</si>
  <si>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</si>
  <si>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</si>
  <si>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</si>
  <si>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</si>
  <si>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</si>
  <si>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</si>
  <si>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</si>
  <si>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</si>
  <si>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</si>
  <si>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</si>
  <si>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</si>
  <si>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</si>
  <si>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</si>
  <si>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</si>
  <si>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</si>
  <si>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</si>
  <si>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</si>
  <si>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</si>
  <si>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</si>
  <si>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</si>
  <si>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</si>
  <si>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</si>
  <si>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</si>
  <si>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</si>
  <si>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</si>
  <si>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</si>
  <si>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</si>
  <si>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</si>
  <si>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</si>
  <si>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</si>
  <si>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</si>
  <si>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</si>
  <si>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</si>
  <si>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</si>
  <si>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</si>
  <si>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</si>
  <si>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</si>
  <si>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</si>
  <si>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</si>
  <si>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</si>
  <si>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</si>
  <si>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</si>
  <si>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</si>
  <si>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</si>
  <si>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</si>
  <si>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</si>
  <si>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</si>
  <si>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</si>
  <si>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</si>
  <si>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</si>
  <si>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</si>
  <si>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</si>
  <si>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</si>
  <si>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</si>
  <si>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</si>
  <si>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</si>
  <si>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</si>
  <si>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</si>
  <si>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</si>
  <si>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</si>
  <si>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</si>
  <si>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</si>
  <si>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</si>
  <si>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</si>
  <si>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</si>
  <si>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</si>
  <si>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</si>
  <si>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</si>
  <si>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</si>
  <si>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</si>
  <si>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</si>
  <si>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</si>
  <si>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</si>
  <si>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</si>
  <si>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</si>
  <si>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</si>
  <si>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</si>
  <si>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</si>
  <si>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</si>
  <si>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</si>
  <si>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</si>
  <si>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</si>
  <si>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</si>
  <si>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</si>
  <si>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</si>
  <si>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</si>
  <si>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</si>
  <si>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</si>
  <si>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</si>
  <si>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</si>
  <si>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</si>
  <si>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</si>
  <si>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</si>
  <si>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</si>
  <si>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</si>
  <si>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</si>
  <si>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</si>
  <si>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</si>
  <si>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</si>
  <si>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</si>
  <si>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</si>
  <si>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</si>
  <si>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</si>
  <si>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</si>
  <si>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</si>
  <si>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</si>
  <si>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</si>
  <si>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</si>
  <si>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</si>
  <si>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</si>
  <si>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</si>
  <si>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</si>
  <si>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</si>
  <si>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</si>
  <si>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</si>
  <si>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</si>
  <si>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</si>
  <si>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</si>
  <si>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</si>
  <si>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</si>
  <si>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</si>
  <si>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</si>
  <si>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</si>
  <si>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</si>
  <si>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</si>
  <si>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</si>
  <si>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</si>
  <si>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</si>
  <si>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</si>
  <si>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</si>
  <si>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</si>
  <si>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</si>
  <si>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</si>
  <si>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</si>
  <si>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</si>
  <si>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</si>
  <si>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</si>
  <si>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</si>
  <si>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</si>
  <si>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</si>
  <si>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</si>
  <si>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</si>
  <si>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</si>
  <si>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</si>
  <si>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</si>
  <si>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</si>
  <si>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</si>
  <si>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</si>
  <si>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</si>
  <si>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</si>
  <si>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</si>
  <si>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</si>
  <si>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</si>
  <si>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</si>
  <si>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</si>
  <si>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</si>
  <si>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</si>
  <si>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</si>
  <si>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</si>
  <si>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</si>
  <si>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</si>
  <si>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</si>
  <si>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</si>
  <si>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</si>
  <si>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</si>
  <si>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</si>
  <si>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</si>
  <si>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</si>
  <si>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</si>
  <si>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</si>
  <si>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</si>
  <si>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</si>
  <si>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</si>
  <si>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</si>
  <si>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</si>
  <si>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</si>
  <si>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</si>
  <si>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</si>
  <si>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</si>
  <si>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</si>
  <si>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</si>
  <si>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5" type="noConversion"/>
  </si>
  <si>
    <t>附件5补充协议建面合计</t>
    <phoneticPr fontId="135" type="noConversion"/>
  </si>
  <si>
    <t>附件5补充协议地上建面</t>
    <phoneticPr fontId="135" type="noConversion"/>
  </si>
  <si>
    <t>附件5补充协议地下建面</t>
    <phoneticPr fontId="135" type="noConversion"/>
  </si>
  <si>
    <t>地上容积率</t>
    <phoneticPr fontId="135" type="noConversion"/>
  </si>
  <si>
    <r>
      <t>国有建设用地使用权合同[电子监管号：1101002023B00</t>
    </r>
    <r>
      <rPr>
        <sz val="10"/>
        <color theme="1"/>
        <rFont val="宋体"/>
        <family val="3"/>
        <charset val="134"/>
        <scheme val="minor"/>
      </rPr>
      <t>0197]</t>
    </r>
    <phoneticPr fontId="135" type="noConversion"/>
  </si>
  <si>
    <t>北京住总房地产开发有限责任公司</t>
    <phoneticPr fontId="135"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</si>
  <si>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5" type="noConversion"/>
  </si>
  <si>
    <t>全部缴纳</t>
    <phoneticPr fontId="135" type="noConversion"/>
  </si>
  <si>
    <t>建面</t>
    <phoneticPr fontId="135" type="noConversion"/>
  </si>
  <si>
    <t>估价对象建面</t>
    <phoneticPr fontId="135" type="noConversion"/>
  </si>
  <si>
    <t>已缴纳</t>
    <phoneticPr fontId="135" type="noConversion"/>
  </si>
  <si>
    <t>城市基础设施假设费</t>
    <phoneticPr fontId="135" type="noConversion"/>
  </si>
  <si>
    <t>分摊土地面积</t>
    <phoneticPr fontId="135" type="noConversion"/>
  </si>
  <si>
    <t>补缴</t>
    <phoneticPr fontId="135" type="noConversion"/>
  </si>
  <si>
    <t>未缴纳</t>
    <phoneticPr fontId="135" type="noConversion"/>
  </si>
  <si>
    <t>契税</t>
    <phoneticPr fontId="135" type="noConversion"/>
  </si>
  <si>
    <t>《建设工程规划许可证》[2023规自（延）建字0011号]</t>
    <phoneticPr fontId="135" type="noConversion"/>
  </si>
  <si>
    <t>地上面积</t>
  </si>
  <si>
    <t>地下面积</t>
  </si>
  <si>
    <t>楼号</t>
    <phoneticPr fontId="135" type="noConversion"/>
  </si>
  <si>
    <t>小计</t>
  </si>
  <si>
    <t>物业用房</t>
    <phoneticPr fontId="135" type="noConversion"/>
  </si>
  <si>
    <t>配套</t>
    <phoneticPr fontId="135" type="noConversion"/>
  </si>
  <si>
    <t>设备用房</t>
    <phoneticPr fontId="135" type="noConversion"/>
  </si>
  <si>
    <t>地下车库</t>
    <phoneticPr fontId="135" type="noConversion"/>
  </si>
  <si>
    <t>地下仓储</t>
    <phoneticPr fontId="135" type="noConversion"/>
  </si>
  <si>
    <t>地下物业用房</t>
    <phoneticPr fontId="135" type="noConversion"/>
  </si>
  <si>
    <t>地下公共配套</t>
    <phoneticPr fontId="135" type="noConversion"/>
  </si>
  <si>
    <t>地下设备用房</t>
    <phoneticPr fontId="135" type="noConversion"/>
  </si>
  <si>
    <t>人防</t>
    <phoneticPr fontId="135" type="noConversion"/>
  </si>
  <si>
    <t>地上楼层</t>
    <phoneticPr fontId="135" type="noConversion"/>
  </si>
  <si>
    <t>地下小计</t>
    <phoneticPr fontId="135" type="noConversion"/>
  </si>
  <si>
    <t>1#住宅楼</t>
    <phoneticPr fontId="135" type="noConversion"/>
  </si>
  <si>
    <t>类别</t>
  </si>
  <si>
    <t>项目类型</t>
  </si>
  <si>
    <t>规划建筑面积（㎡）</t>
    <phoneticPr fontId="135" type="noConversion"/>
  </si>
  <si>
    <t>建安单价</t>
    <phoneticPr fontId="135" type="noConversion"/>
  </si>
  <si>
    <t>2#住宅楼</t>
    <phoneticPr fontId="135" type="noConversion"/>
  </si>
  <si>
    <t>合计</t>
  </si>
  <si>
    <t>地上</t>
  </si>
  <si>
    <t>地下</t>
  </si>
  <si>
    <t>3#住宅楼</t>
  </si>
  <si>
    <t>经营性</t>
  </si>
  <si>
    <t>洋房住宅</t>
    <phoneticPr fontId="135" type="noConversion"/>
  </si>
  <si>
    <t>仓储</t>
    <phoneticPr fontId="135" type="noConversion"/>
  </si>
  <si>
    <t>4#住宅楼</t>
  </si>
  <si>
    <t>车库</t>
    <phoneticPr fontId="135" type="noConversion"/>
  </si>
  <si>
    <t>5#住宅楼</t>
  </si>
  <si>
    <t>设备及公共配套</t>
    <phoneticPr fontId="135" type="noConversion"/>
  </si>
  <si>
    <t>6#住宅楼</t>
  </si>
  <si>
    <t>7#住宅楼</t>
  </si>
  <si>
    <t>非经营性</t>
  </si>
  <si>
    <t>设备及其他</t>
  </si>
  <si>
    <t>8#住宅楼</t>
  </si>
  <si>
    <t>公共配套及物业</t>
    <phoneticPr fontId="135" type="noConversion"/>
  </si>
  <si>
    <t>全部经营性用途</t>
    <phoneticPr fontId="135" type="noConversion"/>
  </si>
  <si>
    <t>9#住宅楼</t>
  </si>
  <si>
    <t>估价对象全部</t>
    <phoneticPr fontId="135" type="noConversion"/>
  </si>
  <si>
    <t>10#住宅楼</t>
  </si>
  <si>
    <t>11#住宅楼</t>
  </si>
  <si>
    <t>12#住宅楼</t>
  </si>
  <si>
    <t>13#住宅楼</t>
  </si>
  <si>
    <t>个数</t>
    <phoneticPr fontId="135" type="noConversion"/>
  </si>
  <si>
    <t>单个面积</t>
    <phoneticPr fontId="135" type="noConversion"/>
  </si>
  <si>
    <t>14#配套楼</t>
    <phoneticPr fontId="135" type="noConversion"/>
  </si>
  <si>
    <t>人防车位</t>
    <phoneticPr fontId="135" type="noConversion"/>
  </si>
  <si>
    <r>
      <t>C</t>
    </r>
    <r>
      <rPr>
        <sz val="10"/>
        <rFont val="宋体"/>
        <family val="3"/>
        <charset val="134"/>
        <scheme val="minor"/>
      </rPr>
      <t>K01</t>
    </r>
    <r>
      <rPr>
        <sz val="10"/>
        <rFont val="宋体"/>
        <family val="3"/>
        <charset val="134"/>
        <scheme val="minor"/>
      </rPr>
      <t>#地下车库</t>
    </r>
    <phoneticPr fontId="135" type="noConversion"/>
  </si>
  <si>
    <t>非人防车位</t>
    <phoneticPr fontId="135" type="noConversion"/>
  </si>
  <si>
    <t>不含人防合计</t>
    <phoneticPr fontId="135" type="noConversion"/>
  </si>
  <si>
    <t>房屋面积测算技术报告书</t>
    <phoneticPr fontId="135" type="noConversion"/>
  </si>
  <si>
    <t>已售住宅</t>
    <phoneticPr fontId="135" type="noConversion"/>
  </si>
  <si>
    <t>未售住宅</t>
    <phoneticPr fontId="135" type="noConversion"/>
  </si>
  <si>
    <t>未售合计</t>
    <phoneticPr fontId="135" type="noConversion"/>
  </si>
  <si>
    <t>工程进度</t>
    <phoneticPr fontId="135" type="noConversion"/>
  </si>
  <si>
    <t>赋予比例</t>
    <phoneticPr fontId="135" type="noConversion"/>
  </si>
  <si>
    <t>综合进度</t>
    <phoneticPr fontId="135" type="noConversion"/>
  </si>
  <si>
    <t>全部测绘建面</t>
    <phoneticPr fontId="135" type="noConversion"/>
  </si>
  <si>
    <t>未售、未封顶楼层</t>
    <phoneticPr fontId="135" type="noConversion"/>
  </si>
  <si>
    <t>7层</t>
    <phoneticPr fontId="135" type="noConversion"/>
  </si>
  <si>
    <t>8层</t>
    <phoneticPr fontId="135" type="noConversion"/>
  </si>
  <si>
    <t>估价对象结构已完工建面</t>
    <phoneticPr fontId="135" type="noConversion"/>
  </si>
  <si>
    <t>预测绘住宅</t>
    <phoneticPr fontId="135" type="noConversion"/>
  </si>
  <si>
    <t>住建委住宅</t>
    <phoneticPr fontId="135" type="noConversion"/>
  </si>
  <si>
    <t>差额为转现房销售，住建委无房号</t>
    <phoneticPr fontId="135" type="noConversion"/>
  </si>
  <si>
    <t>4号楼</t>
    <phoneticPr fontId="135" type="noConversion"/>
  </si>
  <si>
    <t>5号楼</t>
  </si>
  <si>
    <t>8号楼</t>
    <phoneticPr fontId="135" type="noConversion"/>
  </si>
  <si>
    <t>9号楼</t>
    <phoneticPr fontId="135" type="noConversion"/>
  </si>
  <si>
    <t>二次结构完成，正在进行外窗外保温，室内装修</t>
    <phoneticPr fontId="135" type="noConversion"/>
  </si>
  <si>
    <t>二次结构完成</t>
    <phoneticPr fontId="135"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</si>
  <si>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</si>
  <si>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</si>
  <si>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</si>
  <si>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</si>
  <si>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</si>
  <si>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t>钢混</t>
    <phoneticPr fontId="4" type="noConversion"/>
  </si>
  <si>
    <t>高档</t>
    <phoneticPr fontId="4" type="noConversion"/>
  </si>
  <si>
    <t>中高档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</si>
  <si>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</si>
  <si>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</si>
  <si>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</si>
  <si>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</si>
  <si>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</si>
  <si>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</si>
  <si>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</si>
  <si>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</si>
  <si>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</si>
  <si>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平层</t>
    <phoneticPr fontId="4" type="noConversion"/>
  </si>
  <si>
    <t>现房</t>
    <phoneticPr fontId="4" type="noConversion"/>
  </si>
  <si>
    <t>现房及期房</t>
    <phoneticPr fontId="4" type="noConversion"/>
  </si>
  <si>
    <t>期房</t>
    <phoneticPr fontId="4" type="noConversion"/>
  </si>
  <si>
    <t>有</t>
    <phoneticPr fontId="4" type="noConversion"/>
  </si>
  <si>
    <t>无</t>
    <phoneticPr fontId="4"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</si>
  <si>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</si>
  <si>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</si>
  <si>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</si>
  <si>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</si>
  <si>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</si>
  <si>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</si>
  <si>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</si>
  <si>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</si>
  <si>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</si>
  <si>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</si>
  <si>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</si>
  <si>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</si>
  <si>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</si>
  <si>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</si>
  <si>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</si>
  <si>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</si>
  <si>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</si>
  <si>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</si>
  <si>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</si>
  <si>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</si>
  <si>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</si>
  <si>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</si>
  <si>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</si>
  <si>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</si>
  <si>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</si>
  <si>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</si>
  <si>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</si>
  <si>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</si>
  <si>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</si>
  <si>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</si>
  <si>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</si>
  <si>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</si>
  <si>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</si>
  <si>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</si>
  <si>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</si>
  <si>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</si>
  <si>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</si>
  <si>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</si>
  <si>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</si>
  <si>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</si>
  <si>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</si>
  <si>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</si>
  <si>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</si>
  <si>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</si>
  <si>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</si>
  <si>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</si>
  <si>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</si>
  <si>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</si>
  <si>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</si>
  <si>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</si>
  <si>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</si>
  <si>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</si>
  <si>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</si>
  <si>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</si>
  <si>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</si>
  <si>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</si>
  <si>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</si>
  <si>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</si>
  <si>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</si>
  <si>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</si>
  <si>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</si>
  <si>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</si>
  <si>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</si>
  <si>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</si>
  <si>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</si>
  <si>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</si>
  <si>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</si>
  <si>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</si>
  <si>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</si>
  <si>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</si>
  <si>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</si>
  <si>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</si>
  <si>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</si>
  <si>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</si>
  <si>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</si>
  <si>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</si>
  <si>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</si>
  <si>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</si>
  <si>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</si>
  <si>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</si>
  <si>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</si>
  <si>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</si>
  <si>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</si>
  <si>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</si>
  <si>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</si>
  <si>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</si>
  <si>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</si>
  <si>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</si>
  <si>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</si>
  <si>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</si>
  <si>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</si>
  <si>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</si>
  <si>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</si>
  <si>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</si>
  <si>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</si>
  <si>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</si>
  <si>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2025-02</t>
  </si>
  <si>
    <t>2025-04</t>
  </si>
  <si>
    <t>正常</t>
  </si>
  <si>
    <t>住宅</t>
    <phoneticPr fontId="25" type="noConversion"/>
  </si>
  <si>
    <t>一般</t>
  </si>
  <si>
    <t>较好</t>
  </si>
  <si>
    <t>七通</t>
  </si>
  <si>
    <t>钢混</t>
  </si>
  <si>
    <t>中高档</t>
  </si>
  <si>
    <t>精装修</t>
  </si>
  <si>
    <t>专业</t>
  </si>
  <si>
    <t>平层</t>
  </si>
  <si>
    <t>高档</t>
  </si>
  <si>
    <t>项目模式</t>
  </si>
  <si>
    <t>售价</t>
  </si>
  <si>
    <t>沈家营镇</t>
  </si>
  <si>
    <t>城建万科城</t>
  </si>
  <si>
    <t>中交富力雅郡</t>
  </si>
  <si>
    <t>京北幸福园</t>
  </si>
  <si>
    <t>批准上市套数</t>
  </si>
  <si>
    <t>地下仓储</t>
  </si>
  <si>
    <t>地下仓储</t>
    <phoneticPr fontId="32" type="noConversion"/>
  </si>
  <si>
    <t>有</t>
  </si>
  <si>
    <t>2022-05-31 15:00</t>
  </si>
  <si>
    <t>京能置业股份有限公司 、北京城谷恒泰房地产开发有限公司</t>
  </si>
  <si>
    <t>已成交</t>
  </si>
  <si>
    <t>2022-05-31</t>
  </si>
  <si>
    <t>2022年第2批次</t>
  </si>
  <si>
    <t>挂牌</t>
  </si>
  <si>
    <t>原pg-0005-0065、74(b地块)容积率2.4,原pg00-0005-0035-01西部(d地块)容积率2.5,原pg00-0005-0035-01东部(d地块)容积率2.4</t>
  </si>
  <si>
    <t>R2二类居住用地、F3其他类多功能用地</t>
  </si>
  <si>
    <t>综合用地(含住宅)</t>
  </si>
  <si>
    <t>京土储挂(平)[2022]037号</t>
  </si>
  <si>
    <t>北京市平谷区府前街旧城棚户区改造项目(二期)B、D地块原PG-0005-0065、PG-0005-0074(B地块)、原PG00-0005-0035-01西部(D地块)、原PG00-0005-0035</t>
  </si>
  <si>
    <t>2022-09-21 15:00</t>
  </si>
  <si>
    <t>北京众智房地产开发有限公司</t>
  </si>
  <si>
    <t>2022-09-22</t>
  </si>
  <si>
    <t>2022年第3批次</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</si>
  <si>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</si>
  <si>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</si>
  <si>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</si>
  <si>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</si>
  <si>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</si>
  <si>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</si>
  <si>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</si>
  <si>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京土储挂(密)[2022]058号</t>
  </si>
  <si>
    <t>北京市密云区十里堡镇王各庄棚户区改造项目MY00-0500-0001地块R2二类居住用地</t>
  </si>
  <si>
    <t>2023-06-29 17:00</t>
  </si>
  <si>
    <t>北京辰禾嘉业房地产开发有限公司</t>
  </si>
  <si>
    <t>2023-06-30</t>
  </si>
  <si>
    <t>≤1.2</t>
  </si>
  <si>
    <t>城镇住宅-普通商品住房用地</t>
  </si>
  <si>
    <t>京土储挂(平)[2023]030号</t>
  </si>
  <si>
    <t>北京市平谷区兴谷新消费综合体项目PG00-0106-0104地块R2二类居住用地</t>
  </si>
  <si>
    <t>2023-08-09 15:00</t>
  </si>
  <si>
    <t>北京住总房地产开发有限责任公司</t>
  </si>
  <si>
    <t>2023-08-09</t>
  </si>
  <si>
    <t>1.60</t>
  </si>
  <si>
    <t>京土储挂(延)[2023]041号</t>
  </si>
  <si>
    <t>北京市延庆区南辛堡村、民主村、百眼泉村棚户区改造项目YQ00-0309-0007地块R2二类居住用地</t>
  </si>
  <si>
    <t>2023-10-04 15:00</t>
  </si>
  <si>
    <t>北京祥业房地产有限公司</t>
  </si>
  <si>
    <t>2023-10-10</t>
  </si>
  <si>
    <t>1.80</t>
  </si>
  <si>
    <t>京土储挂(密)[2023]049号</t>
  </si>
  <si>
    <t>北京市密云区水源路南侧C-2地块土地一级开发项目MY00-0105-6038、6040地块R2二类居住用地</t>
  </si>
  <si>
    <t>2024-10-14 17:00</t>
  </si>
  <si>
    <t>2024-10-15</t>
  </si>
  <si>
    <t>京土储挂(延)[2024]037号</t>
  </si>
  <si>
    <t>北京市延庆区南辛堡村、民主村、百眼泉村棚户区改造项目YQ00-0309-0017地块R2二类居住用地</t>
  </si>
  <si>
    <t>限售价(元/㎡)</t>
  </si>
  <si>
    <t>政府指导价(元/㎡)</t>
  </si>
  <si>
    <t>溢价率(%)</t>
  </si>
  <si>
    <t>成交楼面价(元/㎡)</t>
  </si>
  <si>
    <t>成交价(万元)</t>
  </si>
  <si>
    <t>保证金截止时间</t>
  </si>
  <si>
    <t>保证金(万元)</t>
  </si>
  <si>
    <t>起始价(万元)</t>
  </si>
  <si>
    <t>受让单位</t>
  </si>
  <si>
    <t>交易状态</t>
  </si>
  <si>
    <t>成交时间</t>
  </si>
  <si>
    <t>截止时间</t>
  </si>
  <si>
    <t>集中供地</t>
  </si>
  <si>
    <t>出让方式</t>
  </si>
  <si>
    <t>容积率</t>
  </si>
  <si>
    <t>详细规划</t>
  </si>
  <si>
    <t>用地性质</t>
  </si>
  <si>
    <t>规划建筑面积(㎡)</t>
  </si>
  <si>
    <t>建设用地面积(㎡)</t>
  </si>
  <si>
    <t>地块编号</t>
  </si>
  <si>
    <t>地块名称</t>
  </si>
  <si>
    <t>较规则</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</si>
  <si>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</si>
  <si>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</si>
  <si>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</si>
  <si>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</si>
  <si>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</si>
  <si>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较规则</t>
  </si>
  <si>
    <t>五通</t>
  </si>
  <si>
    <t>较适宜</t>
  </si>
  <si>
    <t>较适宜</t>
    <phoneticPr fontId="31" type="noConversion"/>
  </si>
  <si>
    <r>
      <rPr>
        <sz val="11"/>
        <rFont val="宋体"/>
        <family val="3"/>
        <charset val="134"/>
      </rPr>
      <t>六环以外</t>
    </r>
    <r>
      <rPr>
        <sz val="11"/>
        <rFont val="Arial"/>
        <family val="2"/>
      </rPr>
      <t>,</t>
    </r>
    <r>
      <rPr>
        <sz val="11"/>
        <rFont val="宋体"/>
        <family val="3"/>
        <charset val="134"/>
      </rPr>
      <t>城市地标</t>
    </r>
    <r>
      <rPr>
        <sz val="11"/>
        <rFont val="Arial"/>
        <family val="2"/>
      </rPr>
      <t>,</t>
    </r>
    <r>
      <rPr>
        <sz val="11"/>
        <rFont val="宋体"/>
        <family val="3"/>
        <charset val="134"/>
      </rPr>
      <t>国企开发</t>
    </r>
    <r>
      <rPr>
        <sz val="11"/>
        <rFont val="Arial"/>
        <family val="2"/>
      </rPr>
      <t>,</t>
    </r>
    <r>
      <rPr>
        <sz val="11"/>
        <rFont val="宋体"/>
        <family val="3"/>
        <charset val="134"/>
      </rPr>
      <t>低密居所</t>
    </r>
    <r>
      <rPr>
        <sz val="11"/>
        <rFont val="Arial"/>
        <family val="2"/>
      </rPr>
      <t>,</t>
    </r>
    <r>
      <rPr>
        <sz val="11"/>
        <rFont val="宋体"/>
        <family val="3"/>
        <charset val="134"/>
      </rPr>
      <t>花园洋房</t>
    </r>
    <r>
      <rPr>
        <sz val="11"/>
        <rFont val="Arial"/>
        <family val="2"/>
      </rPr>
      <t>,</t>
    </r>
    <r>
      <rPr>
        <sz val="11"/>
        <rFont val="宋体"/>
        <family val="3"/>
        <charset val="134"/>
      </rPr>
      <t>纯洋房社区</t>
    </r>
    <r>
      <rPr>
        <sz val="11"/>
        <rFont val="Arial"/>
        <family val="2"/>
      </rPr>
      <t>,</t>
    </r>
    <r>
      <rPr>
        <sz val="11"/>
        <rFont val="宋体"/>
        <family val="3"/>
        <charset val="134"/>
      </rPr>
      <t>宜居生态地产</t>
    </r>
    <r>
      <rPr>
        <sz val="11"/>
        <rFont val="Arial"/>
        <family val="2"/>
      </rPr>
      <t>,</t>
    </r>
    <r>
      <rPr>
        <sz val="11"/>
        <rFont val="宋体"/>
        <family val="3"/>
        <charset val="134"/>
      </rPr>
      <t>公园地产</t>
    </r>
    <r>
      <rPr>
        <sz val="11"/>
        <rFont val="Arial"/>
        <family val="2"/>
      </rPr>
      <t>,</t>
    </r>
    <r>
      <rPr>
        <sz val="11"/>
        <rFont val="宋体"/>
        <family val="3"/>
        <charset val="134"/>
      </rPr>
      <t>改善优选</t>
    </r>
    <r>
      <rPr>
        <sz val="11"/>
        <rFont val="Arial"/>
        <family val="2"/>
      </rPr>
      <t>,</t>
    </r>
    <r>
      <rPr>
        <sz val="11"/>
        <rFont val="宋体"/>
        <family val="3"/>
        <charset val="134"/>
      </rPr>
      <t>装修交付</t>
    </r>
    <phoneticPr fontId="31" type="noConversion"/>
  </si>
  <si>
    <t>住总国祥誉</t>
    <phoneticPr fontId="31" type="noConversion"/>
  </si>
  <si>
    <t>锦云府</t>
    <phoneticPr fontId="31" type="noConversion"/>
  </si>
  <si>
    <t>六环以外,低密居所,品牌地产,花园洋房,国际化社区,景观居所,装修交付</t>
    <phoneticPr fontId="31"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</si>
  <si>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</si>
  <si>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</si>
  <si>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</si>
  <si>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</si>
  <si>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</si>
  <si>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</si>
  <si>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</si>
  <si>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</si>
  <si>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</si>
  <si>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</si>
  <si>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</si>
  <si>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</si>
  <si>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</si>
  <si>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</si>
  <si>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</si>
  <si>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</si>
  <si>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</si>
  <si>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</si>
  <si>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</si>
  <si>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</si>
  <si>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</si>
  <si>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</si>
  <si>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</si>
  <si>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</si>
  <si>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</si>
  <si>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</si>
  <si>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</si>
  <si>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</si>
  <si>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</si>
  <si>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</si>
  <si>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</si>
  <si>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</si>
  <si>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</si>
  <si>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</si>
  <si>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</si>
  <si>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</si>
  <si>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</si>
  <si>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</si>
  <si>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</si>
  <si>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</si>
  <si>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</si>
  <si>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</si>
  <si>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</si>
  <si>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</si>
  <si>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</si>
  <si>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</si>
  <si>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</si>
  <si>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</si>
  <si>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</si>
  <si>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</si>
  <si>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</si>
  <si>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</si>
  <si>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</si>
  <si>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</si>
  <si>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</si>
  <si>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</si>
  <si>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</si>
  <si>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</si>
  <si>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</si>
  <si>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</si>
  <si>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</si>
  <si>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</si>
  <si>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</si>
  <si>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</si>
  <si>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</si>
  <si>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</si>
  <si>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</si>
  <si>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</si>
  <si>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</si>
  <si>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</si>
  <si>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</si>
  <si>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</si>
  <si>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</si>
  <si>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</si>
  <si>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</si>
  <si>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</si>
  <si>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</si>
  <si>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</si>
  <si>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</si>
  <si>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</si>
  <si>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</si>
  <si>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</si>
  <si>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</si>
  <si>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</si>
  <si>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</si>
  <si>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</si>
  <si>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</si>
  <si>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</si>
  <si>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</si>
  <si>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</si>
  <si>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</si>
  <si>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</si>
  <si>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</si>
  <si>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</si>
  <si>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</si>
  <si>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</si>
  <si>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</si>
  <si>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</si>
  <si>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</si>
  <si>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</si>
  <si>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</si>
  <si>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</si>
  <si>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</si>
  <si>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</si>
  <si>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</si>
  <si>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</si>
  <si>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</si>
  <si>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</si>
  <si>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</si>
  <si>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</si>
  <si>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</si>
  <si>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</si>
  <si>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</si>
  <si>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</si>
  <si>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</si>
  <si>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</si>
  <si>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</si>
  <si>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</si>
  <si>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</si>
  <si>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</si>
  <si>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</si>
  <si>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</si>
  <si>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</si>
  <si>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</si>
  <si>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</si>
  <si>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</si>
  <si>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</si>
  <si>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</si>
  <si>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</si>
  <si>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</si>
  <si>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</si>
  <si>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</si>
  <si>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</si>
  <si>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</si>
  <si>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</si>
  <si>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</si>
  <si>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</si>
  <si>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</si>
  <si>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</si>
  <si>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</si>
  <si>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</si>
  <si>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</si>
  <si>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</si>
  <si>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</si>
  <si>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</si>
  <si>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</si>
  <si>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</si>
  <si>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</si>
  <si>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</si>
  <si>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</si>
  <si>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</si>
  <si>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</si>
  <si>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</si>
  <si>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</si>
  <si>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</si>
  <si>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</si>
  <si>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</si>
  <si>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</si>
  <si>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</si>
  <si>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</si>
  <si>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</si>
  <si>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</si>
  <si>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</si>
  <si>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</si>
  <si>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</si>
  <si>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</si>
  <si>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</si>
  <si>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</si>
  <si>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</si>
  <si>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</si>
  <si>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</si>
  <si>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</si>
  <si>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</si>
  <si>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</si>
  <si>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</si>
  <si>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</si>
  <si>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</si>
  <si>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</si>
  <si>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</si>
  <si>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</si>
  <si>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</si>
  <si>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</si>
  <si>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</si>
  <si>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</si>
  <si>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</si>
  <si>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</si>
  <si>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</si>
  <si>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</si>
  <si>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</si>
  <si>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</si>
  <si>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</si>
  <si>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</si>
  <si>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</si>
  <si>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</si>
  <si>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</si>
  <si>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</si>
  <si>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</si>
  <si>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</si>
  <si>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</si>
  <si>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</si>
  <si>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</si>
  <si>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</si>
  <si>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</si>
  <si>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</si>
  <si>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</si>
  <si>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</si>
  <si>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</si>
  <si>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</si>
  <si>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</si>
  <si>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</si>
  <si>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</si>
  <si>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</si>
  <si>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</si>
  <si>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</si>
  <si>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</si>
  <si>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</si>
  <si>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</si>
  <si>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</si>
  <si>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</si>
  <si>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</si>
  <si>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</si>
  <si>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</si>
  <si>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</si>
  <si>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</si>
  <si>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</si>
  <si>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</si>
  <si>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</si>
  <si>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</si>
  <si>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</si>
  <si>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</si>
  <si>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</si>
  <si>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</si>
  <si>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</si>
  <si>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</si>
  <si>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</si>
  <si>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</si>
  <si>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</si>
  <si>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</si>
  <si>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</si>
  <si>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</si>
  <si>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</si>
  <si>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</si>
  <si>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</si>
  <si>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</si>
  <si>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</si>
  <si>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</si>
  <si>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</si>
  <si>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</si>
  <si>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</si>
  <si>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</si>
  <si>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</si>
  <si>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</si>
  <si>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</si>
  <si>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</si>
  <si>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</si>
  <si>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</si>
  <si>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</si>
  <si>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</si>
  <si>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</si>
  <si>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</si>
  <si>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</si>
  <si>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</si>
  <si>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</si>
  <si>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</si>
  <si>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</si>
  <si>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</si>
  <si>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</si>
  <si>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</si>
  <si>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</si>
  <si>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</si>
  <si>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</si>
  <si>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</si>
  <si>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</si>
  <si>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</si>
  <si>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</si>
  <si>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</si>
  <si>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</si>
  <si>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</si>
  <si>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</si>
  <si>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</si>
  <si>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</si>
  <si>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</si>
  <si>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</si>
  <si>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</si>
  <si>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</si>
  <si>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</si>
  <si>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</si>
  <si>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</si>
  <si>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</si>
  <si>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</si>
  <si>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</si>
  <si>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</si>
  <si>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</si>
  <si>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</si>
  <si>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</si>
  <si>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</si>
  <si>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</si>
  <si>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</si>
  <si>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</si>
  <si>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</si>
  <si>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</si>
  <si>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</si>
  <si>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</si>
  <si>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</si>
  <si>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</si>
  <si>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</si>
  <si>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</si>
  <si>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</si>
  <si>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</si>
  <si>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</si>
  <si>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</si>
  <si>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</si>
  <si>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</si>
  <si>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</si>
  <si>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</si>
  <si>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</si>
  <si>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</si>
  <si>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</si>
  <si>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</si>
  <si>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</si>
  <si>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</si>
  <si>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</si>
  <si>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</si>
  <si>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</si>
  <si>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</si>
  <si>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</si>
  <si>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</si>
  <si>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</si>
  <si>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</si>
  <si>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</si>
  <si>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</si>
  <si>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</si>
  <si>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</si>
  <si>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</si>
  <si>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</si>
  <si>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</si>
  <si>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</si>
  <si>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</si>
  <si>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</si>
  <si>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</si>
  <si>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</si>
  <si>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</si>
  <si>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</si>
  <si>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</si>
  <si>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</si>
  <si>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</si>
  <si>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</si>
  <si>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</si>
  <si>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</si>
  <si>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</si>
  <si>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</si>
  <si>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</si>
  <si>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</si>
  <si>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</si>
  <si>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</si>
  <si>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</si>
  <si>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</si>
  <si>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</si>
  <si>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</si>
  <si>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</si>
  <si>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</si>
  <si>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</si>
  <si>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</si>
  <si>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</si>
  <si>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</si>
  <si>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</si>
  <si>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</si>
  <si>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</si>
  <si>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</si>
  <si>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</si>
  <si>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</si>
  <si>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</si>
  <si>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</si>
  <si>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</si>
  <si>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</si>
  <si>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</si>
  <si>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</si>
  <si>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</si>
  <si>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</si>
  <si>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</si>
  <si>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</si>
  <si>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</si>
  <si>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</si>
  <si>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</si>
  <si>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</si>
  <si>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</si>
  <si>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</si>
  <si>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</si>
  <si>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</si>
  <si>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</si>
  <si>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</si>
  <si>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</si>
  <si>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</si>
  <si>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</si>
  <si>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</si>
  <si>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</si>
  <si>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</si>
  <si>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</si>
  <si>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</si>
  <si>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</si>
  <si>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</si>
  <si>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</si>
  <si>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</si>
  <si>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</si>
  <si>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</si>
  <si>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</si>
  <si>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</si>
  <si>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</si>
  <si>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</si>
  <si>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</si>
  <si>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</si>
  <si>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</si>
  <si>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</si>
  <si>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</si>
  <si>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</si>
  <si>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</si>
  <si>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</si>
  <si>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</si>
  <si>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</si>
  <si>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</si>
  <si>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</si>
  <si>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</si>
  <si>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</si>
  <si>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</si>
  <si>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</si>
  <si>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</si>
  <si>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</si>
  <si>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</si>
  <si>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</si>
  <si>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</si>
  <si>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</si>
  <si>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</si>
  <si>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</si>
  <si>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</si>
  <si>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</si>
  <si>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</si>
  <si>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</si>
  <si>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</si>
  <si>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</si>
  <si>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</si>
  <si>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</si>
  <si>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</si>
  <si>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</si>
  <si>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</si>
  <si>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</si>
  <si>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</si>
  <si>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</si>
  <si>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</si>
  <si>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</si>
  <si>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</si>
  <si>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</si>
  <si>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</si>
  <si>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</si>
  <si>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</si>
  <si>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</si>
  <si>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</si>
  <si>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</si>
  <si>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</si>
  <si>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</si>
  <si>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</si>
  <si>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</si>
  <si>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</si>
  <si>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</si>
  <si>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</si>
  <si>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</si>
  <si>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</si>
  <si>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</si>
  <si>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</si>
  <si>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</si>
  <si>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</si>
  <si>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</si>
  <si>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</si>
  <si>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</si>
  <si>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</si>
  <si>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</si>
  <si>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</si>
  <si>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</si>
  <si>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</si>
  <si>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</si>
  <si>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</si>
  <si>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</si>
  <si>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</si>
  <si>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</si>
  <si>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</si>
  <si>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</si>
  <si>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</si>
  <si>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</si>
  <si>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</si>
  <si>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</si>
  <si>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</si>
  <si>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</si>
  <si>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</si>
  <si>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</si>
  <si>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</si>
  <si>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</si>
  <si>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</si>
  <si>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</si>
  <si>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</si>
  <si>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</si>
  <si>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</si>
  <si>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</si>
  <si>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</si>
  <si>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</si>
  <si>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</si>
  <si>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</si>
  <si>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</si>
  <si>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</si>
  <si>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</si>
  <si>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</si>
  <si>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</si>
  <si>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</si>
  <si>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</si>
  <si>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</si>
  <si>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</si>
  <si>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</si>
  <si>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</si>
  <si>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</si>
  <si>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</si>
  <si>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</si>
  <si>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</si>
  <si>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</si>
  <si>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</si>
  <si>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</si>
  <si>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</si>
  <si>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</si>
  <si>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</si>
  <si>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</si>
  <si>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</si>
  <si>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</si>
  <si>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</si>
  <si>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</si>
  <si>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</si>
  <si>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</si>
  <si>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</si>
  <si>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</si>
  <si>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</si>
  <si>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</si>
  <si>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</si>
  <si>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</si>
  <si>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</si>
  <si>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</si>
  <si>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</si>
  <si>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</si>
  <si>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</si>
  <si>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</si>
  <si>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</si>
  <si>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</si>
  <si>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</si>
  <si>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</si>
  <si>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</si>
  <si>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</si>
  <si>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</si>
  <si>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</si>
  <si>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</si>
  <si>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</si>
  <si>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</si>
  <si>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</si>
  <si>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</si>
  <si>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</si>
  <si>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</si>
  <si>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</si>
  <si>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</si>
  <si>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</si>
  <si>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</si>
  <si>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</si>
  <si>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</si>
  <si>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</si>
  <si>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</si>
  <si>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</si>
  <si>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</si>
  <si>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</si>
  <si>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</si>
  <si>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</si>
  <si>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</si>
  <si>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</si>
  <si>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</si>
  <si>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</si>
  <si>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</si>
  <si>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</si>
  <si>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</si>
  <si>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</si>
  <si>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</si>
  <si>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</si>
  <si>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</si>
  <si>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</si>
  <si>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</si>
  <si>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</si>
  <si>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</si>
  <si>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</si>
  <si>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</si>
  <si>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</si>
  <si>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</si>
  <si>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</si>
  <si>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</si>
  <si>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</si>
  <si>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</si>
  <si>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</si>
  <si>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</si>
  <si>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</si>
  <si>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</si>
  <si>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</si>
  <si>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</si>
  <si>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</si>
  <si>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</si>
  <si>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</si>
  <si>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</si>
  <si>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</si>
  <si>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</si>
  <si>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</si>
  <si>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</si>
  <si>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</si>
  <si>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</si>
  <si>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</si>
  <si>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</si>
  <si>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</si>
  <si>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</si>
  <si>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</si>
  <si>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</si>
  <si>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</si>
  <si>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</si>
  <si>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</si>
  <si>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</si>
  <si>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</si>
  <si>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</si>
  <si>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</si>
  <si>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</si>
  <si>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</si>
  <si>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</si>
  <si>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</si>
  <si>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</si>
  <si>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</si>
  <si>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</si>
  <si>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</si>
  <si>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</si>
  <si>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</si>
  <si>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</si>
  <si>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</si>
  <si>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</si>
  <si>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</si>
  <si>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</si>
  <si>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</si>
  <si>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</si>
  <si>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</si>
  <si>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</si>
  <si>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</si>
  <si>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</si>
  <si>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</si>
  <si>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</si>
  <si>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</si>
  <si>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</si>
  <si>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</si>
  <si>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</si>
  <si>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</si>
  <si>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</si>
  <si>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</si>
  <si>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</si>
  <si>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</si>
  <si>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</si>
  <si>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</si>
  <si>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</si>
  <si>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</si>
  <si>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</si>
  <si>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</si>
  <si>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</si>
  <si>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</si>
  <si>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</si>
  <si>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</si>
  <si>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</si>
  <si>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</si>
  <si>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</si>
  <si>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</si>
  <si>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</si>
  <si>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</si>
  <si>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</si>
  <si>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</si>
  <si>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</si>
  <si>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</si>
  <si>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</si>
  <si>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</si>
  <si>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</si>
  <si>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</si>
  <si>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</si>
  <si>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</si>
  <si>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</si>
  <si>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</si>
  <si>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</si>
  <si>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</si>
  <si>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</si>
  <si>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</si>
  <si>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4" type="noConversion"/>
  </si>
  <si>
    <t>套数</t>
    <phoneticPr fontId="4" type="noConversion"/>
  </si>
  <si>
    <t>住宅未签约-期房</t>
    <phoneticPr fontId="4" type="noConversion"/>
  </si>
  <si>
    <t>预测绘</t>
    <phoneticPr fontId="4" type="noConversion"/>
  </si>
  <si>
    <t>住宅已签约</t>
    <phoneticPr fontId="4" type="noConversion"/>
  </si>
  <si>
    <t>现房销售</t>
    <phoneticPr fontId="4" type="noConversion"/>
  </si>
  <si>
    <t>仓储预售面积未售</t>
  </si>
  <si>
    <t>预售证（期房）</t>
    <phoneticPr fontId="4" type="noConversion"/>
  </si>
  <si>
    <t>合计</t>
    <phoneticPr fontId="4" type="noConversion"/>
  </si>
  <si>
    <t>预售证取证面积</t>
  </si>
  <si>
    <t>住宅未售面积</t>
    <phoneticPr fontId="135" type="noConversion"/>
  </si>
  <si>
    <t>住宅未售套数</t>
    <phoneticPr fontId="135" type="noConversion"/>
  </si>
  <si>
    <t>全部住宅可售面积</t>
    <phoneticPr fontId="135" type="noConversion"/>
  </si>
  <si>
    <t>预测绘全部住宅可售套数</t>
    <phoneticPr fontId="135" type="noConversion"/>
  </si>
  <si>
    <t>已售面积</t>
    <phoneticPr fontId="135" type="noConversion"/>
  </si>
  <si>
    <t>已售套数</t>
    <phoneticPr fontId="135" type="noConversion"/>
  </si>
  <si>
    <t>仓储未售面积</t>
    <phoneticPr fontId="135" type="noConversion"/>
  </si>
  <si>
    <t>测绘面积</t>
    <phoneticPr fontId="135" type="noConversion"/>
  </si>
  <si>
    <t>预测绘仓储套数</t>
    <phoneticPr fontId="135" type="noConversion"/>
  </si>
  <si>
    <t>山澜樾府项目未正签仓储明细</t>
  </si>
  <si>
    <t>戊类库房</t>
  </si>
  <si>
    <t>未开盘销售</t>
  </si>
  <si>
    <t>住宅-小高层、洋房</t>
    <phoneticPr fontId="4" type="noConversion"/>
  </si>
  <si>
    <t>工程进度</t>
  </si>
  <si>
    <t>未包含在土地购买价格中</t>
  </si>
  <si>
    <t>全部缴纳</t>
  </si>
  <si>
    <t>已包含在土地取得成本中</t>
  </si>
  <si>
    <t>住宅-小高层、洋房</t>
  </si>
  <si>
    <t>成本法</t>
  </si>
  <si>
    <t>假设开发法</t>
  </si>
  <si>
    <t>限价</t>
    <phoneticPr fontId="31" type="noConversion"/>
  </si>
  <si>
    <t>无</t>
    <phoneticPr fontId="31" type="noConversion"/>
  </si>
  <si>
    <t>加权平均</t>
  </si>
  <si>
    <t>总价</t>
  </si>
  <si>
    <t>成本比率</t>
  </si>
  <si>
    <t>较差</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</si>
  <si>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</si>
  <si>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</si>
  <si>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</si>
  <si>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</si>
  <si>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</si>
  <si>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</si>
  <si>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</si>
  <si>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</si>
  <si>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</si>
  <si>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</si>
  <si>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</si>
  <si>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</si>
  <si>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</si>
  <si>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</si>
  <si>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</si>
  <si>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</si>
  <si>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</si>
  <si>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</si>
  <si>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</si>
  <si>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</si>
  <si>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</si>
  <si>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</si>
  <si>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</si>
  <si>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</si>
  <si>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</si>
  <si>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</si>
  <si>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</si>
  <si>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</si>
  <si>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</si>
  <si>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</si>
  <si>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</si>
  <si>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</si>
  <si>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</si>
  <si>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</si>
  <si>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</si>
  <si>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</si>
  <si>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</si>
  <si>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</si>
  <si>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</si>
  <si>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</si>
  <si>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</si>
  <si>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</si>
  <si>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</si>
  <si>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</si>
  <si>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</si>
  <si>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</si>
  <si>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</si>
  <si>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</si>
  <si>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</si>
  <si>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</si>
  <si>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</si>
  <si>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</si>
  <si>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</si>
  <si>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</si>
  <si>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</si>
  <si>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</si>
  <si>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</si>
  <si>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</si>
  <si>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</si>
  <si>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</si>
  <si>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</si>
  <si>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</si>
  <si>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</si>
  <si>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</si>
  <si>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</si>
  <si>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</si>
  <si>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</si>
  <si>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</si>
  <si>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</si>
  <si>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</si>
  <si>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</si>
  <si>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</si>
  <si>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</si>
  <si>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</si>
  <si>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</si>
  <si>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</si>
  <si>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</si>
  <si>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</si>
  <si>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</si>
  <si>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</si>
  <si>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</si>
  <si>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</si>
  <si>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</si>
  <si>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</si>
  <si>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</si>
  <si>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</si>
  <si>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</si>
  <si>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</si>
  <si>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</si>
  <si>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</si>
  <si>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</si>
  <si>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</si>
  <si>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</si>
  <si>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</si>
  <si>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</si>
  <si>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</si>
  <si>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</si>
  <si>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</si>
  <si>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</si>
  <si>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</si>
  <si>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</si>
  <si>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</si>
  <si>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</si>
  <si>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</si>
  <si>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</si>
  <si>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</si>
  <si>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</si>
  <si>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</si>
  <si>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</si>
  <si>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</si>
  <si>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</si>
  <si>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</si>
  <si>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</si>
  <si>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</si>
  <si>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</si>
  <si>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</si>
  <si>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</si>
  <si>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</si>
  <si>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</si>
  <si>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</si>
  <si>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</si>
  <si>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</si>
  <si>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</si>
  <si>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</si>
  <si>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</si>
  <si>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</si>
  <si>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</si>
  <si>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</si>
  <si>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</si>
  <si>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</si>
  <si>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</si>
  <si>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</si>
  <si>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</si>
  <si>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</si>
  <si>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</si>
  <si>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</si>
  <si>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</si>
  <si>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</si>
  <si>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</si>
  <si>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</si>
  <si>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</si>
  <si>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</si>
  <si>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</si>
  <si>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</si>
  <si>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</si>
  <si>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</si>
  <si>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</si>
  <si>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</si>
  <si>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</si>
  <si>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</si>
  <si>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</si>
  <si>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</si>
  <si>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</si>
  <si>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</si>
  <si>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</si>
  <si>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</si>
  <si>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</si>
  <si>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</si>
  <si>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</si>
  <si>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</si>
  <si>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</si>
  <si>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</si>
  <si>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</si>
  <si>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</si>
  <si>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</si>
  <si>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</si>
  <si>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</si>
  <si>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</si>
  <si>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</si>
  <si>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</si>
  <si>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</si>
  <si>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</si>
  <si>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</si>
  <si>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</si>
  <si>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</si>
  <si>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</si>
  <si>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</si>
  <si>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</si>
  <si>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</si>
  <si>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</si>
  <si>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</si>
  <si>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</si>
  <si>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</si>
  <si>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</si>
  <si>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</si>
  <si>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</si>
  <si>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</si>
  <si>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</si>
  <si>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</si>
  <si>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</si>
  <si>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</si>
  <si>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</si>
  <si>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</si>
  <si>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</si>
  <si>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</si>
  <si>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</si>
  <si>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</si>
  <si>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</si>
  <si>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</si>
  <si>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</si>
  <si>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</si>
  <si>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</si>
  <si>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</si>
  <si>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</si>
  <si>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</si>
  <si>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</si>
  <si>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</si>
  <si>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</si>
  <si>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</si>
  <si>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</si>
  <si>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</si>
  <si>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</si>
  <si>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</si>
  <si>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</si>
  <si>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</si>
  <si>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</si>
  <si>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</si>
  <si>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</si>
  <si>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</si>
  <si>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</si>
  <si>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</si>
  <si>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</si>
  <si>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</si>
  <si>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</si>
  <si>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</si>
  <si>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</si>
  <si>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</si>
  <si>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</si>
  <si>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</si>
  <si>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</si>
  <si>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</si>
  <si>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</si>
  <si>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</si>
  <si>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</si>
  <si>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</si>
  <si>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</si>
  <si>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</si>
  <si>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</si>
  <si>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</si>
  <si>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</si>
  <si>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</si>
  <si>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</si>
  <si>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</si>
  <si>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</si>
  <si>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</si>
  <si>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</si>
  <si>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</si>
  <si>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</si>
  <si>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</si>
  <si>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</si>
  <si>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</si>
  <si>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</si>
  <si>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</si>
  <si>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</si>
  <si>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</si>
  <si>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</si>
  <si>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</si>
  <si>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</si>
  <si>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</si>
  <si>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</si>
  <si>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</si>
  <si>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</si>
  <si>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</si>
  <si>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</si>
  <si>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</si>
  <si>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</si>
  <si>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</si>
  <si>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</si>
  <si>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</si>
  <si>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</si>
  <si>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</si>
  <si>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</si>
  <si>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</si>
  <si>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</si>
  <si>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</si>
  <si>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</si>
  <si>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</si>
  <si>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</si>
  <si>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</si>
  <si>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</si>
  <si>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</si>
  <si>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</si>
  <si>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</si>
  <si>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</si>
  <si>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</si>
  <si>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</si>
  <si>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</si>
  <si>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</si>
  <si>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</si>
  <si>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</si>
  <si>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</si>
  <si>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</si>
  <si>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</si>
  <si>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</si>
  <si>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</si>
  <si>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</si>
  <si>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</si>
  <si>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</si>
  <si>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</si>
  <si>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</si>
  <si>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</si>
  <si>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</si>
  <si>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</si>
  <si>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</si>
  <si>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</si>
  <si>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</si>
  <si>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</si>
  <si>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</si>
  <si>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</si>
  <si>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</si>
  <si>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</si>
  <si>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</si>
  <si>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</si>
  <si>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</si>
  <si>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</si>
  <si>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</si>
  <si>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</si>
  <si>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</si>
  <si>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</si>
  <si>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</si>
  <si>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</si>
  <si>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</si>
  <si>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</si>
  <si>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</si>
  <si>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</si>
  <si>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</si>
  <si>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</si>
  <si>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</si>
  <si>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</si>
  <si>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</si>
  <si>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</si>
  <si>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</si>
  <si>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</si>
  <si>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</si>
  <si>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</si>
  <si>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</si>
  <si>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5"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</si>
  <si>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</si>
  <si>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</si>
  <si>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</si>
  <si>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</si>
  <si>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</si>
  <si>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</si>
  <si>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</si>
  <si>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</si>
  <si>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</si>
  <si>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</si>
  <si>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</si>
  <si>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</si>
  <si>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</si>
  <si>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</si>
  <si>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</si>
  <si>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</si>
  <si>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</si>
  <si>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5" type="noConversion"/>
  </si>
  <si>
    <t>1-1-101</t>
  </si>
  <si>
    <t>未售</t>
    <phoneticPr fontId="135" type="noConversion"/>
  </si>
  <si>
    <t>已售</t>
    <phoneticPr fontId="135"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</si>
  <si>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</si>
  <si>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</si>
  <si>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</si>
  <si>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</si>
  <si>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</si>
  <si>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</si>
  <si>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</si>
  <si>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</si>
  <si>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</si>
  <si>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5" type="noConversion"/>
  </si>
  <si>
    <t>2025-04</t>
    <phoneticPr fontId="135"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</si>
  <si>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</si>
  <si>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</si>
  <si>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</si>
  <si>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</si>
  <si>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</si>
  <si>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</si>
  <si>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</si>
  <si>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</si>
  <si>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</si>
  <si>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</si>
  <si>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</si>
  <si>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</si>
  <si>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</si>
  <si>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</si>
  <si>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</si>
  <si>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</si>
  <si>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</si>
  <si>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</si>
  <si>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区县：延庆区；分析周期：2024年05月 至 2025年05月；物业类型：普通住宅</t>
  </si>
  <si>
    <t>可售套数</t>
  </si>
  <si>
    <t>格兰山水</t>
  </si>
  <si>
    <t>2025-05</t>
  </si>
  <si>
    <t>洋房</t>
  </si>
  <si>
    <t>洋房</t>
    <phoneticPr fontId="4" type="noConversion"/>
  </si>
  <si>
    <t>小高层</t>
  </si>
  <si>
    <t>小高层</t>
    <phoneticPr fontId="4" type="noConversion"/>
  </si>
  <si>
    <t>高层</t>
    <phoneticPr fontId="25" type="noConversion"/>
  </si>
  <si>
    <t>高档装修</t>
  </si>
  <si>
    <t>高档装修</t>
    <phoneticPr fontId="4" type="noConversion"/>
  </si>
  <si>
    <t>文成商务中心</t>
  </si>
  <si>
    <t>区县：延庆区；分析周期：2024年05月 至 2025年05月；物业类型：仓储</t>
  </si>
  <si>
    <t>Y2774599</t>
  </si>
  <si>
    <t>测绘报告4513.7，相差0.02</t>
    <phoneticPr fontId="135" type="noConversion"/>
  </si>
  <si>
    <t>住宅</t>
    <phoneticPr fontId="135" type="noConversion"/>
  </si>
  <si>
    <t>仓储</t>
    <phoneticPr fontId="135" type="noConversion"/>
  </si>
  <si>
    <t>非经营</t>
    <phoneticPr fontId="135" type="noConversion"/>
  </si>
  <si>
    <t>人防</t>
    <phoneticPr fontId="135" type="noConversion"/>
  </si>
  <si>
    <t>可售</t>
    <phoneticPr fontId="135" type="noConversion"/>
  </si>
  <si>
    <t>土地分摊报告</t>
    <phoneticPr fontId="135" type="noConversion"/>
  </si>
  <si>
    <t>合计</t>
    <phoneticPr fontId="135" type="noConversion"/>
  </si>
  <si>
    <t>总计</t>
    <phoneticPr fontId="135" type="noConversion"/>
  </si>
  <si>
    <t>未取得预售</t>
    <phoneticPr fontId="135" type="noConversion"/>
  </si>
  <si>
    <t>有测绘无预售</t>
    <phoneticPr fontId="135" type="noConversion"/>
  </si>
  <si>
    <t>车库</t>
    <phoneticPr fontId="135" type="noConversion"/>
  </si>
  <si>
    <t>地下车库</t>
  </si>
  <si>
    <t>地下车库</t>
    <phoneticPr fontId="135" type="noConversion"/>
  </si>
  <si>
    <t>地下车库</t>
    <phoneticPr fontId="8" type="noConversion"/>
  </si>
  <si>
    <t>Y2776415</t>
  </si>
  <si>
    <t>Y2718924</t>
  </si>
  <si>
    <t>6.5住宅未签约-期房</t>
    <phoneticPr fontId="135" type="noConversion"/>
  </si>
  <si>
    <t>6.5住宅已签约</t>
    <phoneticPr fontId="135"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</si>
  <si>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</si>
  <si>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</si>
  <si>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</si>
  <si>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</si>
  <si>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</si>
  <si>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</si>
  <si>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</si>
  <si>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</si>
  <si>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</si>
  <si>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</si>
  <si>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</si>
  <si>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</si>
  <si>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</si>
  <si>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</si>
  <si>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</si>
  <si>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</si>
  <si>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</si>
  <si>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</si>
  <si>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</si>
  <si>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</si>
  <si>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</si>
  <si>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</si>
  <si>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</si>
  <si>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</si>
  <si>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</si>
  <si>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</si>
  <si>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</si>
  <si>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</si>
  <si>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</si>
  <si>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</si>
  <si>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</si>
  <si>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</si>
  <si>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</si>
  <si>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</si>
  <si>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</si>
  <si>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</si>
  <si>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</si>
  <si>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</si>
  <si>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</si>
  <si>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</si>
  <si>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</si>
  <si>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</si>
  <si>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</si>
  <si>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</si>
  <si>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</si>
  <si>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</si>
  <si>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</si>
  <si>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</si>
  <si>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</si>
  <si>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</si>
  <si>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</si>
  <si>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</si>
  <si>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</si>
  <si>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</si>
  <si>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</si>
  <si>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</si>
  <si>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</si>
  <si>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</si>
  <si>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</si>
  <si>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</si>
  <si>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</si>
  <si>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</si>
  <si>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</si>
  <si>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</si>
  <si>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</si>
  <si>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</si>
  <si>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</si>
  <si>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</si>
  <si>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</si>
  <si>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</si>
  <si>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</si>
  <si>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</si>
  <si>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</si>
  <si>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</si>
  <si>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</si>
  <si>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</si>
  <si>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</si>
  <si>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</si>
  <si>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</si>
  <si>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</si>
  <si>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</si>
  <si>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</si>
  <si>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</si>
  <si>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</si>
  <si>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</si>
  <si>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</si>
  <si>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</si>
  <si>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</si>
  <si>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</si>
  <si>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</si>
  <si>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</si>
  <si>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</si>
  <si>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</si>
  <si>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</si>
  <si>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</si>
  <si>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</si>
  <si>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</si>
  <si>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</si>
  <si>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</si>
  <si>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</si>
  <si>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</si>
  <si>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</si>
  <si>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</si>
  <si>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</si>
  <si>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</si>
  <si>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</si>
  <si>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</si>
  <si>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</si>
  <si>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</si>
  <si>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</si>
  <si>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</si>
  <si>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</si>
  <si>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</si>
  <si>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</si>
  <si>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</si>
  <si>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</si>
  <si>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</si>
  <si>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</si>
  <si>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</si>
  <si>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</si>
  <si>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</si>
  <si>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</si>
  <si>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</si>
  <si>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</si>
  <si>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</si>
  <si>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</si>
  <si>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</si>
  <si>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</si>
  <si>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</si>
  <si>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</si>
  <si>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</si>
  <si>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</si>
  <si>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</si>
  <si>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</si>
  <si>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</si>
  <si>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</si>
  <si>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</si>
  <si>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</si>
  <si>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</si>
  <si>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</si>
  <si>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</si>
  <si>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</si>
  <si>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</si>
  <si>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</si>
  <si>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</si>
  <si>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</si>
  <si>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</si>
  <si>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</si>
  <si>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</si>
  <si>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</si>
  <si>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</si>
  <si>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</si>
  <si>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</si>
  <si>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</si>
  <si>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</si>
  <si>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</si>
  <si>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</si>
  <si>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</si>
  <si>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</si>
  <si>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</si>
  <si>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</si>
  <si>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</si>
  <si>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</si>
  <si>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</si>
  <si>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</si>
  <si>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</si>
  <si>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</si>
  <si>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</si>
  <si>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</si>
  <si>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</si>
  <si>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</si>
  <si>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</si>
  <si>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</si>
  <si>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</si>
  <si>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</si>
  <si>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</si>
  <si>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</si>
  <si>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</si>
  <si>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</si>
  <si>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</si>
  <si>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</si>
  <si>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</si>
  <si>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</si>
  <si>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</si>
  <si>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</si>
  <si>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</si>
  <si>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</si>
  <si>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</si>
  <si>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</si>
  <si>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</si>
  <si>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</si>
  <si>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</si>
  <si>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</si>
  <si>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</si>
  <si>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</si>
  <si>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</si>
  <si>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</si>
  <si>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</si>
  <si>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</si>
  <si>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</si>
  <si>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</si>
  <si>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</si>
  <si>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</si>
  <si>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</si>
  <si>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</si>
  <si>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</si>
  <si>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</si>
  <si>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</si>
  <si>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</si>
  <si>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</si>
  <si>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</si>
  <si>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</si>
  <si>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</si>
  <si>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</si>
  <si>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</si>
  <si>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</si>
  <si>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</si>
  <si>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</si>
  <si>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</si>
  <si>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</si>
  <si>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</si>
  <si>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</si>
  <si>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</si>
  <si>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</si>
  <si>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</si>
  <si>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</si>
  <si>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</si>
  <si>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</si>
  <si>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</si>
  <si>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</si>
  <si>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</si>
  <si>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</si>
  <si>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</si>
  <si>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</si>
  <si>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</si>
  <si>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</si>
  <si>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</si>
  <si>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</si>
  <si>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</si>
  <si>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</si>
  <si>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</si>
  <si>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</si>
  <si>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</si>
  <si>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</si>
  <si>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</si>
  <si>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</si>
  <si>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</si>
  <si>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</si>
  <si>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</si>
  <si>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</si>
  <si>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</si>
  <si>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</si>
  <si>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</si>
  <si>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</si>
  <si>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</si>
  <si>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</si>
  <si>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</si>
  <si>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</si>
  <si>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</si>
  <si>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</si>
  <si>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</si>
  <si>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</si>
  <si>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</si>
  <si>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</si>
  <si>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</si>
  <si>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</si>
  <si>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</si>
  <si>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</si>
  <si>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</si>
  <si>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</si>
  <si>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</si>
  <si>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</si>
  <si>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</si>
  <si>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</si>
  <si>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</si>
  <si>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</si>
  <si>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</si>
  <si>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</si>
  <si>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</si>
  <si>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</si>
  <si>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</si>
  <si>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</si>
  <si>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</si>
  <si>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</si>
  <si>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</si>
  <si>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</si>
  <si>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</si>
  <si>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</si>
  <si>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</si>
  <si>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</si>
  <si>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</si>
  <si>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</si>
  <si>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</si>
  <si>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</si>
  <si>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</si>
  <si>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</si>
  <si>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</si>
  <si>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</si>
  <si>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</si>
  <si>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</si>
  <si>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</si>
  <si>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</si>
  <si>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</si>
  <si>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</si>
  <si>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</si>
  <si>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</si>
  <si>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</si>
  <si>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</si>
  <si>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</si>
  <si>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</si>
  <si>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</si>
  <si>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</si>
  <si>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</si>
  <si>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</si>
  <si>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</si>
  <si>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</si>
  <si>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</si>
  <si>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</si>
  <si>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</si>
  <si>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</si>
  <si>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</si>
  <si>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</si>
  <si>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</si>
  <si>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</si>
  <si>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</si>
  <si>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</si>
  <si>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</si>
  <si>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</si>
  <si>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</si>
  <si>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</si>
  <si>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</si>
  <si>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</si>
  <si>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</si>
  <si>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</si>
  <si>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</si>
  <si>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</si>
  <si>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</si>
  <si>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</si>
  <si>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</si>
  <si>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</si>
  <si>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</si>
  <si>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</si>
  <si>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</si>
  <si>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</si>
  <si>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</si>
  <si>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</si>
  <si>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</si>
  <si>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</si>
  <si>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</si>
  <si>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</si>
  <si>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</si>
  <si>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</si>
  <si>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</si>
  <si>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</si>
  <si>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</si>
  <si>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</si>
  <si>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</si>
  <si>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</si>
  <si>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</si>
  <si>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</si>
  <si>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</si>
  <si>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</si>
  <si>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</si>
  <si>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</si>
  <si>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</si>
  <si>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</si>
  <si>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</si>
  <si>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</si>
  <si>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</si>
  <si>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</si>
  <si>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</si>
  <si>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</si>
  <si>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</si>
  <si>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</si>
  <si>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5" type="noConversion"/>
  </si>
  <si>
    <t>1#</t>
    <phoneticPr fontId="135" type="noConversion"/>
  </si>
  <si>
    <t>1#住宅楼</t>
  </si>
  <si>
    <t>未售分摊土地</t>
    <phoneticPr fontId="135" type="noConversion"/>
  </si>
  <si>
    <t>已售分摊土地</t>
    <phoneticPr fontId="135"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</si>
  <si>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</si>
  <si>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</si>
  <si>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</si>
  <si>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</si>
  <si>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</si>
  <si>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</si>
  <si>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</si>
  <si>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</si>
  <si>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</si>
  <si>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</si>
  <si>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</si>
  <si>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</si>
  <si>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</si>
  <si>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5" type="noConversion"/>
  </si>
  <si>
    <t>仓储分摊土地</t>
    <phoneticPr fontId="135" type="noConversion"/>
  </si>
  <si>
    <t>住宅已售建面</t>
    <phoneticPr fontId="135" type="noConversion"/>
  </si>
  <si>
    <t>住宅未售建面</t>
    <phoneticPr fontId="135" type="noConversion"/>
  </si>
  <si>
    <t>仓储建面</t>
    <phoneticPr fontId="135" type="noConversion"/>
  </si>
  <si>
    <t>住宅未售扣减9套后建面</t>
    <phoneticPr fontId="135" type="noConversion"/>
  </si>
  <si>
    <t>车库建面</t>
    <phoneticPr fontId="135" type="noConversion"/>
  </si>
  <si>
    <t>车库分摊土地</t>
    <phoneticPr fontId="135" type="noConversion"/>
  </si>
  <si>
    <t>14#</t>
    <phoneticPr fontId="135" type="noConversion"/>
  </si>
  <si>
    <t>未计入</t>
    <phoneticPr fontId="135" type="noConversion"/>
  </si>
  <si>
    <t>未售可抵押</t>
    <phoneticPr fontId="4" type="noConversion"/>
  </si>
  <si>
    <t>车位</t>
  </si>
  <si>
    <t>车位</t>
    <phoneticPr fontId="135" type="noConversion"/>
  </si>
  <si>
    <t>樾熙府</t>
  </si>
  <si>
    <t>区县：延庆区；分析周期：2024年06月 至 2025年06月；物业类型：车库/车位</t>
  </si>
  <si>
    <t>世园村</t>
    <phoneticPr fontId="4" type="noConversion"/>
  </si>
  <si>
    <t>上源府</t>
    <phoneticPr fontId="4" type="noConversion"/>
  </si>
  <si>
    <t>山澜阙府</t>
    <phoneticPr fontId="32" type="noConversion"/>
  </si>
  <si>
    <t>车位</t>
    <phoneticPr fontId="32" type="noConversion"/>
  </si>
  <si>
    <t>精装修</t>
    <phoneticPr fontId="32" type="noConversion"/>
  </si>
  <si>
    <t>平面车位</t>
  </si>
  <si>
    <t>平面车位</t>
    <phoneticPr fontId="32" type="noConversion"/>
  </si>
  <si>
    <t>否</t>
    <phoneticPr fontId="32" type="noConversion"/>
  </si>
  <si>
    <t>个数</t>
    <phoneticPr fontId="135" type="noConversion"/>
  </si>
  <si>
    <t>每个面积</t>
    <phoneticPr fontId="135" type="noConversion"/>
  </si>
  <si>
    <t>元/车位</t>
  </si>
  <si>
    <t>1:1.2</t>
    <phoneticPr fontId="32" type="noConversion"/>
  </si>
  <si>
    <r>
      <t>1</t>
    </r>
    <r>
      <rPr>
        <sz val="11"/>
        <color indexed="8"/>
        <rFont val="宋体"/>
        <family val="3"/>
        <charset val="134"/>
      </rPr>
      <t>：</t>
    </r>
    <r>
      <rPr>
        <sz val="11"/>
        <color indexed="8"/>
        <rFont val="Arial"/>
        <family val="2"/>
      </rPr>
      <t>1.1</t>
    </r>
    <phoneticPr fontId="32" type="noConversion"/>
  </si>
  <si>
    <t>1:1.091</t>
    <phoneticPr fontId="32" type="noConversion"/>
  </si>
  <si>
    <t>地下商业</t>
    <phoneticPr fontId="8" type="noConversion"/>
  </si>
  <si>
    <t>无预售9套住宅</t>
    <phoneticPr fontId="135" type="noConversion"/>
  </si>
  <si>
    <t>住总山澜赋</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</si>
</sst>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279" fillId="0" borderId="0"/>
    <xf numFmtId="43" fontId="96" fillId="0" borderId="0" applyFont="0" applyFill="0" applyBorder="0" applyAlignment="0" applyProtection="0">
      <alignment vertical="center"/>
    </xf>
    <xf numFmtId="0" fontId="37" fillId="0" borderId="0">
      <alignment vertical="center"/>
    </xf>
    <xf numFmtId="43" fontId="37" fillId="0" borderId="0" applyFont="0" applyFill="0" applyBorder="0" applyAlignment="0" applyProtection="0">
      <alignment vertical="center"/>
    </xf>
    <xf numFmtId="0" fontId="1" fillId="0" borderId="0"/>
  </cellStyleXfs>
  <cellXfs count="375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183" fontId="272" fillId="0" borderId="1" xfId="0" applyNumberFormat="1" applyFont="1" applyBorder="1" applyAlignment="1" applyProtection="1">
      <alignment horizontal="center" vertical="center"/>
      <protection locked="0"/>
    </xf>
    <xf numFmtId="0" fontId="108" fillId="0" borderId="0" xfId="10" applyFont="1" applyAlignment="1">
      <alignment horizontal="left" vertical="center" wrapText="1"/>
    </xf>
    <xf numFmtId="14" fontId="108" fillId="0" borderId="0" xfId="10" applyNumberFormat="1" applyFont="1" applyAlignment="1">
      <alignment horizontal="left" vertical="center" wrapText="1"/>
    </xf>
    <xf numFmtId="178" fontId="108" fillId="0" borderId="0" xfId="10" applyNumberFormat="1" applyFont="1" applyAlignment="1">
      <alignment horizontal="left" vertical="center" wrapText="1"/>
    </xf>
    <xf numFmtId="0" fontId="273" fillId="0" borderId="0" xfId="10" applyFont="1" applyAlignment="1">
      <alignment horizontal="left" vertical="center" wrapText="1"/>
    </xf>
    <xf numFmtId="0" fontId="274" fillId="0" borderId="0" xfId="10" applyFont="1" applyAlignment="1">
      <alignment horizontal="left" vertical="center" wrapText="1"/>
    </xf>
    <xf numFmtId="0" fontId="108" fillId="0" borderId="0" xfId="10" applyFont="1" applyAlignment="1">
      <alignment horizontal="center" vertical="center"/>
    </xf>
    <xf numFmtId="0" fontId="108" fillId="0" borderId="1" xfId="10" applyFont="1" applyBorder="1" applyAlignment="1">
      <alignment horizontal="left" vertical="center" wrapText="1"/>
    </xf>
    <xf numFmtId="0" fontId="108" fillId="0" borderId="5" xfId="10" applyFont="1" applyBorder="1" applyAlignment="1">
      <alignment horizontal="left" vertical="center" wrapText="1"/>
    </xf>
    <xf numFmtId="0" fontId="275" fillId="0" borderId="0" xfId="10" applyFont="1" applyAlignment="1">
      <alignment horizontal="left" vertical="center" wrapText="1"/>
    </xf>
    <xf numFmtId="0" fontId="108" fillId="0" borderId="23" xfId="10" applyFont="1" applyBorder="1" applyAlignment="1">
      <alignment horizontal="left" vertical="center" wrapText="1"/>
    </xf>
    <xf numFmtId="0" fontId="108" fillId="0" borderId="24" xfId="10" applyFont="1" applyBorder="1" applyAlignment="1">
      <alignment horizontal="left" vertical="center" wrapText="1"/>
    </xf>
    <xf numFmtId="0" fontId="108" fillId="0" borderId="3" xfId="10" applyFont="1" applyBorder="1" applyAlignment="1">
      <alignment horizontal="left" vertical="center" wrapText="1"/>
    </xf>
    <xf numFmtId="0" fontId="274" fillId="0" borderId="1" xfId="10" applyFont="1" applyBorder="1" applyAlignment="1">
      <alignment horizontal="left" vertical="center" wrapText="1"/>
    </xf>
    <xf numFmtId="0" fontId="274" fillId="0" borderId="5" xfId="10" applyFont="1" applyBorder="1" applyAlignment="1">
      <alignment horizontal="left" vertical="center" wrapText="1"/>
    </xf>
    <xf numFmtId="0" fontId="274" fillId="0" borderId="23" xfId="10" applyFont="1" applyBorder="1" applyAlignment="1">
      <alignment horizontal="left" vertical="center" wrapText="1"/>
    </xf>
    <xf numFmtId="0" fontId="274" fillId="0" borderId="24" xfId="10" applyFont="1" applyBorder="1" applyAlignment="1">
      <alignment horizontal="left" vertical="center" wrapText="1"/>
    </xf>
    <xf numFmtId="0" fontId="274" fillId="0" borderId="3" xfId="10" applyFont="1" applyBorder="1" applyAlignment="1">
      <alignment horizontal="left" vertical="center" wrapText="1"/>
    </xf>
    <xf numFmtId="0" fontId="276" fillId="0" borderId="1" xfId="10" applyFont="1" applyBorder="1" applyAlignment="1">
      <alignment horizontal="justify" vertical="center"/>
    </xf>
    <xf numFmtId="0" fontId="54" fillId="0" borderId="1" xfId="10" applyFont="1" applyBorder="1" applyAlignment="1">
      <alignment horizontal="justify" vertical="center"/>
    </xf>
    <xf numFmtId="0" fontId="55" fillId="0" borderId="1" xfId="10" applyFont="1" applyBorder="1" applyAlignment="1">
      <alignment horizontal="justify" vertical="center"/>
    </xf>
    <xf numFmtId="0" fontId="113" fillId="0" borderId="1" xfId="10" applyFont="1" applyBorder="1" applyAlignment="1">
      <alignment horizontal="left" vertical="center" wrapText="1"/>
    </xf>
    <xf numFmtId="0" fontId="113" fillId="0" borderId="5" xfId="10" applyFont="1" applyBorder="1" applyAlignment="1">
      <alignment horizontal="left" vertical="center" wrapText="1"/>
    </xf>
    <xf numFmtId="0" fontId="113" fillId="0" borderId="23" xfId="10" applyFont="1" applyBorder="1" applyAlignment="1">
      <alignment horizontal="left" vertical="center" wrapText="1"/>
    </xf>
    <xf numFmtId="0" fontId="113" fillId="0" borderId="24" xfId="10" applyFont="1" applyBorder="1" applyAlignment="1">
      <alignment horizontal="left" vertical="center" wrapText="1"/>
    </xf>
    <xf numFmtId="0" fontId="113" fillId="0" borderId="3" xfId="10" applyFont="1" applyBorder="1" applyAlignment="1">
      <alignment horizontal="left" vertical="center" wrapText="1"/>
    </xf>
    <xf numFmtId="0" fontId="113" fillId="0" borderId="0" xfId="10" applyFont="1" applyAlignment="1">
      <alignment horizontal="left" vertical="center" wrapText="1"/>
    </xf>
    <xf numFmtId="0" fontId="108" fillId="0" borderId="25" xfId="10" applyFont="1" applyBorder="1" applyAlignment="1">
      <alignment horizontal="left" vertical="center" wrapText="1"/>
    </xf>
    <xf numFmtId="0" fontId="108" fillId="0" borderId="32" xfId="10" applyFont="1" applyBorder="1" applyAlignment="1">
      <alignment horizontal="left" vertical="center" wrapText="1"/>
    </xf>
    <xf numFmtId="0" fontId="108" fillId="0" borderId="33" xfId="10" applyFont="1" applyBorder="1" applyAlignment="1">
      <alignment horizontal="left" vertical="center" wrapText="1"/>
    </xf>
    <xf numFmtId="0" fontId="108" fillId="0" borderId="49" xfId="10" applyFont="1" applyBorder="1" applyAlignment="1">
      <alignment horizontal="left" vertical="center" wrapText="1"/>
    </xf>
    <xf numFmtId="0" fontId="278" fillId="0" borderId="0" xfId="10" applyFont="1" applyAlignment="1">
      <alignment horizontal="justify" vertical="center" wrapText="1"/>
    </xf>
    <xf numFmtId="0" fontId="108" fillId="10" borderId="0" xfId="10" applyFont="1" applyFill="1" applyAlignment="1">
      <alignment horizontal="center" vertical="center"/>
    </xf>
    <xf numFmtId="9" fontId="108" fillId="10" borderId="0" xfId="10" applyNumberFormat="1" applyFont="1" applyFill="1" applyAlignment="1">
      <alignment horizontal="left" vertical="center" wrapText="1"/>
    </xf>
    <xf numFmtId="9" fontId="108" fillId="0" borderId="0" xfId="10" applyNumberFormat="1" applyFont="1" applyAlignment="1">
      <alignment horizontal="left" vertical="center" wrapText="1"/>
    </xf>
    <xf numFmtId="0" fontId="108" fillId="22" borderId="6" xfId="10" applyFont="1" applyFill="1" applyBorder="1" applyAlignment="1">
      <alignment horizontal="left" vertical="center" wrapText="1"/>
    </xf>
    <xf numFmtId="0" fontId="108" fillId="22" borderId="9" xfId="10" applyFont="1" applyFill="1" applyBorder="1" applyAlignment="1">
      <alignment horizontal="left" vertical="center" wrapText="1"/>
    </xf>
    <xf numFmtId="0" fontId="108" fillId="22" borderId="10" xfId="10" applyFont="1" applyFill="1" applyBorder="1" applyAlignment="1">
      <alignment horizontal="left" vertical="center" wrapText="1"/>
    </xf>
    <xf numFmtId="0" fontId="276" fillId="10" borderId="1" xfId="10" applyFont="1" applyFill="1" applyBorder="1" applyAlignment="1">
      <alignment horizontal="justify" vertical="center"/>
    </xf>
    <xf numFmtId="0" fontId="274" fillId="23" borderId="1" xfId="10" applyFont="1" applyFill="1" applyBorder="1" applyAlignment="1">
      <alignment horizontal="left" vertical="center" wrapText="1"/>
    </xf>
    <xf numFmtId="0" fontId="274" fillId="22" borderId="23" xfId="10" applyFont="1" applyFill="1" applyBorder="1" applyAlignment="1">
      <alignment horizontal="left" vertical="center" wrapText="1"/>
    </xf>
    <xf numFmtId="0" fontId="274" fillId="22" borderId="1" xfId="10" applyFont="1" applyFill="1" applyBorder="1" applyAlignment="1">
      <alignment horizontal="left" vertical="center" wrapText="1"/>
    </xf>
    <xf numFmtId="9" fontId="274" fillId="22" borderId="1" xfId="10" applyNumberFormat="1" applyFont="1" applyFill="1" applyBorder="1" applyAlignment="1">
      <alignment horizontal="left" vertical="center" wrapText="1"/>
    </xf>
    <xf numFmtId="0" fontId="108" fillId="22" borderId="24" xfId="10" applyFont="1" applyFill="1" applyBorder="1" applyAlignment="1">
      <alignment horizontal="left" vertical="center" wrapText="1"/>
    </xf>
    <xf numFmtId="0" fontId="54" fillId="10" borderId="1" xfId="10" applyFont="1" applyFill="1" applyBorder="1" applyAlignment="1">
      <alignment horizontal="justify" vertical="center"/>
    </xf>
    <xf numFmtId="0" fontId="274" fillId="5" borderId="1" xfId="10" applyFont="1" applyFill="1" applyBorder="1" applyAlignment="1">
      <alignment horizontal="left" vertical="center" wrapText="1"/>
    </xf>
    <xf numFmtId="0" fontId="274" fillId="5" borderId="5" xfId="10" applyFont="1" applyFill="1" applyBorder="1" applyAlignment="1">
      <alignment horizontal="left" vertical="center" wrapText="1"/>
    </xf>
    <xf numFmtId="0" fontId="274" fillId="5" borderId="23"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108" fillId="23" borderId="1" xfId="10" applyFont="1" applyFill="1" applyBorder="1" applyAlignment="1">
      <alignment horizontal="left" vertical="center" wrapText="1"/>
    </xf>
    <xf numFmtId="0" fontId="113" fillId="22" borderId="23" xfId="10" applyFont="1" applyFill="1" applyBorder="1" applyAlignment="1">
      <alignment horizontal="left" vertical="center" wrapText="1"/>
    </xf>
    <xf numFmtId="0" fontId="113" fillId="22" borderId="1" xfId="10" applyFont="1" applyFill="1" applyBorder="1" applyAlignment="1">
      <alignment horizontal="left" vertical="center" wrapText="1"/>
    </xf>
    <xf numFmtId="9" fontId="113" fillId="22" borderId="24" xfId="19" applyFont="1" applyFill="1" applyBorder="1" applyAlignment="1">
      <alignment horizontal="left" vertical="center" wrapText="1"/>
    </xf>
    <xf numFmtId="9" fontId="113" fillId="0" borderId="0" xfId="19" applyFont="1" applyAlignment="1">
      <alignment horizontal="left" vertical="center" wrapText="1"/>
    </xf>
    <xf numFmtId="0" fontId="108" fillId="22" borderId="25" xfId="10" applyFont="1" applyFill="1" applyBorder="1" applyAlignment="1">
      <alignment horizontal="left" vertical="center" wrapText="1"/>
    </xf>
    <xf numFmtId="0" fontId="108" fillId="22" borderId="32" xfId="10" applyFont="1" applyFill="1" applyBorder="1" applyAlignment="1">
      <alignment horizontal="left" vertical="center" wrapText="1"/>
    </xf>
    <xf numFmtId="0" fontId="108" fillId="22" borderId="49" xfId="10" applyFont="1" applyFill="1" applyBorder="1" applyAlignment="1">
      <alignment horizontal="left" vertical="center" wrapText="1"/>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9" fillId="0" borderId="0" xfId="20" applyAlignment="1">
      <alignment horizontal="left" vertical="center"/>
    </xf>
    <xf numFmtId="0" fontId="129" fillId="0" borderId="51" xfId="0" applyFont="1" applyBorder="1" applyAlignment="1" applyProtection="1">
      <alignment horizontal="center" vertical="center" wrapText="1"/>
      <protection locked="0"/>
    </xf>
    <xf numFmtId="0" fontId="108" fillId="0" borderId="0" xfId="20" applyFont="1" applyAlignment="1">
      <alignment horizontal="left" vertical="center"/>
    </xf>
    <xf numFmtId="0" fontId="281" fillId="0" borderId="0" xfId="20" applyFont="1" applyAlignment="1">
      <alignment horizontal="left" vertical="center"/>
    </xf>
    <xf numFmtId="0" fontId="274" fillId="6" borderId="0" xfId="20" applyFont="1" applyFill="1" applyAlignment="1">
      <alignment horizontal="left" vertical="center"/>
    </xf>
    <xf numFmtId="0" fontId="281" fillId="5" borderId="1" xfId="20" applyFont="1" applyFill="1" applyBorder="1" applyAlignment="1">
      <alignment horizontal="left" vertical="center"/>
    </xf>
    <xf numFmtId="9" fontId="45"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5" fillId="0" borderId="23" xfId="0" applyFont="1" applyBorder="1" applyAlignment="1" applyProtection="1">
      <alignment horizontal="center" vertical="center" wrapText="1"/>
      <protection locked="0"/>
    </xf>
    <xf numFmtId="0" fontId="65"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6" fillId="0" borderId="0" xfId="10">
      <alignment vertical="center"/>
    </xf>
    <xf numFmtId="0" fontId="96" fillId="0" borderId="0" xfId="10" applyAlignment="1">
      <alignment horizontal="center" vertical="center"/>
    </xf>
    <xf numFmtId="0" fontId="136" fillId="0" borderId="0" xfId="22" applyFont="1" applyAlignment="1">
      <alignment horizontal="center" vertical="center"/>
    </xf>
    <xf numFmtId="0" fontId="37" fillId="0" borderId="0" xfId="22" applyAlignment="1">
      <alignment horizontal="center" vertical="center"/>
    </xf>
    <xf numFmtId="0" fontId="136" fillId="0" borderId="1" xfId="22" applyFont="1" applyBorder="1" applyAlignment="1">
      <alignment horizontal="center" vertical="center"/>
    </xf>
    <xf numFmtId="0" fontId="186" fillId="0" borderId="1" xfId="22" applyFont="1" applyBorder="1" applyAlignment="1">
      <alignment horizontal="center" vertical="center"/>
    </xf>
    <xf numFmtId="0" fontId="186" fillId="0" borderId="1" xfId="22" applyFont="1" applyBorder="1" applyAlignment="1">
      <alignment horizontal="center" vertical="center" wrapText="1"/>
    </xf>
    <xf numFmtId="0" fontId="136" fillId="0" borderId="178" xfId="22" applyFont="1" applyBorder="1" applyAlignment="1">
      <alignment horizontal="center" vertical="center"/>
    </xf>
    <xf numFmtId="0" fontId="37" fillId="0" borderId="1" xfId="22" applyBorder="1" applyAlignment="1">
      <alignment horizontal="center" vertical="center"/>
    </xf>
    <xf numFmtId="0" fontId="20"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5" fillId="0" borderId="1" xfId="22" applyFont="1" applyBorder="1" applyAlignment="1">
      <alignment horizontal="center" vertical="center" shrinkToFit="1"/>
    </xf>
    <xf numFmtId="0" fontId="129" fillId="0" borderId="1" xfId="22" applyFont="1" applyBorder="1" applyAlignment="1">
      <alignment horizontal="center" vertical="center" shrinkToFit="1"/>
    </xf>
    <xf numFmtId="0" fontId="95" fillId="0" borderId="1" xfId="22" applyFont="1" applyBorder="1" applyAlignment="1">
      <alignment horizontal="center" vertical="center"/>
    </xf>
    <xf numFmtId="0" fontId="37"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5" fillId="5" borderId="1" xfId="22" applyFont="1" applyFill="1" applyBorder="1" applyAlignment="1">
      <alignment horizontal="center" vertical="center" shrinkToFit="1"/>
    </xf>
    <xf numFmtId="0" fontId="37" fillId="7" borderId="1" xfId="22" applyFill="1" applyBorder="1" applyAlignment="1">
      <alignment horizontal="center" vertical="center"/>
    </xf>
    <xf numFmtId="0" fontId="20" fillId="7" borderId="1" xfId="22" applyFont="1" applyFill="1" applyBorder="1" applyAlignment="1">
      <alignment horizontal="center" vertical="center" shrinkToFit="1"/>
    </xf>
    <xf numFmtId="0" fontId="95" fillId="7" borderId="1" xfId="22" applyFont="1" applyFill="1" applyBorder="1" applyAlignment="1">
      <alignment horizontal="center" vertical="center" shrinkToFit="1"/>
    </xf>
    <xf numFmtId="0" fontId="129" fillId="7" borderId="1" xfId="22" applyFont="1" applyFill="1" applyBorder="1" applyAlignment="1">
      <alignment horizontal="center" vertical="center" shrinkToFit="1"/>
    </xf>
    <xf numFmtId="0" fontId="95" fillId="7" borderId="1" xfId="22" applyFont="1" applyFill="1" applyBorder="1" applyAlignment="1">
      <alignment horizontal="center" vertical="center"/>
    </xf>
    <xf numFmtId="0" fontId="37"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5" fillId="0" borderId="2" xfId="22" applyFont="1" applyBorder="1" applyAlignment="1">
      <alignment horizontal="center" vertical="center" shrinkToFit="1"/>
    </xf>
    <xf numFmtId="0" fontId="129" fillId="0" borderId="2" xfId="22" applyFont="1" applyBorder="1" applyAlignment="1">
      <alignment horizontal="center" vertical="center" shrinkToFit="1"/>
    </xf>
    <xf numFmtId="0" fontId="95" fillId="0" borderId="2" xfId="22" applyFont="1" applyBorder="1" applyAlignment="1">
      <alignment horizontal="center" vertical="center"/>
    </xf>
    <xf numFmtId="0" fontId="186" fillId="0" borderId="2" xfId="22" applyFont="1" applyBorder="1" applyAlignment="1">
      <alignment horizontal="center" vertical="center"/>
    </xf>
    <xf numFmtId="0" fontId="136" fillId="0" borderId="2" xfId="22" applyFont="1" applyBorder="1" applyAlignment="1">
      <alignment horizontal="center" vertical="center"/>
    </xf>
    <xf numFmtId="0" fontId="37" fillId="0" borderId="5" xfId="22" applyBorder="1" applyAlignment="1">
      <alignment horizontal="center" vertical="center"/>
    </xf>
    <xf numFmtId="0" fontId="37" fillId="27" borderId="1" xfId="22" applyFill="1" applyBorder="1" applyAlignment="1">
      <alignment horizontal="center" vertical="center"/>
    </xf>
    <xf numFmtId="0" fontId="20"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8" fillId="27" borderId="1" xfId="22" applyFont="1" applyFill="1" applyBorder="1" applyAlignment="1">
      <alignment horizontal="center" vertical="center" shrinkToFit="1"/>
    </xf>
    <xf numFmtId="0" fontId="95" fillId="27" borderId="1" xfId="22" applyFont="1" applyFill="1" applyBorder="1" applyAlignment="1">
      <alignment horizontal="center" vertical="center"/>
    </xf>
    <xf numFmtId="0" fontId="186" fillId="27" borderId="1" xfId="22" applyFont="1" applyFill="1" applyBorder="1" applyAlignment="1">
      <alignment horizontal="center" vertical="center"/>
    </xf>
    <xf numFmtId="0" fontId="136" fillId="27" borderId="1" xfId="22" applyFont="1" applyFill="1" applyBorder="1" applyAlignment="1">
      <alignment horizontal="center" vertical="center"/>
    </xf>
    <xf numFmtId="0" fontId="37" fillId="28" borderId="178" xfId="22" applyFill="1" applyBorder="1" applyAlignment="1">
      <alignment horizontal="center" vertical="center"/>
    </xf>
    <xf numFmtId="0" fontId="37" fillId="27" borderId="179" xfId="22" applyFill="1" applyBorder="1" applyAlignment="1">
      <alignment horizontal="center" vertical="center"/>
    </xf>
    <xf numFmtId="0" fontId="20"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8" fillId="27" borderId="179" xfId="22" applyFont="1" applyFill="1" applyBorder="1" applyAlignment="1">
      <alignment horizontal="center" vertical="center" shrinkToFit="1"/>
    </xf>
    <xf numFmtId="0" fontId="186" fillId="27" borderId="179" xfId="22" applyFont="1" applyFill="1" applyBorder="1" applyAlignment="1">
      <alignment horizontal="center" vertical="center"/>
    </xf>
    <xf numFmtId="0" fontId="95" fillId="0" borderId="0" xfId="22" applyFont="1" applyAlignment="1">
      <alignment horizontal="center" vertical="center"/>
    </xf>
    <xf numFmtId="0" fontId="95" fillId="27" borderId="0" xfId="22" applyFont="1" applyFill="1" applyAlignment="1">
      <alignment horizontal="center" vertical="center"/>
    </xf>
    <xf numFmtId="0" fontId="37" fillId="27" borderId="0" xfId="22" applyFill="1" applyAlignment="1">
      <alignment horizontal="center" vertical="center"/>
    </xf>
    <xf numFmtId="0" fontId="136" fillId="0" borderId="180" xfId="22" applyFont="1" applyBorder="1" applyAlignment="1">
      <alignment horizontal="center" vertical="center"/>
    </xf>
    <xf numFmtId="0" fontId="186" fillId="0" borderId="180" xfId="22" applyFont="1" applyBorder="1" applyAlignment="1">
      <alignment horizontal="center" vertical="center"/>
    </xf>
    <xf numFmtId="0" fontId="186" fillId="0" borderId="180" xfId="22" applyFont="1" applyBorder="1" applyAlignment="1">
      <alignment horizontal="center" vertical="center" wrapText="1"/>
    </xf>
    <xf numFmtId="0" fontId="186"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8" fillId="0" borderId="1" xfId="22" applyFont="1" applyBorder="1" applyAlignment="1">
      <alignment horizontal="center" vertical="center" shrinkToFit="1"/>
    </xf>
    <xf numFmtId="0" fontId="37" fillId="0" borderId="179" xfId="22" applyBorder="1" applyAlignment="1">
      <alignment horizontal="center" vertical="center"/>
    </xf>
    <xf numFmtId="0" fontId="20" fillId="0" borderId="179" xfId="22" applyFont="1" applyBorder="1" applyAlignment="1">
      <alignment horizontal="center" vertical="center" shrinkToFit="1"/>
    </xf>
    <xf numFmtId="0" fontId="78" fillId="0" borderId="179" xfId="22" applyFont="1" applyBorder="1" applyAlignment="1">
      <alignment horizontal="center" vertical="center" shrinkToFit="1"/>
    </xf>
    <xf numFmtId="0" fontId="95" fillId="0" borderId="179" xfId="22" applyFont="1" applyBorder="1" applyAlignment="1">
      <alignment horizontal="center" vertical="center"/>
    </xf>
    <xf numFmtId="0" fontId="37" fillId="0" borderId="182" xfId="22" applyBorder="1" applyAlignment="1">
      <alignment horizontal="center" vertical="center"/>
    </xf>
    <xf numFmtId="0" fontId="37" fillId="0" borderId="183" xfId="22" applyBorder="1" applyAlignment="1">
      <alignment horizontal="center" vertical="center"/>
    </xf>
    <xf numFmtId="0" fontId="129" fillId="0" borderId="46" xfId="0" applyFont="1" applyBorder="1" applyAlignment="1" applyProtection="1">
      <alignment horizontal="center" vertical="center" wrapText="1"/>
      <protection locked="0"/>
    </xf>
    <xf numFmtId="0" fontId="95" fillId="0" borderId="1" xfId="0" applyFont="1" applyBorder="1" applyAlignment="1" applyProtection="1">
      <alignment horizontal="center" vertical="center" wrapText="1"/>
      <protection locked="0"/>
    </xf>
    <xf numFmtId="0" fontId="130" fillId="6" borderId="1" xfId="2" applyFont="1" applyFill="1" applyBorder="1" applyAlignment="1">
      <alignment horizontal="center" wrapText="1"/>
    </xf>
    <xf numFmtId="0" fontId="134"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4"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4" fillId="29" borderId="1" xfId="22" applyFont="1" applyFill="1" applyBorder="1" applyAlignment="1">
      <alignment horizontal="center" vertical="center" shrinkToFit="1"/>
    </xf>
    <xf numFmtId="0" fontId="95" fillId="29" borderId="1" xfId="22" applyFont="1" applyFill="1" applyBorder="1" applyAlignment="1">
      <alignment horizontal="center" vertical="center" shrinkToFit="1"/>
    </xf>
    <xf numFmtId="0" fontId="96" fillId="0" borderId="184" xfId="10" applyBorder="1" applyAlignment="1">
      <alignment horizontal="center" vertical="center"/>
    </xf>
    <xf numFmtId="0" fontId="96" fillId="5" borderId="184" xfId="10" applyFill="1" applyBorder="1" applyAlignment="1">
      <alignment horizontal="center" vertical="center"/>
    </xf>
    <xf numFmtId="0" fontId="96" fillId="5" borderId="0" xfId="10" applyFill="1">
      <alignment vertical="center"/>
    </xf>
    <xf numFmtId="0" fontId="96" fillId="26" borderId="0" xfId="10" applyFill="1">
      <alignment vertical="center"/>
    </xf>
    <xf numFmtId="0" fontId="290" fillId="7" borderId="184" xfId="10" applyFont="1" applyFill="1" applyBorder="1" applyAlignment="1">
      <alignment horizontal="center" vertical="center"/>
    </xf>
    <xf numFmtId="0" fontId="96"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6"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8" fillId="0" borderId="1" xfId="0" applyFont="1" applyBorder="1" applyAlignment="1" applyProtection="1">
      <alignment horizontal="center" vertical="center" wrapText="1"/>
      <protection locked="0"/>
    </xf>
    <xf numFmtId="17" fontId="108" fillId="0" borderId="0" xfId="20" quotePrefix="1" applyNumberFormat="1" applyFont="1" applyAlignment="1">
      <alignment horizontal="left" vertical="center"/>
    </xf>
    <xf numFmtId="3" fontId="108" fillId="0" borderId="0" xfId="20" applyNumberFormat="1" applyFont="1" applyAlignment="1">
      <alignment horizontal="left" vertical="center"/>
    </xf>
    <xf numFmtId="0" fontId="108" fillId="0" borderId="0" xfId="20" quotePrefix="1" applyFont="1" applyAlignment="1">
      <alignment horizontal="left" vertical="center"/>
    </xf>
    <xf numFmtId="0" fontId="108" fillId="0" borderId="0" xfId="0" applyFont="1">
      <alignment vertical="center"/>
    </xf>
    <xf numFmtId="14" fontId="108" fillId="0" borderId="0" xfId="0" applyNumberFormat="1" applyFont="1" applyAlignment="1">
      <alignment horizontal="left" vertical="center"/>
    </xf>
    <xf numFmtId="0" fontId="108" fillId="0" borderId="0" xfId="20" applyFont="1"/>
    <xf numFmtId="0" fontId="108" fillId="14" borderId="0" xfId="20" applyFont="1" applyFill="1"/>
    <xf numFmtId="0" fontId="108" fillId="5" borderId="0" xfId="20" applyFont="1" applyFill="1"/>
    <xf numFmtId="0" fontId="108" fillId="0" borderId="1" xfId="20" applyFont="1" applyBorder="1" applyAlignment="1">
      <alignment horizontal="left" vertical="center"/>
    </xf>
    <xf numFmtId="0" fontId="108" fillId="5" borderId="1" xfId="20" applyFont="1" applyFill="1" applyBorder="1" applyAlignment="1">
      <alignment horizontal="left" vertical="center"/>
    </xf>
    <xf numFmtId="0" fontId="108" fillId="6" borderId="1" xfId="20" applyFont="1" applyFill="1" applyBorder="1" applyAlignment="1">
      <alignment horizontal="left" vertical="center"/>
    </xf>
    <xf numFmtId="0" fontId="108" fillId="5" borderId="186" xfId="20" applyFont="1" applyFill="1" applyBorder="1" applyAlignment="1">
      <alignment horizontal="left" vertical="center"/>
    </xf>
    <xf numFmtId="0" fontId="274" fillId="10" borderId="1" xfId="10" applyFont="1" applyFill="1" applyBorder="1" applyAlignment="1">
      <alignment horizontal="left" vertical="center" wrapText="1"/>
    </xf>
    <xf numFmtId="0" fontId="274" fillId="10" borderId="24" xfId="10" applyFont="1" applyFill="1" applyBorder="1" applyAlignment="1">
      <alignment horizontal="left" vertical="center" wrapText="1"/>
    </xf>
    <xf numFmtId="0" fontId="108" fillId="23" borderId="0" xfId="10" applyFont="1" applyFill="1" applyAlignment="1">
      <alignment horizontal="left" vertical="center" wrapText="1"/>
    </xf>
    <xf numFmtId="0" fontId="113" fillId="23" borderId="1" xfId="10" applyFont="1" applyFill="1" applyBorder="1" applyAlignment="1">
      <alignment horizontal="left" vertical="center" wrapText="1"/>
    </xf>
    <xf numFmtId="0" fontId="20" fillId="0" borderId="186" xfId="10" applyFont="1" applyBorder="1" applyAlignment="1">
      <alignment horizontal="center" vertical="center" shrinkToFit="1"/>
    </xf>
    <xf numFmtId="0" fontId="95"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6" fillId="0" borderId="0" xfId="10" applyNumberFormat="1" applyAlignment="1">
      <alignment horizontal="center" vertical="center"/>
    </xf>
    <xf numFmtId="179" fontId="108" fillId="0" borderId="184" xfId="10" applyNumberFormat="1" applyFont="1" applyBorder="1" applyAlignment="1">
      <alignment horizontal="center" vertical="center"/>
    </xf>
    <xf numFmtId="179" fontId="20" fillId="0" borderId="184" xfId="10" applyNumberFormat="1" applyFont="1" applyBorder="1" applyAlignment="1">
      <alignment horizontal="center" vertical="center" shrinkToFit="1"/>
    </xf>
    <xf numFmtId="49" fontId="20" fillId="0" borderId="184" xfId="10" applyNumberFormat="1" applyFont="1" applyBorder="1" applyAlignment="1">
      <alignment horizontal="center" vertical="center" shrinkToFit="1"/>
    </xf>
    <xf numFmtId="0" fontId="108" fillId="0" borderId="184" xfId="10" applyFont="1" applyBorder="1" applyAlignment="1">
      <alignment horizontal="center" vertical="center"/>
    </xf>
    <xf numFmtId="179" fontId="108" fillId="0" borderId="0" xfId="10" applyNumberFormat="1" applyFont="1" applyAlignment="1">
      <alignment horizontal="center" vertical="center"/>
    </xf>
    <xf numFmtId="179" fontId="20" fillId="5" borderId="184" xfId="10" applyNumberFormat="1" applyFont="1" applyFill="1" applyBorder="1" applyAlignment="1">
      <alignment horizontal="center" vertical="center" shrinkToFit="1"/>
    </xf>
    <xf numFmtId="179" fontId="108" fillId="5" borderId="184" xfId="10" applyNumberFormat="1" applyFont="1" applyFill="1" applyBorder="1" applyAlignment="1">
      <alignment horizontal="center" vertical="center"/>
    </xf>
    <xf numFmtId="0" fontId="108" fillId="0" borderId="0" xfId="10" applyFont="1" applyAlignment="1">
      <alignment horizontal="center" vertical="center" wrapText="1"/>
    </xf>
    <xf numFmtId="179" fontId="97" fillId="0" borderId="184" xfId="10" applyNumberFormat="1" applyFont="1" applyBorder="1" applyAlignment="1">
      <alignment horizontal="center" vertical="center"/>
    </xf>
    <xf numFmtId="0" fontId="97"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8" fillId="0" borderId="184" xfId="0" applyNumberFormat="1" applyFont="1" applyBorder="1" applyAlignment="1">
      <alignment horizontal="center" vertical="center"/>
    </xf>
    <xf numFmtId="0" fontId="108" fillId="31" borderId="184" xfId="10" applyFont="1" applyFill="1" applyBorder="1" applyAlignment="1">
      <alignment horizontal="center" vertical="center"/>
    </xf>
    <xf numFmtId="49" fontId="20" fillId="31" borderId="184" xfId="10" applyNumberFormat="1" applyFont="1" applyFill="1" applyBorder="1" applyAlignment="1">
      <alignment horizontal="center" vertical="center" shrinkToFit="1"/>
    </xf>
    <xf numFmtId="179" fontId="20" fillId="31" borderId="184" xfId="10" applyNumberFormat="1" applyFont="1" applyFill="1" applyBorder="1" applyAlignment="1">
      <alignment horizontal="center" vertical="center" shrinkToFit="1"/>
    </xf>
    <xf numFmtId="179" fontId="108" fillId="31" borderId="184" xfId="10" applyNumberFormat="1" applyFont="1" applyFill="1" applyBorder="1" applyAlignment="1">
      <alignment horizontal="center" vertical="center"/>
    </xf>
    <xf numFmtId="0" fontId="108" fillId="32" borderId="0" xfId="10" applyFont="1" applyFill="1" applyAlignment="1">
      <alignment horizontal="center" vertical="center"/>
    </xf>
    <xf numFmtId="179" fontId="108" fillId="32" borderId="0" xfId="10" applyNumberFormat="1" applyFont="1" applyFill="1" applyAlignment="1">
      <alignment horizontal="center" vertical="center"/>
    </xf>
    <xf numFmtId="179" fontId="275" fillId="29" borderId="184" xfId="10" applyNumberFormat="1" applyFont="1" applyFill="1" applyBorder="1" applyAlignment="1">
      <alignment horizontal="center" vertical="center"/>
    </xf>
    <xf numFmtId="0" fontId="275" fillId="29" borderId="184" xfId="10" applyFont="1" applyFill="1" applyBorder="1" applyAlignment="1">
      <alignment horizontal="center" vertical="center"/>
    </xf>
    <xf numFmtId="0" fontId="108" fillId="14" borderId="184" xfId="10" applyFont="1" applyFill="1" applyBorder="1" applyAlignment="1">
      <alignment horizontal="center" vertical="center"/>
    </xf>
    <xf numFmtId="179" fontId="108" fillId="30" borderId="184" xfId="10" applyNumberFormat="1" applyFont="1" applyFill="1" applyBorder="1" applyAlignment="1">
      <alignment horizontal="center" vertical="center"/>
    </xf>
    <xf numFmtId="0" fontId="108" fillId="8" borderId="0" xfId="20" applyFont="1" applyFill="1" applyAlignment="1">
      <alignment horizontal="left" vertical="center"/>
    </xf>
    <xf numFmtId="0" fontId="108" fillId="0" borderId="184" xfId="20"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136" fillId="0" borderId="0" xfId="22" applyFont="1" applyAlignment="1">
      <alignment horizontal="center" vertical="center"/>
    </xf>
    <xf numFmtId="0" fontId="37" fillId="27" borderId="0" xfId="22" applyFill="1" applyAlignment="1">
      <alignment horizontal="center" vertical="center"/>
    </xf>
    <xf numFmtId="0" fontId="276" fillId="10" borderId="1" xfId="10" applyFont="1" applyFill="1" applyBorder="1" applyAlignment="1">
      <alignment horizontal="center" vertical="center"/>
    </xf>
    <xf numFmtId="0" fontId="277" fillId="10" borderId="5" xfId="10" applyFont="1" applyFill="1" applyBorder="1" applyAlignment="1">
      <alignment horizontal="center" vertical="center"/>
    </xf>
    <xf numFmtId="0" fontId="277" fillId="10" borderId="3" xfId="10" applyFont="1" applyFill="1" applyBorder="1" applyAlignment="1">
      <alignment horizontal="center" vertical="center"/>
    </xf>
    <xf numFmtId="0" fontId="108" fillId="10" borderId="1" xfId="10" applyFont="1" applyFill="1" applyBorder="1" applyAlignment="1">
      <alignment horizontal="center" vertical="center"/>
    </xf>
    <xf numFmtId="0" fontId="108" fillId="10" borderId="13" xfId="10" applyFont="1" applyFill="1" applyBorder="1" applyAlignment="1">
      <alignment horizontal="center" vertical="center"/>
    </xf>
    <xf numFmtId="0" fontId="108" fillId="0" borderId="6" xfId="10" applyFont="1" applyBorder="1" applyAlignment="1">
      <alignment horizontal="center" vertical="center" wrapText="1"/>
    </xf>
    <xf numFmtId="0" fontId="108" fillId="0" borderId="9" xfId="10" applyFont="1" applyBorder="1" applyAlignment="1">
      <alignment horizontal="center" vertical="center" wrapText="1"/>
    </xf>
    <xf numFmtId="0" fontId="108" fillId="0" borderId="28" xfId="10" applyFont="1" applyBorder="1" applyAlignment="1">
      <alignment horizontal="center" vertical="center" wrapText="1"/>
    </xf>
    <xf numFmtId="0" fontId="108" fillId="0" borderId="10" xfId="10" applyFont="1" applyBorder="1" applyAlignment="1">
      <alignment horizontal="center" vertical="center" wrapText="1"/>
    </xf>
    <xf numFmtId="0" fontId="108" fillId="0" borderId="3" xfId="10" applyFont="1" applyBorder="1" applyAlignment="1">
      <alignment horizontal="center" vertical="center" wrapText="1"/>
    </xf>
    <xf numFmtId="0" fontId="108" fillId="0" borderId="1" xfId="10" applyFont="1" applyBorder="1" applyAlignment="1">
      <alignment horizontal="center" vertical="center" wrapText="1"/>
    </xf>
    <xf numFmtId="0" fontId="276" fillId="0" borderId="1" xfId="10" applyFont="1" applyBorder="1" applyAlignment="1">
      <alignment horizontal="center" vertical="center"/>
    </xf>
    <xf numFmtId="0" fontId="277" fillId="0" borderId="5" xfId="10" applyFont="1" applyBorder="1" applyAlignment="1">
      <alignment horizontal="center" vertical="center"/>
    </xf>
    <xf numFmtId="0" fontId="277" fillId="0" borderId="3" xfId="10" applyFont="1" applyBorder="1" applyAlignment="1">
      <alignment horizontal="center" vertical="center"/>
    </xf>
    <xf numFmtId="0" fontId="278" fillId="0" borderId="0" xfId="10" applyFont="1" applyAlignment="1">
      <alignment horizontal="justify" vertical="center" wrapText="1"/>
    </xf>
    <xf numFmtId="0" fontId="108" fillId="0" borderId="1" xfId="10" applyFont="1" applyBorder="1" applyAlignment="1">
      <alignment horizontal="center" vertical="center"/>
    </xf>
    <xf numFmtId="0" fontId="108" fillId="0" borderId="13" xfId="10" applyFont="1" applyBorder="1" applyAlignment="1">
      <alignment horizontal="center" vertical="center"/>
    </xf>
    <xf numFmtId="0" fontId="120" fillId="0" borderId="0" xfId="10" applyFont="1" applyAlignment="1">
      <alignment horizontal="center" vertical="center"/>
    </xf>
    <xf numFmtId="0" fontId="284" fillId="0" borderId="0" xfId="10" applyFont="1" applyAlignment="1" applyProtection="1">
      <alignment horizontal="center" vertical="center"/>
      <protection locked="0"/>
    </xf>
    <xf numFmtId="0" fontId="37" fillId="0" borderId="5" xfId="22" applyBorder="1" applyAlignment="1">
      <alignment horizontal="center" vertical="center"/>
    </xf>
    <xf numFmtId="0" fontId="37" fillId="0" borderId="54" xfId="22" applyBorder="1" applyAlignment="1">
      <alignment horizontal="center" vertical="center"/>
    </xf>
    <xf numFmtId="0" fontId="37" fillId="0" borderId="3" xfId="22" applyBorder="1" applyAlignment="1">
      <alignment horizontal="center" vertical="center"/>
    </xf>
    <xf numFmtId="0" fontId="37" fillId="0" borderId="0" xfId="22" applyAlignment="1">
      <alignment horizontal="center" vertical="center" wrapText="1"/>
    </xf>
    <xf numFmtId="0" fontId="37" fillId="0" borderId="0" xfId="22" applyAlignment="1">
      <alignment horizontal="center" vertical="center"/>
    </xf>
    <xf numFmtId="0" fontId="108" fillId="0" borderId="184" xfId="10" applyFont="1" applyBorder="1" applyAlignment="1">
      <alignment horizontal="center" vertical="center"/>
    </xf>
    <xf numFmtId="0" fontId="194" fillId="0" borderId="0" xfId="10" applyFont="1" applyAlignment="1">
      <alignment horizontal="center" vertical="center"/>
    </xf>
    <xf numFmtId="179" fontId="194" fillId="0" borderId="0" xfId="10" applyNumberFormat="1" applyFont="1" applyAlignment="1">
      <alignment horizontal="center" vertical="center"/>
    </xf>
    <xf numFmtId="0" fontId="108" fillId="31" borderId="184" xfId="10" applyFont="1" applyFill="1" applyBorder="1" applyAlignment="1">
      <alignment horizontal="center" vertical="center"/>
    </xf>
    <xf numFmtId="49" fontId="20" fillId="0" borderId="184" xfId="10" applyNumberFormat="1" applyFont="1" applyBorder="1" applyAlignment="1">
      <alignment horizontal="center" vertical="center" shrinkToFit="1"/>
    </xf>
    <xf numFmtId="0" fontId="108" fillId="0" borderId="186" xfId="10" applyFont="1" applyBorder="1" applyAlignment="1">
      <alignment horizontal="center" vertical="center"/>
    </xf>
    <xf numFmtId="0" fontId="108" fillId="0" borderId="15" xfId="10" applyFont="1" applyBorder="1" applyAlignment="1">
      <alignment horizontal="center" vertical="center"/>
    </xf>
    <xf numFmtId="0" fontId="108" fillId="0" borderId="2" xfId="10" applyFont="1" applyBorder="1" applyAlignment="1">
      <alignment horizontal="center"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280" fillId="0" borderId="1" xfId="20" applyFont="1" applyBorder="1" applyAlignment="1">
      <alignment horizontal="left" vertical="center"/>
    </xf>
    <xf numFmtId="0" fontId="281" fillId="0" borderId="1" xfId="20" applyFont="1" applyBorder="1" applyAlignment="1">
      <alignment horizontal="left" vertical="center"/>
    </xf>
    <xf numFmtId="0" fontId="274" fillId="6" borderId="1" xfId="20" applyFont="1" applyFill="1" applyBorder="1" applyAlignment="1">
      <alignment horizontal="left" vertical="center"/>
    </xf>
    <xf numFmtId="0" fontId="108" fillId="0" borderId="0" xfId="20" applyFont="1"/>
    <xf numFmtId="0" fontId="108" fillId="0" borderId="1" xfId="20" applyFont="1" applyBorder="1" applyAlignment="1">
      <alignment horizontal="left" vertical="center"/>
    </xf>
    <xf numFmtId="0" fontId="108" fillId="0" borderId="0" xfId="20" applyFont="1" applyAlignment="1">
      <alignment horizontal="left" vertical="center"/>
    </xf>
    <xf numFmtId="0" fontId="279" fillId="0" borderId="0" xfId="20"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79" fontId="54" fillId="33" borderId="1" xfId="1" applyNumberFormat="1" applyFont="1" applyFill="1" applyBorder="1" applyAlignment="1" applyProtection="1">
      <alignment horizontal="center"/>
      <protection locked="0"/>
    </xf>
    <xf numFmtId="179" fontId="54" fillId="33" borderId="1" xfId="1" applyNumberFormat="1" applyFont="1" applyFill="1" applyBorder="1" applyAlignment="1">
      <alignment horizontal="center"/>
    </xf>
    <xf numFmtId="0" fontId="48" fillId="33" borderId="5" xfId="0" applyFont="1" applyFill="1" applyBorder="1" applyAlignment="1" applyProtection="1">
      <alignment horizontal="left" vertical="center"/>
      <protection locked="0"/>
    </xf>
    <xf numFmtId="9" fontId="45" fillId="7" borderId="5" xfId="0" applyNumberFormat="1" applyFont="1" applyFill="1" applyBorder="1" applyAlignment="1" applyProtection="1">
      <alignment horizontal="center" vertical="center"/>
      <protection locked="0"/>
    </xf>
    <xf numFmtId="0" fontId="281" fillId="0" borderId="184" xfId="20" applyFont="1" applyBorder="1" applyAlignment="1">
      <alignment horizontal="left" vertical="center"/>
    </xf>
  </cellXfs>
  <cellStyles count="25">
    <cellStyle name="百分比" xfId="17" builtinId="5"/>
    <cellStyle name="百分比 2" xfId="14"/>
    <cellStyle name="百分比 3" xfId="19"/>
    <cellStyle name="常规" xfId="0" builtinId="0"/>
    <cellStyle name="常规 10" xfId="20"/>
    <cellStyle name="常规 10 2" xfId="22"/>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4"/>
    <cellStyle name="千位分隔 2" xfId="21"/>
    <cellStyle name="千位分隔 2 2" xfId="23"/>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0" Type="http://schemas.openxmlformats.org/officeDocument/2006/relationships/image" Target="../media/image53.png"/><Relationship Id="rId4" Type="http://schemas.openxmlformats.org/officeDocument/2006/relationships/image" Target="../media/image47.png"/><Relationship Id="rId9" Type="http://schemas.openxmlformats.org/officeDocument/2006/relationships/image" Target="../media/image52.png"/></Relationships>
</file>

<file path=xl/drawings/_rels/drawing6.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5" Type="http://schemas.openxmlformats.org/officeDocument/2006/relationships/image" Target="../media/image67.png"/><Relationship Id="rId4" Type="http://schemas.openxmlformats.org/officeDocument/2006/relationships/image" Target="../media/image6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xmlns=""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xmlns=""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xmlns=""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xmlns=""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xmlns=""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xmlns=""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xmlns=""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xmlns=""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xmlns=""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xmlns=""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xmlns=""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xmlns=""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xmlns=""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xmlns=""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xmlns=""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xmlns=""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xmlns=""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95250</xdr:rowOff>
    </xdr:from>
    <xdr:to>
      <xdr:col>11</xdr:col>
      <xdr:colOff>188952</xdr:colOff>
      <xdr:row>46</xdr:row>
      <xdr:rowOff>94545</xdr:rowOff>
    </xdr:to>
    <xdr:pic>
      <xdr:nvPicPr>
        <xdr:cNvPr id="3" name="图片 2">
          <a:extLst>
            <a:ext uri="{FF2B5EF4-FFF2-40B4-BE49-F238E27FC236}">
              <a16:creationId xmlns:a16="http://schemas.microsoft.com/office/drawing/2014/main" xmlns="" id="{E8DCF3AF-25C5-716D-55D2-19D89CF81648}"/>
            </a:ext>
          </a:extLst>
        </xdr:cNvPr>
        <xdr:cNvPicPr>
          <a:picLocks noChangeAspect="1"/>
        </xdr:cNvPicPr>
      </xdr:nvPicPr>
      <xdr:blipFill>
        <a:blip xmlns:r="http://schemas.openxmlformats.org/officeDocument/2006/relationships" r:embed="rId1"/>
        <a:stretch>
          <a:fillRect/>
        </a:stretch>
      </xdr:blipFill>
      <xdr:spPr>
        <a:xfrm>
          <a:off x="0" y="1466850"/>
          <a:ext cx="12380952" cy="5638095"/>
        </a:xfrm>
        <a:prstGeom prst="rect">
          <a:avLst/>
        </a:prstGeom>
      </xdr:spPr>
    </xdr:pic>
    <xdr:clientData/>
  </xdr:twoCellAnchor>
  <xdr:twoCellAnchor>
    <xdr:from>
      <xdr:col>0</xdr:col>
      <xdr:colOff>1076325</xdr:colOff>
      <xdr:row>22</xdr:row>
      <xdr:rowOff>66676</xdr:rowOff>
    </xdr:from>
    <xdr:to>
      <xdr:col>0</xdr:col>
      <xdr:colOff>2200275</xdr:colOff>
      <xdr:row>24</xdr:row>
      <xdr:rowOff>123826</xdr:rowOff>
    </xdr:to>
    <xdr:sp macro="" textlink="">
      <xdr:nvSpPr>
        <xdr:cNvPr id="4" name="对话气泡: 椭圆形 3">
          <a:extLst>
            <a:ext uri="{FF2B5EF4-FFF2-40B4-BE49-F238E27FC236}">
              <a16:creationId xmlns:a16="http://schemas.microsoft.com/office/drawing/2014/main" xmlns="" id="{C3E93092-1E9E-3CEB-3F8C-20E4253795AA}"/>
            </a:ext>
          </a:extLst>
        </xdr:cNvPr>
        <xdr:cNvSpPr/>
      </xdr:nvSpPr>
      <xdr:spPr>
        <a:xfrm>
          <a:off x="1076325" y="3419476"/>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1114425</xdr:colOff>
      <xdr:row>12</xdr:row>
      <xdr:rowOff>76200</xdr:rowOff>
    </xdr:from>
    <xdr:to>
      <xdr:col>0</xdr:col>
      <xdr:colOff>2238375</xdr:colOff>
      <xdr:row>14</xdr:row>
      <xdr:rowOff>133350</xdr:rowOff>
    </xdr:to>
    <xdr:sp macro="" textlink="">
      <xdr:nvSpPr>
        <xdr:cNvPr id="6" name="对话气泡: 椭圆形 5">
          <a:extLst>
            <a:ext uri="{FF2B5EF4-FFF2-40B4-BE49-F238E27FC236}">
              <a16:creationId xmlns:a16="http://schemas.microsoft.com/office/drawing/2014/main" xmlns="" id="{C2409718-6E0D-4E5C-992D-D05CFCD22E69}"/>
            </a:ext>
          </a:extLst>
        </xdr:cNvPr>
        <xdr:cNvSpPr/>
      </xdr:nvSpPr>
      <xdr:spPr>
        <a:xfrm>
          <a:off x="1114425" y="190500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6</xdr:col>
      <xdr:colOff>847725</xdr:colOff>
      <xdr:row>21</xdr:row>
      <xdr:rowOff>66675</xdr:rowOff>
    </xdr:from>
    <xdr:to>
      <xdr:col>8</xdr:col>
      <xdr:colOff>247650</xdr:colOff>
      <xdr:row>23</xdr:row>
      <xdr:rowOff>123825</xdr:rowOff>
    </xdr:to>
    <xdr:sp macro="" textlink="">
      <xdr:nvSpPr>
        <xdr:cNvPr id="8" name="对话气泡: 椭圆形 7">
          <a:extLst>
            <a:ext uri="{FF2B5EF4-FFF2-40B4-BE49-F238E27FC236}">
              <a16:creationId xmlns:a16="http://schemas.microsoft.com/office/drawing/2014/main" xmlns="" id="{9470EB3F-0D81-40CE-A432-3422A5A372C9}"/>
            </a:ext>
          </a:extLst>
        </xdr:cNvPr>
        <xdr:cNvSpPr/>
      </xdr:nvSpPr>
      <xdr:spPr>
        <a:xfrm>
          <a:off x="9029700" y="3267075"/>
          <a:ext cx="1123950" cy="361950"/>
        </a:xfrm>
        <a:prstGeom prst="wedgeEllipseCallout">
          <a:avLst>
            <a:gd name="adj1" fmla="val -31634"/>
            <a:gd name="adj2" fmla="val 8691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5</xdr:col>
      <xdr:colOff>295275</xdr:colOff>
      <xdr:row>17</xdr:row>
      <xdr:rowOff>19050</xdr:rowOff>
    </xdr:from>
    <xdr:to>
      <xdr:col>6</xdr:col>
      <xdr:colOff>314325</xdr:colOff>
      <xdr:row>19</xdr:row>
      <xdr:rowOff>76200</xdr:rowOff>
    </xdr:to>
    <xdr:sp macro="" textlink="">
      <xdr:nvSpPr>
        <xdr:cNvPr id="9" name="对话气泡: 椭圆形 8">
          <a:extLst>
            <a:ext uri="{FF2B5EF4-FFF2-40B4-BE49-F238E27FC236}">
              <a16:creationId xmlns:a16="http://schemas.microsoft.com/office/drawing/2014/main" xmlns="" id="{CD26FCB3-27EE-4DC5-B09A-EFA5767DCA66}"/>
            </a:ext>
          </a:extLst>
        </xdr:cNvPr>
        <xdr:cNvSpPr/>
      </xdr:nvSpPr>
      <xdr:spPr>
        <a:xfrm>
          <a:off x="7372350" y="26098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twoCellAnchor>
    <xdr:from>
      <xdr:col>0</xdr:col>
      <xdr:colOff>0</xdr:colOff>
      <xdr:row>50</xdr:row>
      <xdr:rowOff>38099</xdr:rowOff>
    </xdr:from>
    <xdr:to>
      <xdr:col>20</xdr:col>
      <xdr:colOff>541428</xdr:colOff>
      <xdr:row>97</xdr:row>
      <xdr:rowOff>49341</xdr:rowOff>
    </xdr:to>
    <xdr:grpSp>
      <xdr:nvGrpSpPr>
        <xdr:cNvPr id="12" name="组合 11">
          <a:extLst>
            <a:ext uri="{FF2B5EF4-FFF2-40B4-BE49-F238E27FC236}">
              <a16:creationId xmlns:a16="http://schemas.microsoft.com/office/drawing/2014/main" xmlns="" id="{E767504D-0CEB-1018-845D-B89177375711}"/>
            </a:ext>
          </a:extLst>
        </xdr:cNvPr>
        <xdr:cNvGrpSpPr/>
      </xdr:nvGrpSpPr>
      <xdr:grpSpPr>
        <a:xfrm>
          <a:off x="0" y="7658099"/>
          <a:ext cx="19591428" cy="7174042"/>
          <a:chOff x="0" y="7248524"/>
          <a:chExt cx="20353428" cy="7174042"/>
        </a:xfrm>
      </xdr:grpSpPr>
      <xdr:pic>
        <xdr:nvPicPr>
          <xdr:cNvPr id="7" name="图片 6">
            <a:extLst>
              <a:ext uri="{FF2B5EF4-FFF2-40B4-BE49-F238E27FC236}">
                <a16:creationId xmlns:a16="http://schemas.microsoft.com/office/drawing/2014/main" xmlns="" id="{2E1EF702-C26E-DED1-F262-2CC98EFAFD1E}"/>
              </a:ext>
            </a:extLst>
          </xdr:cNvPr>
          <xdr:cNvPicPr>
            <a:picLocks noChangeAspect="1"/>
          </xdr:cNvPicPr>
        </xdr:nvPicPr>
        <xdr:blipFill>
          <a:blip xmlns:r="http://schemas.openxmlformats.org/officeDocument/2006/relationships" r:embed="rId2"/>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xmlns="" id="{1169D2B7-7DAF-6F6C-23A8-02F3F7E05ACD}"/>
              </a:ext>
            </a:extLst>
          </xdr:cNvPr>
          <xdr:cNvPicPr>
            <a:picLocks noChangeAspect="1"/>
          </xdr:cNvPicPr>
        </xdr:nvPicPr>
        <xdr:blipFill>
          <a:blip xmlns:r="http://schemas.openxmlformats.org/officeDocument/2006/relationships" r:embed="rId3"/>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xmlns="" id="{149764BC-AAC1-E473-D931-8A72C951F14D}"/>
              </a:ext>
            </a:extLst>
          </xdr:cNvPr>
          <xdr:cNvPicPr>
            <a:picLocks noChangeAspect="1"/>
          </xdr:cNvPicPr>
        </xdr:nvPicPr>
        <xdr:blipFill>
          <a:blip xmlns:r="http://schemas.openxmlformats.org/officeDocument/2006/relationships" r:embed="rId4"/>
          <a:stretch>
            <a:fillRect/>
          </a:stretch>
        </xdr:blipFill>
        <xdr:spPr>
          <a:xfrm>
            <a:off x="9220200" y="9772650"/>
            <a:ext cx="11133228" cy="4649916"/>
          </a:xfrm>
          <a:prstGeom prst="rect">
            <a:avLst/>
          </a:prstGeom>
        </xdr:spPr>
      </xdr:pic>
    </xdr:grpSp>
    <xdr:clientData/>
  </xdr:twoCellAnchor>
  <xdr:twoCellAnchor>
    <xdr:from>
      <xdr:col>0</xdr:col>
      <xdr:colOff>0</xdr:colOff>
      <xdr:row>100</xdr:row>
      <xdr:rowOff>76201</xdr:rowOff>
    </xdr:from>
    <xdr:to>
      <xdr:col>18</xdr:col>
      <xdr:colOff>0</xdr:colOff>
      <xdr:row>148</xdr:row>
      <xdr:rowOff>118288</xdr:rowOff>
    </xdr:to>
    <xdr:grpSp>
      <xdr:nvGrpSpPr>
        <xdr:cNvPr id="22" name="组合 21">
          <a:extLst>
            <a:ext uri="{FF2B5EF4-FFF2-40B4-BE49-F238E27FC236}">
              <a16:creationId xmlns:a16="http://schemas.microsoft.com/office/drawing/2014/main" xmlns="" id="{FC9A5F66-4062-BACC-757E-1D1080241193}"/>
            </a:ext>
          </a:extLst>
        </xdr:cNvPr>
        <xdr:cNvGrpSpPr/>
      </xdr:nvGrpSpPr>
      <xdr:grpSpPr>
        <a:xfrm>
          <a:off x="0" y="15316201"/>
          <a:ext cx="17526000" cy="7357287"/>
          <a:chOff x="0" y="21412201"/>
          <a:chExt cx="17753182" cy="7357287"/>
        </a:xfrm>
      </xdr:grpSpPr>
      <xdr:pic>
        <xdr:nvPicPr>
          <xdr:cNvPr id="19" name="图片 18">
            <a:extLst>
              <a:ext uri="{FF2B5EF4-FFF2-40B4-BE49-F238E27FC236}">
                <a16:creationId xmlns:a16="http://schemas.microsoft.com/office/drawing/2014/main" xmlns="" id="{148E4294-CFEC-BC99-D6AD-6A1D94AE15A7}"/>
              </a:ext>
            </a:extLst>
          </xdr:cNvPr>
          <xdr:cNvPicPr>
            <a:picLocks noChangeAspect="1"/>
          </xdr:cNvPicPr>
        </xdr:nvPicPr>
        <xdr:blipFill>
          <a:blip xmlns:r="http://schemas.openxmlformats.org/officeDocument/2006/relationships" r:embed="rId5"/>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xmlns="" id="{B878ADD2-F0E3-19D8-1AF7-5761B84A7A51}"/>
              </a:ext>
            </a:extLst>
          </xdr:cNvPr>
          <xdr:cNvPicPr>
            <a:picLocks noChangeAspect="1"/>
          </xdr:cNvPicPr>
        </xdr:nvPicPr>
        <xdr:blipFill>
          <a:blip xmlns:r="http://schemas.openxmlformats.org/officeDocument/2006/relationships" r:embed="rId6"/>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xmlns="" id="{AE3CF11C-0D94-7797-4221-0B650E947CA7}"/>
              </a:ext>
            </a:extLst>
          </xdr:cNvPr>
          <xdr:cNvPicPr>
            <a:picLocks noChangeAspect="1"/>
          </xdr:cNvPicPr>
        </xdr:nvPicPr>
        <xdr:blipFill>
          <a:blip xmlns:r="http://schemas.openxmlformats.org/officeDocument/2006/relationships" r:embed="rId7"/>
          <a:stretch>
            <a:fillRect/>
          </a:stretch>
        </xdr:blipFill>
        <xdr:spPr>
          <a:xfrm>
            <a:off x="7867650" y="23955375"/>
            <a:ext cx="9885532" cy="4814113"/>
          </a:xfrm>
          <a:prstGeom prst="rect">
            <a:avLst/>
          </a:prstGeom>
        </xdr:spPr>
      </xdr:pic>
    </xdr:grpSp>
    <xdr:clientData/>
  </xdr:twoCellAnchor>
  <xdr:twoCellAnchor>
    <xdr:from>
      <xdr:col>0</xdr:col>
      <xdr:colOff>0</xdr:colOff>
      <xdr:row>153</xdr:row>
      <xdr:rowOff>0</xdr:rowOff>
    </xdr:from>
    <xdr:to>
      <xdr:col>18</xdr:col>
      <xdr:colOff>0</xdr:colOff>
      <xdr:row>198</xdr:row>
      <xdr:rowOff>129504</xdr:rowOff>
    </xdr:to>
    <xdr:grpSp>
      <xdr:nvGrpSpPr>
        <xdr:cNvPr id="23" name="组合 22">
          <a:extLst>
            <a:ext uri="{FF2B5EF4-FFF2-40B4-BE49-F238E27FC236}">
              <a16:creationId xmlns:a16="http://schemas.microsoft.com/office/drawing/2014/main" xmlns="" id="{8D363825-ADC0-4C14-909A-D01E9D33C977}"/>
            </a:ext>
          </a:extLst>
        </xdr:cNvPr>
        <xdr:cNvGrpSpPr/>
      </xdr:nvGrpSpPr>
      <xdr:grpSpPr>
        <a:xfrm>
          <a:off x="0" y="23317200"/>
          <a:ext cx="17526000" cy="6987504"/>
          <a:chOff x="0" y="14194446"/>
          <a:chExt cx="18029269" cy="6987504"/>
        </a:xfrm>
      </xdr:grpSpPr>
      <xdr:pic>
        <xdr:nvPicPr>
          <xdr:cNvPr id="24" name="图片 23">
            <a:extLst>
              <a:ext uri="{FF2B5EF4-FFF2-40B4-BE49-F238E27FC236}">
                <a16:creationId xmlns:a16="http://schemas.microsoft.com/office/drawing/2014/main" xmlns="" id="{B1FA0848-EB64-2D62-BBC0-6986FC9240DB}"/>
              </a:ext>
            </a:extLst>
          </xdr:cNvPr>
          <xdr:cNvPicPr>
            <a:picLocks noChangeAspect="1"/>
          </xdr:cNvPicPr>
        </xdr:nvPicPr>
        <xdr:blipFill>
          <a:blip xmlns:r="http://schemas.openxmlformats.org/officeDocument/2006/relationships" r:embed="rId8"/>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xmlns="" id="{2D60F265-4A96-3C89-51D3-18DA2247A234}"/>
              </a:ext>
            </a:extLst>
          </xdr:cNvPr>
          <xdr:cNvPicPr>
            <a:picLocks noChangeAspect="1"/>
          </xdr:cNvPicPr>
        </xdr:nvPicPr>
        <xdr:blipFill>
          <a:blip xmlns:r="http://schemas.openxmlformats.org/officeDocument/2006/relationships" r:embed="rId9"/>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xmlns="" id="{8B752476-1CE5-A89B-E18E-618DD747988C}"/>
              </a:ext>
            </a:extLst>
          </xdr:cNvPr>
          <xdr:cNvPicPr>
            <a:picLocks noChangeAspect="1"/>
          </xdr:cNvPicPr>
        </xdr:nvPicPr>
        <xdr:blipFill>
          <a:blip xmlns:r="http://schemas.openxmlformats.org/officeDocument/2006/relationships" r:embed="rId10"/>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178</xdr:row>
      <xdr:rowOff>141028</xdr:rowOff>
    </xdr:from>
    <xdr:to>
      <xdr:col>4</xdr:col>
      <xdr:colOff>484989</xdr:colOff>
      <xdr:row>196</xdr:row>
      <xdr:rowOff>19049</xdr:rowOff>
    </xdr:to>
    <xdr:pic>
      <xdr:nvPicPr>
        <xdr:cNvPr id="27" name="图片 26">
          <a:extLst>
            <a:ext uri="{FF2B5EF4-FFF2-40B4-BE49-F238E27FC236}">
              <a16:creationId xmlns:a16="http://schemas.microsoft.com/office/drawing/2014/main" xmlns="" id="{B2654094-EE2E-E5DD-3E89-46683D0A1142}"/>
            </a:ext>
          </a:extLst>
        </xdr:cNvPr>
        <xdr:cNvPicPr>
          <a:picLocks noChangeAspect="1"/>
        </xdr:cNvPicPr>
      </xdr:nvPicPr>
      <xdr:blipFill>
        <a:blip xmlns:r="http://schemas.openxmlformats.org/officeDocument/2006/relationships" r:embed="rId11"/>
        <a:stretch>
          <a:fillRect/>
        </a:stretch>
      </xdr:blipFill>
      <xdr:spPr>
        <a:xfrm>
          <a:off x="2174971" y="27268228"/>
          <a:ext cx="4282193" cy="2621221"/>
        </a:xfrm>
        <a:prstGeom prst="rect">
          <a:avLst/>
        </a:prstGeom>
      </xdr:spPr>
    </xdr:pic>
    <xdr:clientData/>
  </xdr:twoCellAnchor>
  <xdr:twoCellAnchor editAs="oneCell">
    <xdr:from>
      <xdr:col>1</xdr:col>
      <xdr:colOff>1265254</xdr:colOff>
      <xdr:row>126</xdr:row>
      <xdr:rowOff>104775</xdr:rowOff>
    </xdr:from>
    <xdr:to>
      <xdr:col>5</xdr:col>
      <xdr:colOff>732697</xdr:colOff>
      <xdr:row>142</xdr:row>
      <xdr:rowOff>104775</xdr:rowOff>
    </xdr:to>
    <xdr:pic>
      <xdr:nvPicPr>
        <xdr:cNvPr id="28" name="图片 27">
          <a:extLst>
            <a:ext uri="{FF2B5EF4-FFF2-40B4-BE49-F238E27FC236}">
              <a16:creationId xmlns:a16="http://schemas.microsoft.com/office/drawing/2014/main" xmlns="" id="{233A5279-1098-E539-19E3-AD320F68E3C9}"/>
            </a:ext>
          </a:extLst>
        </xdr:cNvPr>
        <xdr:cNvPicPr>
          <a:picLocks noChangeAspect="1"/>
        </xdr:cNvPicPr>
      </xdr:nvPicPr>
      <xdr:blipFill>
        <a:blip xmlns:r="http://schemas.openxmlformats.org/officeDocument/2006/relationships" r:embed="rId12"/>
        <a:stretch>
          <a:fillRect/>
        </a:stretch>
      </xdr:blipFill>
      <xdr:spPr>
        <a:xfrm>
          <a:off x="3694129" y="19307175"/>
          <a:ext cx="4115643" cy="2438400"/>
        </a:xfrm>
        <a:prstGeom prst="rect">
          <a:avLst/>
        </a:prstGeom>
      </xdr:spPr>
    </xdr:pic>
    <xdr:clientData/>
  </xdr:twoCellAnchor>
  <xdr:twoCellAnchor editAs="oneCell">
    <xdr:from>
      <xdr:col>1</xdr:col>
      <xdr:colOff>1295400</xdr:colOff>
      <xdr:row>65</xdr:row>
      <xdr:rowOff>142875</xdr:rowOff>
    </xdr:from>
    <xdr:to>
      <xdr:col>6</xdr:col>
      <xdr:colOff>751824</xdr:colOff>
      <xdr:row>90</xdr:row>
      <xdr:rowOff>66208</xdr:rowOff>
    </xdr:to>
    <xdr:pic>
      <xdr:nvPicPr>
        <xdr:cNvPr id="29" name="图片 28">
          <a:extLst>
            <a:ext uri="{FF2B5EF4-FFF2-40B4-BE49-F238E27FC236}">
              <a16:creationId xmlns:a16="http://schemas.microsoft.com/office/drawing/2014/main" xmlns="" id="{EB7751F6-61CB-F863-BEBE-CAF34621211E}"/>
            </a:ext>
          </a:extLst>
        </xdr:cNvPr>
        <xdr:cNvPicPr>
          <a:picLocks noChangeAspect="1"/>
        </xdr:cNvPicPr>
      </xdr:nvPicPr>
      <xdr:blipFill>
        <a:blip xmlns:r="http://schemas.openxmlformats.org/officeDocument/2006/relationships" r:embed="rId13"/>
        <a:stretch>
          <a:fillRect/>
        </a:stretch>
      </xdr:blipFill>
      <xdr:spPr>
        <a:xfrm>
          <a:off x="3724275" y="10048875"/>
          <a:ext cx="5209524" cy="3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142875</xdr:rowOff>
    </xdr:from>
    <xdr:to>
      <xdr:col>7</xdr:col>
      <xdr:colOff>4697</xdr:colOff>
      <xdr:row>74</xdr:row>
      <xdr:rowOff>148862</xdr:rowOff>
    </xdr:to>
    <xdr:pic>
      <xdr:nvPicPr>
        <xdr:cNvPr id="2" name="图片 1">
          <a:extLst>
            <a:ext uri="{FF2B5EF4-FFF2-40B4-BE49-F238E27FC236}">
              <a16:creationId xmlns:a16="http://schemas.microsoft.com/office/drawing/2014/main" xmlns=""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xmlns="" id="{35289C09-837F-4C3C-A52D-F674A9CBA7FA}"/>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38100</xdr:rowOff>
    </xdr:from>
    <xdr:to>
      <xdr:col>3</xdr:col>
      <xdr:colOff>1123950</xdr:colOff>
      <xdr:row>152</xdr:row>
      <xdr:rowOff>47464</xdr:rowOff>
    </xdr:to>
    <xdr:grpSp>
      <xdr:nvGrpSpPr>
        <xdr:cNvPr id="10" name="组合 9">
          <a:extLst>
            <a:ext uri="{FF2B5EF4-FFF2-40B4-BE49-F238E27FC236}">
              <a16:creationId xmlns:a16="http://schemas.microsoft.com/office/drawing/2014/main" xmlns="" id="{C46A4674-54FE-7268-7354-6EF07EB40019}"/>
            </a:ext>
          </a:extLst>
        </xdr:cNvPr>
        <xdr:cNvGrpSpPr/>
      </xdr:nvGrpSpPr>
      <xdr:grpSpPr>
        <a:xfrm>
          <a:off x="0" y="11620500"/>
          <a:ext cx="5695950" cy="11591764"/>
          <a:chOff x="0" y="11582400"/>
          <a:chExt cx="7542857" cy="12601414"/>
        </a:xfrm>
      </xdr:grpSpPr>
      <xdr:pic>
        <xdr:nvPicPr>
          <xdr:cNvPr id="4" name="图片 3">
            <a:extLst>
              <a:ext uri="{FF2B5EF4-FFF2-40B4-BE49-F238E27FC236}">
                <a16:creationId xmlns:a16="http://schemas.microsoft.com/office/drawing/2014/main" xmlns=""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xmlns=""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xmlns=""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xmlns=""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xmlns=""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xmlns=""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77</xdr:row>
      <xdr:rowOff>147833</xdr:rowOff>
    </xdr:from>
    <xdr:to>
      <xdr:col>10</xdr:col>
      <xdr:colOff>1036718</xdr:colOff>
      <xdr:row>109</xdr:row>
      <xdr:rowOff>104059</xdr:rowOff>
    </xdr:to>
    <xdr:pic>
      <xdr:nvPicPr>
        <xdr:cNvPr id="11" name="图片 10">
          <a:extLst>
            <a:ext uri="{FF2B5EF4-FFF2-40B4-BE49-F238E27FC236}">
              <a16:creationId xmlns:a16="http://schemas.microsoft.com/office/drawing/2014/main" xmlns=""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110</xdr:row>
      <xdr:rowOff>94830</xdr:rowOff>
    </xdr:from>
    <xdr:to>
      <xdr:col>10</xdr:col>
      <xdr:colOff>684286</xdr:colOff>
      <xdr:row>114</xdr:row>
      <xdr:rowOff>152297</xdr:rowOff>
    </xdr:to>
    <xdr:pic>
      <xdr:nvPicPr>
        <xdr:cNvPr id="12" name="图片 11">
          <a:extLst>
            <a:ext uri="{FF2B5EF4-FFF2-40B4-BE49-F238E27FC236}">
              <a16:creationId xmlns:a16="http://schemas.microsoft.com/office/drawing/2014/main" xmlns=""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115</xdr:row>
      <xdr:rowOff>126810</xdr:rowOff>
    </xdr:from>
    <xdr:to>
      <xdr:col>10</xdr:col>
      <xdr:colOff>798906</xdr:colOff>
      <xdr:row>120</xdr:row>
      <xdr:rowOff>114299</xdr:rowOff>
    </xdr:to>
    <xdr:pic>
      <xdr:nvPicPr>
        <xdr:cNvPr id="13" name="图片 12">
          <a:extLst>
            <a:ext uri="{FF2B5EF4-FFF2-40B4-BE49-F238E27FC236}">
              <a16:creationId xmlns:a16="http://schemas.microsoft.com/office/drawing/2014/main" xmlns=""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121</xdr:row>
      <xdr:rowOff>67035</xdr:rowOff>
    </xdr:from>
    <xdr:to>
      <xdr:col>10</xdr:col>
      <xdr:colOff>876301</xdr:colOff>
      <xdr:row>126</xdr:row>
      <xdr:rowOff>66075</xdr:rowOff>
    </xdr:to>
    <xdr:pic>
      <xdr:nvPicPr>
        <xdr:cNvPr id="14" name="图片 13">
          <a:extLst>
            <a:ext uri="{FF2B5EF4-FFF2-40B4-BE49-F238E27FC236}">
              <a16:creationId xmlns:a16="http://schemas.microsoft.com/office/drawing/2014/main" xmlns=""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twoCellAnchor>
    <xdr:from>
      <xdr:col>3</xdr:col>
      <xdr:colOff>1485901</xdr:colOff>
      <xdr:row>112</xdr:row>
      <xdr:rowOff>132930</xdr:rowOff>
    </xdr:from>
    <xdr:to>
      <xdr:col>10</xdr:col>
      <xdr:colOff>609601</xdr:colOff>
      <xdr:row>115</xdr:row>
      <xdr:rowOff>18630</xdr:rowOff>
    </xdr:to>
    <xdr:sp macro="" textlink="">
      <xdr:nvSpPr>
        <xdr:cNvPr id="15" name="流程图: 过程 14">
          <a:extLst>
            <a:ext uri="{FF2B5EF4-FFF2-40B4-BE49-F238E27FC236}">
              <a16:creationId xmlns:a16="http://schemas.microsoft.com/office/drawing/2014/main" xmlns="" id="{1B33FDEC-4217-4B0C-AA45-3B8F3FE6EBBB}"/>
            </a:ext>
          </a:extLst>
        </xdr:cNvPr>
        <xdr:cNvSpPr/>
      </xdr:nvSpPr>
      <xdr:spPr>
        <a:xfrm>
          <a:off x="6057901" y="17201730"/>
          <a:ext cx="9791700"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7</xdr:col>
      <xdr:colOff>20136</xdr:colOff>
      <xdr:row>68</xdr:row>
      <xdr:rowOff>10083</xdr:rowOff>
    </xdr:to>
    <xdr:pic>
      <xdr:nvPicPr>
        <xdr:cNvPr id="2" name="图片 1">
          <a:extLst>
            <a:ext uri="{FF2B5EF4-FFF2-40B4-BE49-F238E27FC236}">
              <a16:creationId xmlns:a16="http://schemas.microsoft.com/office/drawing/2014/main" xmlns=""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2</xdr:row>
      <xdr:rowOff>142875</xdr:rowOff>
    </xdr:from>
    <xdr:to>
      <xdr:col>7</xdr:col>
      <xdr:colOff>1514475</xdr:colOff>
      <xdr:row>4</xdr:row>
      <xdr:rowOff>9525</xdr:rowOff>
    </xdr:to>
    <xdr:sp macro="" textlink="">
      <xdr:nvSpPr>
        <xdr:cNvPr id="3" name="流程图: 过程 2">
          <a:extLst>
            <a:ext uri="{FF2B5EF4-FFF2-40B4-BE49-F238E27FC236}">
              <a16:creationId xmlns:a16="http://schemas.microsoft.com/office/drawing/2014/main" xmlns="" id="{2324F5C8-B4DB-4D05-A154-7A0076A60792}"/>
            </a:ext>
          </a:extLst>
        </xdr:cNvPr>
        <xdr:cNvSpPr/>
      </xdr:nvSpPr>
      <xdr:spPr>
        <a:xfrm>
          <a:off x="0" y="447675"/>
          <a:ext cx="12182475" cy="1714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68</xdr:row>
      <xdr:rowOff>57150</xdr:rowOff>
    </xdr:from>
    <xdr:to>
      <xdr:col>3</xdr:col>
      <xdr:colOff>1123950</xdr:colOff>
      <xdr:row>180</xdr:row>
      <xdr:rowOff>133030</xdr:rowOff>
    </xdr:to>
    <xdr:grpSp>
      <xdr:nvGrpSpPr>
        <xdr:cNvPr id="10" name="组合 9">
          <a:extLst>
            <a:ext uri="{FF2B5EF4-FFF2-40B4-BE49-F238E27FC236}">
              <a16:creationId xmlns:a16="http://schemas.microsoft.com/office/drawing/2014/main" xmlns="" id="{CEEF3A51-82BB-0294-F7EE-594259265B13}"/>
            </a:ext>
          </a:extLst>
        </xdr:cNvPr>
        <xdr:cNvGrpSpPr/>
      </xdr:nvGrpSpPr>
      <xdr:grpSpPr>
        <a:xfrm>
          <a:off x="0" y="10420350"/>
          <a:ext cx="5695950" cy="17144680"/>
          <a:chOff x="0" y="10515600"/>
          <a:chExt cx="7723809" cy="18430555"/>
        </a:xfrm>
      </xdr:grpSpPr>
      <xdr:pic>
        <xdr:nvPicPr>
          <xdr:cNvPr id="4" name="图片 3">
            <a:extLst>
              <a:ext uri="{FF2B5EF4-FFF2-40B4-BE49-F238E27FC236}">
                <a16:creationId xmlns:a16="http://schemas.microsoft.com/office/drawing/2014/main" xmlns=""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xmlns=""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xmlns=""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xmlns=""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xmlns=""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xmlns=""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70</xdr:row>
      <xdr:rowOff>131227</xdr:rowOff>
    </xdr:from>
    <xdr:to>
      <xdr:col>10</xdr:col>
      <xdr:colOff>779555</xdr:colOff>
      <xdr:row>100</xdr:row>
      <xdr:rowOff>46949</xdr:rowOff>
    </xdr:to>
    <xdr:pic>
      <xdr:nvPicPr>
        <xdr:cNvPr id="12" name="图片 11">
          <a:extLst>
            <a:ext uri="{FF2B5EF4-FFF2-40B4-BE49-F238E27FC236}">
              <a16:creationId xmlns:a16="http://schemas.microsoft.com/office/drawing/2014/main" xmlns=""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100</xdr:row>
      <xdr:rowOff>150797</xdr:rowOff>
    </xdr:from>
    <xdr:to>
      <xdr:col>10</xdr:col>
      <xdr:colOff>1217665</xdr:colOff>
      <xdr:row>118</xdr:row>
      <xdr:rowOff>114173</xdr:rowOff>
    </xdr:to>
    <xdr:grpSp>
      <xdr:nvGrpSpPr>
        <xdr:cNvPr id="16" name="组合 15">
          <a:extLst>
            <a:ext uri="{FF2B5EF4-FFF2-40B4-BE49-F238E27FC236}">
              <a16:creationId xmlns:a16="http://schemas.microsoft.com/office/drawing/2014/main" xmlns="" id="{CDBB2C00-BF3B-5E33-EF73-C3617FE4F1BF}"/>
            </a:ext>
          </a:extLst>
        </xdr:cNvPr>
        <xdr:cNvGrpSpPr/>
      </xdr:nvGrpSpPr>
      <xdr:grpSpPr>
        <a:xfrm>
          <a:off x="5826456" y="15390797"/>
          <a:ext cx="10631209" cy="2706576"/>
          <a:chOff x="5826456" y="15390797"/>
          <a:chExt cx="10631209" cy="2706576"/>
        </a:xfrm>
      </xdr:grpSpPr>
      <xdr:pic>
        <xdr:nvPicPr>
          <xdr:cNvPr id="13" name="图片 12">
            <a:extLst>
              <a:ext uri="{FF2B5EF4-FFF2-40B4-BE49-F238E27FC236}">
                <a16:creationId xmlns:a16="http://schemas.microsoft.com/office/drawing/2014/main" xmlns=""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xmlns=""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xmlns=""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twoCellAnchor>
    <xdr:from>
      <xdr:col>3</xdr:col>
      <xdr:colOff>1390650</xdr:colOff>
      <xdr:row>103</xdr:row>
      <xdr:rowOff>104775</xdr:rowOff>
    </xdr:from>
    <xdr:to>
      <xdr:col>10</xdr:col>
      <xdr:colOff>1190625</xdr:colOff>
      <xdr:row>105</xdr:row>
      <xdr:rowOff>142875</xdr:rowOff>
    </xdr:to>
    <xdr:sp macro="" textlink="">
      <xdr:nvSpPr>
        <xdr:cNvPr id="17" name="流程图: 过程 16">
          <a:extLst>
            <a:ext uri="{FF2B5EF4-FFF2-40B4-BE49-F238E27FC236}">
              <a16:creationId xmlns:a16="http://schemas.microsoft.com/office/drawing/2014/main" xmlns="" id="{B9BFC5E0-F473-629A-DF38-4B056BEEF41D}"/>
            </a:ext>
          </a:extLst>
        </xdr:cNvPr>
        <xdr:cNvSpPr/>
      </xdr:nvSpPr>
      <xdr:spPr>
        <a:xfrm>
          <a:off x="5962650" y="15801975"/>
          <a:ext cx="10467975"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47625</xdr:rowOff>
    </xdr:from>
    <xdr:to>
      <xdr:col>14</xdr:col>
      <xdr:colOff>154191</xdr:colOff>
      <xdr:row>43</xdr:row>
      <xdr:rowOff>104013</xdr:rowOff>
    </xdr:to>
    <xdr:pic>
      <xdr:nvPicPr>
        <xdr:cNvPr id="2" name="图片 1">
          <a:extLst>
            <a:ext uri="{FF2B5EF4-FFF2-40B4-BE49-F238E27FC236}">
              <a16:creationId xmlns:a16="http://schemas.microsoft.com/office/drawing/2014/main" xmlns="" id="{01B883BB-CDDE-41AE-B996-B8336B190978}"/>
            </a:ext>
          </a:extLst>
        </xdr:cNvPr>
        <xdr:cNvPicPr>
          <a:picLocks noChangeAspect="1"/>
        </xdr:cNvPicPr>
      </xdr:nvPicPr>
      <xdr:blipFill>
        <a:blip xmlns:r="http://schemas.openxmlformats.org/officeDocument/2006/relationships" r:embed="rId1"/>
        <a:stretch>
          <a:fillRect/>
        </a:stretch>
      </xdr:blipFill>
      <xdr:spPr>
        <a:xfrm>
          <a:off x="0" y="1571625"/>
          <a:ext cx="10298316" cy="5085588"/>
        </a:xfrm>
        <a:prstGeom prst="rect">
          <a:avLst/>
        </a:prstGeom>
      </xdr:spPr>
    </xdr:pic>
    <xdr:clientData/>
  </xdr:twoCellAnchor>
  <xdr:twoCellAnchor editAs="oneCell">
    <xdr:from>
      <xdr:col>0</xdr:col>
      <xdr:colOff>0</xdr:colOff>
      <xdr:row>44</xdr:row>
      <xdr:rowOff>76200</xdr:rowOff>
    </xdr:from>
    <xdr:to>
      <xdr:col>14</xdr:col>
      <xdr:colOff>443311</xdr:colOff>
      <xdr:row>74</xdr:row>
      <xdr:rowOff>107793</xdr:rowOff>
    </xdr:to>
    <xdr:pic>
      <xdr:nvPicPr>
        <xdr:cNvPr id="3" name="图片 2">
          <a:extLst>
            <a:ext uri="{FF2B5EF4-FFF2-40B4-BE49-F238E27FC236}">
              <a16:creationId xmlns:a16="http://schemas.microsoft.com/office/drawing/2014/main" xmlns=""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142875</xdr:colOff>
      <xdr:row>71</xdr:row>
      <xdr:rowOff>0</xdr:rowOff>
    </xdr:from>
    <xdr:to>
      <xdr:col>15</xdr:col>
      <xdr:colOff>276225</xdr:colOff>
      <xdr:row>72</xdr:row>
      <xdr:rowOff>123825</xdr:rowOff>
    </xdr:to>
    <xdr:sp macro="" textlink="">
      <xdr:nvSpPr>
        <xdr:cNvPr id="5" name="流程图: 过程 4">
          <a:extLst>
            <a:ext uri="{FF2B5EF4-FFF2-40B4-BE49-F238E27FC236}">
              <a16:creationId xmlns:a16="http://schemas.microsoft.com/office/drawing/2014/main" xmlns="" id="{F0103B34-0DCA-9587-1E12-48FC88FE46A7}"/>
            </a:ext>
          </a:extLst>
        </xdr:cNvPr>
        <xdr:cNvSpPr/>
      </xdr:nvSpPr>
      <xdr:spPr>
        <a:xfrm>
          <a:off x="142875" y="10820400"/>
          <a:ext cx="10420350" cy="27622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xmlns="" id="{415B1C72-9198-5E3E-C9A2-4454D89DE185}"/>
            </a:ext>
          </a:extLst>
        </xdr:cNvPr>
        <xdr:cNvGrpSpPr/>
      </xdr:nvGrpSpPr>
      <xdr:grpSpPr>
        <a:xfrm>
          <a:off x="0" y="11639549"/>
          <a:ext cx="7134225" cy="11153579"/>
          <a:chOff x="0" y="11887200"/>
          <a:chExt cx="7495238" cy="11334554"/>
        </a:xfrm>
      </xdr:grpSpPr>
      <xdr:pic>
        <xdr:nvPicPr>
          <xdr:cNvPr id="6" name="图片 5">
            <a:extLst>
              <a:ext uri="{FF2B5EF4-FFF2-40B4-BE49-F238E27FC236}">
                <a16:creationId xmlns:a16="http://schemas.microsoft.com/office/drawing/2014/main" xmlns=""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xmlns=""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xmlns=""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xmlns=""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xmlns=""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xmlns=""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75</xdr:row>
      <xdr:rowOff>123825</xdr:rowOff>
    </xdr:from>
    <xdr:to>
      <xdr:col>7</xdr:col>
      <xdr:colOff>51082</xdr:colOff>
      <xdr:row>105</xdr:row>
      <xdr:rowOff>110841</xdr:rowOff>
    </xdr:to>
    <xdr:pic>
      <xdr:nvPicPr>
        <xdr:cNvPr id="2" name="图片 1">
          <a:extLst>
            <a:ext uri="{FF2B5EF4-FFF2-40B4-BE49-F238E27FC236}">
              <a16:creationId xmlns:a16="http://schemas.microsoft.com/office/drawing/2014/main" xmlns=""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105</xdr:row>
      <xdr:rowOff>170827</xdr:rowOff>
    </xdr:from>
    <xdr:to>
      <xdr:col>7</xdr:col>
      <xdr:colOff>67234</xdr:colOff>
      <xdr:row>151</xdr:row>
      <xdr:rowOff>28597</xdr:rowOff>
    </xdr:to>
    <xdr:grpSp>
      <xdr:nvGrpSpPr>
        <xdr:cNvPr id="7" name="组合 6">
          <a:extLst>
            <a:ext uri="{FF2B5EF4-FFF2-40B4-BE49-F238E27FC236}">
              <a16:creationId xmlns:a16="http://schemas.microsoft.com/office/drawing/2014/main" xmlns="" id="{5C8A106B-4505-9D20-0A00-9EFFEA0830A7}"/>
            </a:ext>
          </a:extLst>
        </xdr:cNvPr>
        <xdr:cNvGrpSpPr/>
      </xdr:nvGrpSpPr>
      <xdr:grpSpPr>
        <a:xfrm>
          <a:off x="0" y="18996709"/>
          <a:ext cx="10735234" cy="8105300"/>
          <a:chOff x="0" y="18996709"/>
          <a:chExt cx="10735234" cy="8105300"/>
        </a:xfrm>
      </xdr:grpSpPr>
      <xdr:pic>
        <xdr:nvPicPr>
          <xdr:cNvPr id="3" name="图片 2">
            <a:extLst>
              <a:ext uri="{FF2B5EF4-FFF2-40B4-BE49-F238E27FC236}">
                <a16:creationId xmlns:a16="http://schemas.microsoft.com/office/drawing/2014/main" xmlns=""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xmlns=""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xmlns=""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110</xdr:row>
      <xdr:rowOff>100852</xdr:rowOff>
    </xdr:from>
    <xdr:to>
      <xdr:col>15</xdr:col>
      <xdr:colOff>618165</xdr:colOff>
      <xdr:row>142</xdr:row>
      <xdr:rowOff>163440</xdr:rowOff>
    </xdr:to>
    <xdr:pic>
      <xdr:nvPicPr>
        <xdr:cNvPr id="6" name="图片 5">
          <a:extLst>
            <a:ext uri="{FF2B5EF4-FFF2-40B4-BE49-F238E27FC236}">
              <a16:creationId xmlns:a16="http://schemas.microsoft.com/office/drawing/2014/main" xmlns=""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twoCellAnchor>
    <xdr:from>
      <xdr:col>0</xdr:col>
      <xdr:colOff>0</xdr:colOff>
      <xdr:row>127</xdr:row>
      <xdr:rowOff>36356</xdr:rowOff>
    </xdr:from>
    <xdr:to>
      <xdr:col>6</xdr:col>
      <xdr:colOff>1323975</xdr:colOff>
      <xdr:row>129</xdr:row>
      <xdr:rowOff>20668</xdr:rowOff>
    </xdr:to>
    <xdr:sp macro="" textlink="">
      <xdr:nvSpPr>
        <xdr:cNvPr id="8" name="流程图: 过程 7">
          <a:extLst>
            <a:ext uri="{FF2B5EF4-FFF2-40B4-BE49-F238E27FC236}">
              <a16:creationId xmlns:a16="http://schemas.microsoft.com/office/drawing/2014/main" xmlns="" id="{2433629E-DF35-462E-9F61-6353FF842748}"/>
            </a:ext>
          </a:extLst>
        </xdr:cNvPr>
        <xdr:cNvSpPr/>
      </xdr:nvSpPr>
      <xdr:spPr>
        <a:xfrm>
          <a:off x="0" y="22806709"/>
          <a:ext cx="10467975" cy="34290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v>0</v>
          </cell>
        </row>
        <row r="19">
          <cell r="C19" t="str">
            <v>住宅-小高层、洋房</v>
          </cell>
        </row>
        <row r="20">
          <cell r="C20" t="str">
            <v>地下仓储</v>
          </cell>
        </row>
        <row r="21">
          <cell r="C21">
            <v>0</v>
          </cell>
        </row>
        <row r="22">
          <cell r="C22">
            <v>0</v>
          </cell>
        </row>
        <row r="23">
          <cell r="C23">
            <v>0</v>
          </cell>
        </row>
        <row r="24">
          <cell r="C24">
            <v>0</v>
          </cell>
        </row>
        <row r="25">
          <cell r="C25">
            <v>0</v>
          </cell>
        </row>
        <row r="26">
          <cell r="C26">
            <v>0</v>
          </cell>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住宅</v>
          </cell>
          <cell r="D74" t="str">
            <v>综合</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t="str">
            <v>八级</v>
          </cell>
          <cell r="D107" t="str">
            <v>九级</v>
          </cell>
          <cell r="E107" t="str">
            <v>十级</v>
          </cell>
          <cell r="F107">
            <v>0</v>
          </cell>
          <cell r="G107">
            <v>0</v>
          </cell>
          <cell r="H107">
            <v>0</v>
          </cell>
          <cell r="I107">
            <v>0</v>
          </cell>
          <cell r="J107">
            <v>0</v>
          </cell>
          <cell r="K107">
            <v>0</v>
          </cell>
          <cell r="L107">
            <v>0</v>
          </cell>
          <cell r="M107">
            <v>0</v>
          </cell>
        </row>
        <row r="118">
          <cell r="B118" t="str">
            <v>宗地形状</v>
          </cell>
          <cell r="C118" t="str">
            <v>较规则</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小高层、洋房</v>
          </cell>
          <cell r="D100" t="str">
            <v>高层</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t="str">
            <v>中高档</v>
          </cell>
          <cell r="E107" t="str">
            <v>中档</v>
          </cell>
          <cell r="F107" t="str">
            <v>低档</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简单装修</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v>0</v>
          </cell>
          <cell r="E116">
            <v>0</v>
          </cell>
          <cell r="F116">
            <v>0</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7"/>
      <sheetData sheetId="38"/>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地下仓储</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t="str">
            <v>普通装修</v>
          </cell>
          <cell r="E77" t="str">
            <v>简单装修</v>
          </cell>
          <cell r="F77" t="str">
            <v>毛坯</v>
          </cell>
          <cell r="G77">
            <v>0</v>
          </cell>
          <cell r="H77">
            <v>0</v>
          </cell>
          <cell r="I77">
            <v>0</v>
          </cell>
          <cell r="J77">
            <v>0</v>
          </cell>
          <cell r="K77">
            <v>0</v>
          </cell>
          <cell r="L77">
            <v>0</v>
          </cell>
          <cell r="M77">
            <v>0</v>
          </cell>
        </row>
        <row r="82">
          <cell r="B82" t="str">
            <v>物业等级</v>
          </cell>
          <cell r="C82" t="str">
            <v>专业</v>
          </cell>
          <cell r="D82" t="str">
            <v>普通</v>
          </cell>
          <cell r="E82">
            <v>0</v>
          </cell>
          <cell r="F82">
            <v>0</v>
          </cell>
          <cell r="G82">
            <v>0</v>
          </cell>
          <cell r="H82">
            <v>0</v>
          </cell>
          <cell r="I82">
            <v>0</v>
          </cell>
          <cell r="J82">
            <v>0</v>
          </cell>
          <cell r="K82">
            <v>0</v>
          </cell>
          <cell r="L82">
            <v>0</v>
          </cell>
          <cell r="M82">
            <v>0</v>
          </cell>
        </row>
        <row r="84">
          <cell r="B84" t="str">
            <v>有无电梯</v>
          </cell>
          <cell r="C84" t="str">
            <v>有</v>
          </cell>
          <cell r="D84" t="str">
            <v>无</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sheetData sheetId="41"/>
      <sheetData sheetId="4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地下车库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精装修</v>
          </cell>
          <cell r="D83">
            <v>0</v>
          </cell>
          <cell r="E83">
            <v>0</v>
          </cell>
          <cell r="F83">
            <v>0</v>
          </cell>
          <cell r="G83">
            <v>0</v>
          </cell>
          <cell r="H83">
            <v>0</v>
          </cell>
          <cell r="I83">
            <v>0</v>
          </cell>
          <cell r="J83">
            <v>0</v>
          </cell>
          <cell r="K83">
            <v>0</v>
          </cell>
          <cell r="L83">
            <v>0</v>
          </cell>
          <cell r="M83">
            <v>0</v>
          </cell>
        </row>
        <row r="88">
          <cell r="B88" t="str">
            <v>物业等级</v>
          </cell>
          <cell r="C88" t="str">
            <v>专业</v>
          </cell>
          <cell r="D88" t="str">
            <v>普通</v>
          </cell>
          <cell r="E88">
            <v>0</v>
          </cell>
          <cell r="F88">
            <v>0</v>
          </cell>
          <cell r="G88">
            <v>0</v>
          </cell>
          <cell r="H88">
            <v>0</v>
          </cell>
          <cell r="I88">
            <v>0</v>
          </cell>
          <cell r="J88">
            <v>0</v>
          </cell>
          <cell r="K88">
            <v>0</v>
          </cell>
          <cell r="L88">
            <v>0</v>
          </cell>
          <cell r="M88">
            <v>0</v>
          </cell>
        </row>
        <row r="93">
          <cell r="B93" t="str">
            <v>车位类型</v>
          </cell>
          <cell r="C93" t="str">
            <v>平面车位</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4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4">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54555</v>
      </c>
    </row>
    <row r="21" spans="1:2">
      <c r="A21" s="1113" t="s">
        <v>537</v>
      </c>
      <c r="B21" s="1114">
        <f ca="1">'预评函-2'!D7</f>
        <v>14424</v>
      </c>
    </row>
    <row r="22" spans="1:2">
      <c r="A22" s="1113" t="s">
        <v>538</v>
      </c>
      <c r="B22" s="1114" t="str">
        <f ca="1">'预评函-2'!D6</f>
        <v>伍亿肆仟伍佰伍拾伍万元整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54555</v>
      </c>
    </row>
    <row r="31" spans="1:2">
      <c r="A31" s="1113" t="s">
        <v>576</v>
      </c>
      <c r="B31" s="1114">
        <f ca="1">'预评函-2'!D15</f>
        <v>14424</v>
      </c>
    </row>
    <row r="32" spans="1:2">
      <c r="A32" s="1113" t="s">
        <v>543</v>
      </c>
      <c r="B32" s="1114" t="str">
        <f ca="1">'预评函-2'!D14</f>
        <v>伍亿肆仟伍佰伍拾伍万元整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34697</v>
      </c>
    </row>
    <row r="48" spans="1:2">
      <c r="A48" s="1113" t="s">
        <v>549</v>
      </c>
      <c r="B48" s="1114">
        <f ca="1">'预评函-3'!E4</f>
        <v>9174</v>
      </c>
    </row>
    <row r="49" spans="1:2">
      <c r="A49" s="1113" t="s">
        <v>550</v>
      </c>
      <c r="B49" s="1114" t="str">
        <f ca="1">'预评函-3'!D5</f>
        <v>叁亿肆仟陆佰玖拾柒万元整</v>
      </c>
    </row>
    <row r="50" spans="1:2">
      <c r="A50" s="1113" t="s">
        <v>574</v>
      </c>
      <c r="B50" s="1114" t="str">
        <f>'预评函-3'!F2</f>
        <v>在建建筑物价值</v>
      </c>
    </row>
    <row r="51" spans="1:2">
      <c r="A51" s="1113" t="s">
        <v>551</v>
      </c>
      <c r="B51" s="1114">
        <f ca="1">'预评函-3'!F4</f>
        <v>19858</v>
      </c>
    </row>
    <row r="52" spans="1:2">
      <c r="A52" s="1113" t="s">
        <v>552</v>
      </c>
      <c r="B52" s="1114">
        <f ca="1">'预评函-3'!G4</f>
        <v>5250</v>
      </c>
    </row>
    <row r="53" spans="1:2">
      <c r="A53" s="1113" t="s">
        <v>580</v>
      </c>
      <c r="B53" s="1114" t="str">
        <f ca="1">'预评函-3'!F5</f>
        <v>壹亿玖仟捌佰伍拾捌万元整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07"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7"/>
      <c r="B54" s="1441" t="s">
        <v>385</v>
      </c>
      <c r="C54" s="1439" t="s">
        <v>583</v>
      </c>
    </row>
    <row r="55" spans="1:4">
      <c r="A55" s="3407"/>
      <c r="B55" s="1441" t="s">
        <v>386</v>
      </c>
      <c r="C55" s="1439" t="s">
        <v>584</v>
      </c>
    </row>
    <row r="56" spans="1:4">
      <c r="A56" s="3407"/>
      <c r="B56" s="1441" t="s">
        <v>387</v>
      </c>
      <c r="C56" s="1439" t="s">
        <v>588</v>
      </c>
    </row>
    <row r="57" spans="1:4">
      <c r="A57" s="3407"/>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08" t="s">
        <v>2570</v>
      </c>
      <c r="J2" s="3408"/>
      <c r="K2" s="3408"/>
      <c r="L2" s="3408"/>
      <c r="M2" s="3408"/>
      <c r="N2" s="3408"/>
      <c r="O2" s="3408"/>
      <c r="P2" s="3408"/>
      <c r="Q2" s="3408"/>
      <c r="R2" s="3408"/>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U40" sqref="U40"/>
    </sheetView>
  </sheetViews>
  <sheetFormatPr defaultRowHeight="13.5"/>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9" customWidth="1"/>
    <col min="2" max="2" width="5.125" style="3229" customWidth="1"/>
    <col min="3" max="3" width="5.75" style="3229" customWidth="1"/>
    <col min="4" max="4" width="10.625" style="3269" customWidth="1"/>
    <col min="5" max="5" width="11.75" style="3269" customWidth="1"/>
    <col min="6" max="6" width="10.875" style="3269" hidden="1" customWidth="1"/>
    <col min="7" max="7" width="17.5" style="3269" customWidth="1"/>
    <col min="8" max="8" width="20" style="3229" customWidth="1"/>
    <col min="9" max="9" width="18.5" style="3229" customWidth="1"/>
    <col min="10" max="10" width="18.625" style="3229" customWidth="1"/>
    <col min="11" max="256" width="9" style="3229"/>
    <col min="257" max="257" width="5.625" style="3229" customWidth="1"/>
    <col min="258" max="258" width="5.125" style="3229" customWidth="1"/>
    <col min="259" max="259" width="5.75" style="3229" customWidth="1"/>
    <col min="260" max="260" width="10.625" style="3229" customWidth="1"/>
    <col min="261" max="261" width="11.75" style="3229" customWidth="1"/>
    <col min="262" max="262" width="0" style="3229" hidden="1" customWidth="1"/>
    <col min="263" max="263" width="17.5" style="3229" customWidth="1"/>
    <col min="264" max="264" width="20" style="3229" customWidth="1"/>
    <col min="265" max="265" width="18.5" style="3229" customWidth="1"/>
    <col min="266" max="266" width="18.625" style="3229" customWidth="1"/>
    <col min="267" max="512" width="9" style="3229"/>
    <col min="513" max="513" width="5.625" style="3229" customWidth="1"/>
    <col min="514" max="514" width="5.125" style="3229" customWidth="1"/>
    <col min="515" max="515" width="5.75" style="3229" customWidth="1"/>
    <col min="516" max="516" width="10.625" style="3229" customWidth="1"/>
    <col min="517" max="517" width="11.75" style="3229" customWidth="1"/>
    <col min="518" max="518" width="0" style="3229" hidden="1" customWidth="1"/>
    <col min="519" max="519" width="17.5" style="3229" customWidth="1"/>
    <col min="520" max="520" width="20" style="3229" customWidth="1"/>
    <col min="521" max="521" width="18.5" style="3229" customWidth="1"/>
    <col min="522" max="522" width="18.625" style="3229" customWidth="1"/>
    <col min="523" max="768" width="9" style="3229"/>
    <col min="769" max="769" width="5.625" style="3229" customWidth="1"/>
    <col min="770" max="770" width="5.125" style="3229" customWidth="1"/>
    <col min="771" max="771" width="5.75" style="3229" customWidth="1"/>
    <col min="772" max="772" width="10.625" style="3229" customWidth="1"/>
    <col min="773" max="773" width="11.75" style="3229" customWidth="1"/>
    <col min="774" max="774" width="0" style="3229" hidden="1" customWidth="1"/>
    <col min="775" max="775" width="17.5" style="3229" customWidth="1"/>
    <col min="776" max="776" width="20" style="3229" customWidth="1"/>
    <col min="777" max="777" width="18.5" style="3229" customWidth="1"/>
    <col min="778" max="778" width="18.625" style="3229" customWidth="1"/>
    <col min="779" max="1024" width="9" style="3229"/>
    <col min="1025" max="1025" width="5.625" style="3229" customWidth="1"/>
    <col min="1026" max="1026" width="5.125" style="3229" customWidth="1"/>
    <col min="1027" max="1027" width="5.75" style="3229" customWidth="1"/>
    <col min="1028" max="1028" width="10.625" style="3229" customWidth="1"/>
    <col min="1029" max="1029" width="11.75" style="3229" customWidth="1"/>
    <col min="1030" max="1030" width="0" style="3229" hidden="1" customWidth="1"/>
    <col min="1031" max="1031" width="17.5" style="3229" customWidth="1"/>
    <col min="1032" max="1032" width="20" style="3229" customWidth="1"/>
    <col min="1033" max="1033" width="18.5" style="3229" customWidth="1"/>
    <col min="1034" max="1034" width="18.625" style="3229" customWidth="1"/>
    <col min="1035" max="1280" width="9" style="3229"/>
    <col min="1281" max="1281" width="5.625" style="3229" customWidth="1"/>
    <col min="1282" max="1282" width="5.125" style="3229" customWidth="1"/>
    <col min="1283" max="1283" width="5.75" style="3229" customWidth="1"/>
    <col min="1284" max="1284" width="10.625" style="3229" customWidth="1"/>
    <col min="1285" max="1285" width="11.75" style="3229" customWidth="1"/>
    <col min="1286" max="1286" width="0" style="3229" hidden="1" customWidth="1"/>
    <col min="1287" max="1287" width="17.5" style="3229" customWidth="1"/>
    <col min="1288" max="1288" width="20" style="3229" customWidth="1"/>
    <col min="1289" max="1289" width="18.5" style="3229" customWidth="1"/>
    <col min="1290" max="1290" width="18.625" style="3229" customWidth="1"/>
    <col min="1291" max="1536" width="9" style="3229"/>
    <col min="1537" max="1537" width="5.625" style="3229" customWidth="1"/>
    <col min="1538" max="1538" width="5.125" style="3229" customWidth="1"/>
    <col min="1539" max="1539" width="5.75" style="3229" customWidth="1"/>
    <col min="1540" max="1540" width="10.625" style="3229" customWidth="1"/>
    <col min="1541" max="1541" width="11.75" style="3229" customWidth="1"/>
    <col min="1542" max="1542" width="0" style="3229" hidden="1" customWidth="1"/>
    <col min="1543" max="1543" width="17.5" style="3229" customWidth="1"/>
    <col min="1544" max="1544" width="20" style="3229" customWidth="1"/>
    <col min="1545" max="1545" width="18.5" style="3229" customWidth="1"/>
    <col min="1546" max="1546" width="18.625" style="3229" customWidth="1"/>
    <col min="1547" max="1792" width="9" style="3229"/>
    <col min="1793" max="1793" width="5.625" style="3229" customWidth="1"/>
    <col min="1794" max="1794" width="5.125" style="3229" customWidth="1"/>
    <col min="1795" max="1795" width="5.75" style="3229" customWidth="1"/>
    <col min="1796" max="1796" width="10.625" style="3229" customWidth="1"/>
    <col min="1797" max="1797" width="11.75" style="3229" customWidth="1"/>
    <col min="1798" max="1798" width="0" style="3229" hidden="1" customWidth="1"/>
    <col min="1799" max="1799" width="17.5" style="3229" customWidth="1"/>
    <col min="1800" max="1800" width="20" style="3229" customWidth="1"/>
    <col min="1801" max="1801" width="18.5" style="3229" customWidth="1"/>
    <col min="1802" max="1802" width="18.625" style="3229" customWidth="1"/>
    <col min="1803" max="2048" width="9" style="3229"/>
    <col min="2049" max="2049" width="5.625" style="3229" customWidth="1"/>
    <col min="2050" max="2050" width="5.125" style="3229" customWidth="1"/>
    <col min="2051" max="2051" width="5.75" style="3229" customWidth="1"/>
    <col min="2052" max="2052" width="10.625" style="3229" customWidth="1"/>
    <col min="2053" max="2053" width="11.75" style="3229" customWidth="1"/>
    <col min="2054" max="2054" width="0" style="3229" hidden="1" customWidth="1"/>
    <col min="2055" max="2055" width="17.5" style="3229" customWidth="1"/>
    <col min="2056" max="2056" width="20" style="3229" customWidth="1"/>
    <col min="2057" max="2057" width="18.5" style="3229" customWidth="1"/>
    <col min="2058" max="2058" width="18.625" style="3229" customWidth="1"/>
    <col min="2059" max="2304" width="9" style="3229"/>
    <col min="2305" max="2305" width="5.625" style="3229" customWidth="1"/>
    <col min="2306" max="2306" width="5.125" style="3229" customWidth="1"/>
    <col min="2307" max="2307" width="5.75" style="3229" customWidth="1"/>
    <col min="2308" max="2308" width="10.625" style="3229" customWidth="1"/>
    <col min="2309" max="2309" width="11.75" style="3229" customWidth="1"/>
    <col min="2310" max="2310" width="0" style="3229" hidden="1" customWidth="1"/>
    <col min="2311" max="2311" width="17.5" style="3229" customWidth="1"/>
    <col min="2312" max="2312" width="20" style="3229" customWidth="1"/>
    <col min="2313" max="2313" width="18.5" style="3229" customWidth="1"/>
    <col min="2314" max="2314" width="18.625" style="3229" customWidth="1"/>
    <col min="2315" max="2560" width="9" style="3229"/>
    <col min="2561" max="2561" width="5.625" style="3229" customWidth="1"/>
    <col min="2562" max="2562" width="5.125" style="3229" customWidth="1"/>
    <col min="2563" max="2563" width="5.75" style="3229" customWidth="1"/>
    <col min="2564" max="2564" width="10.625" style="3229" customWidth="1"/>
    <col min="2565" max="2565" width="11.75" style="3229" customWidth="1"/>
    <col min="2566" max="2566" width="0" style="3229" hidden="1" customWidth="1"/>
    <col min="2567" max="2567" width="17.5" style="3229" customWidth="1"/>
    <col min="2568" max="2568" width="20" style="3229" customWidth="1"/>
    <col min="2569" max="2569" width="18.5" style="3229" customWidth="1"/>
    <col min="2570" max="2570" width="18.625" style="3229" customWidth="1"/>
    <col min="2571" max="2816" width="9" style="3229"/>
    <col min="2817" max="2817" width="5.625" style="3229" customWidth="1"/>
    <col min="2818" max="2818" width="5.125" style="3229" customWidth="1"/>
    <col min="2819" max="2819" width="5.75" style="3229" customWidth="1"/>
    <col min="2820" max="2820" width="10.625" style="3229" customWidth="1"/>
    <col min="2821" max="2821" width="11.75" style="3229" customWidth="1"/>
    <col min="2822" max="2822" width="0" style="3229" hidden="1" customWidth="1"/>
    <col min="2823" max="2823" width="17.5" style="3229" customWidth="1"/>
    <col min="2824" max="2824" width="20" style="3229" customWidth="1"/>
    <col min="2825" max="2825" width="18.5" style="3229" customWidth="1"/>
    <col min="2826" max="2826" width="18.625" style="3229" customWidth="1"/>
    <col min="2827" max="3072" width="9" style="3229"/>
    <col min="3073" max="3073" width="5.625" style="3229" customWidth="1"/>
    <col min="3074" max="3074" width="5.125" style="3229" customWidth="1"/>
    <col min="3075" max="3075" width="5.75" style="3229" customWidth="1"/>
    <col min="3076" max="3076" width="10.625" style="3229" customWidth="1"/>
    <col min="3077" max="3077" width="11.75" style="3229" customWidth="1"/>
    <col min="3078" max="3078" width="0" style="3229" hidden="1" customWidth="1"/>
    <col min="3079" max="3079" width="17.5" style="3229" customWidth="1"/>
    <col min="3080" max="3080" width="20" style="3229" customWidth="1"/>
    <col min="3081" max="3081" width="18.5" style="3229" customWidth="1"/>
    <col min="3082" max="3082" width="18.625" style="3229" customWidth="1"/>
    <col min="3083" max="3328" width="9" style="3229"/>
    <col min="3329" max="3329" width="5.625" style="3229" customWidth="1"/>
    <col min="3330" max="3330" width="5.125" style="3229" customWidth="1"/>
    <col min="3331" max="3331" width="5.75" style="3229" customWidth="1"/>
    <col min="3332" max="3332" width="10.625" style="3229" customWidth="1"/>
    <col min="3333" max="3333" width="11.75" style="3229" customWidth="1"/>
    <col min="3334" max="3334" width="0" style="3229" hidden="1" customWidth="1"/>
    <col min="3335" max="3335" width="17.5" style="3229" customWidth="1"/>
    <col min="3336" max="3336" width="20" style="3229" customWidth="1"/>
    <col min="3337" max="3337" width="18.5" style="3229" customWidth="1"/>
    <col min="3338" max="3338" width="18.625" style="3229" customWidth="1"/>
    <col min="3339" max="3584" width="9" style="3229"/>
    <col min="3585" max="3585" width="5.625" style="3229" customWidth="1"/>
    <col min="3586" max="3586" width="5.125" style="3229" customWidth="1"/>
    <col min="3587" max="3587" width="5.75" style="3229" customWidth="1"/>
    <col min="3588" max="3588" width="10.625" style="3229" customWidth="1"/>
    <col min="3589" max="3589" width="11.75" style="3229" customWidth="1"/>
    <col min="3590" max="3590" width="0" style="3229" hidden="1" customWidth="1"/>
    <col min="3591" max="3591" width="17.5" style="3229" customWidth="1"/>
    <col min="3592" max="3592" width="20" style="3229" customWidth="1"/>
    <col min="3593" max="3593" width="18.5" style="3229" customWidth="1"/>
    <col min="3594" max="3594" width="18.625" style="3229" customWidth="1"/>
    <col min="3595" max="3840" width="9" style="3229"/>
    <col min="3841" max="3841" width="5.625" style="3229" customWidth="1"/>
    <col min="3842" max="3842" width="5.125" style="3229" customWidth="1"/>
    <col min="3843" max="3843" width="5.75" style="3229" customWidth="1"/>
    <col min="3844" max="3844" width="10.625" style="3229" customWidth="1"/>
    <col min="3845" max="3845" width="11.75" style="3229" customWidth="1"/>
    <col min="3846" max="3846" width="0" style="3229" hidden="1" customWidth="1"/>
    <col min="3847" max="3847" width="17.5" style="3229" customWidth="1"/>
    <col min="3848" max="3848" width="20" style="3229" customWidth="1"/>
    <col min="3849" max="3849" width="18.5" style="3229" customWidth="1"/>
    <col min="3850" max="3850" width="18.625" style="3229" customWidth="1"/>
    <col min="3851" max="4096" width="9" style="3229"/>
    <col min="4097" max="4097" width="5.625" style="3229" customWidth="1"/>
    <col min="4098" max="4098" width="5.125" style="3229" customWidth="1"/>
    <col min="4099" max="4099" width="5.75" style="3229" customWidth="1"/>
    <col min="4100" max="4100" width="10.625" style="3229" customWidth="1"/>
    <col min="4101" max="4101" width="11.75" style="3229" customWidth="1"/>
    <col min="4102" max="4102" width="0" style="3229" hidden="1" customWidth="1"/>
    <col min="4103" max="4103" width="17.5" style="3229" customWidth="1"/>
    <col min="4104" max="4104" width="20" style="3229" customWidth="1"/>
    <col min="4105" max="4105" width="18.5" style="3229" customWidth="1"/>
    <col min="4106" max="4106" width="18.625" style="3229" customWidth="1"/>
    <col min="4107" max="4352" width="9" style="3229"/>
    <col min="4353" max="4353" width="5.625" style="3229" customWidth="1"/>
    <col min="4354" max="4354" width="5.125" style="3229" customWidth="1"/>
    <col min="4355" max="4355" width="5.75" style="3229" customWidth="1"/>
    <col min="4356" max="4356" width="10.625" style="3229" customWidth="1"/>
    <col min="4357" max="4357" width="11.75" style="3229" customWidth="1"/>
    <col min="4358" max="4358" width="0" style="3229" hidden="1" customWidth="1"/>
    <col min="4359" max="4359" width="17.5" style="3229" customWidth="1"/>
    <col min="4360" max="4360" width="20" style="3229" customWidth="1"/>
    <col min="4361" max="4361" width="18.5" style="3229" customWidth="1"/>
    <col min="4362" max="4362" width="18.625" style="3229" customWidth="1"/>
    <col min="4363" max="4608" width="9" style="3229"/>
    <col min="4609" max="4609" width="5.625" style="3229" customWidth="1"/>
    <col min="4610" max="4610" width="5.125" style="3229" customWidth="1"/>
    <col min="4611" max="4611" width="5.75" style="3229" customWidth="1"/>
    <col min="4612" max="4612" width="10.625" style="3229" customWidth="1"/>
    <col min="4613" max="4613" width="11.75" style="3229" customWidth="1"/>
    <col min="4614" max="4614" width="0" style="3229" hidden="1" customWidth="1"/>
    <col min="4615" max="4615" width="17.5" style="3229" customWidth="1"/>
    <col min="4616" max="4616" width="20" style="3229" customWidth="1"/>
    <col min="4617" max="4617" width="18.5" style="3229" customWidth="1"/>
    <col min="4618" max="4618" width="18.625" style="3229" customWidth="1"/>
    <col min="4619" max="4864" width="9" style="3229"/>
    <col min="4865" max="4865" width="5.625" style="3229" customWidth="1"/>
    <col min="4866" max="4866" width="5.125" style="3229" customWidth="1"/>
    <col min="4867" max="4867" width="5.75" style="3229" customWidth="1"/>
    <col min="4868" max="4868" width="10.625" style="3229" customWidth="1"/>
    <col min="4869" max="4869" width="11.75" style="3229" customWidth="1"/>
    <col min="4870" max="4870" width="0" style="3229" hidden="1" customWidth="1"/>
    <col min="4871" max="4871" width="17.5" style="3229" customWidth="1"/>
    <col min="4872" max="4872" width="20" style="3229" customWidth="1"/>
    <col min="4873" max="4873" width="18.5" style="3229" customWidth="1"/>
    <col min="4874" max="4874" width="18.625" style="3229" customWidth="1"/>
    <col min="4875" max="5120" width="9" style="3229"/>
    <col min="5121" max="5121" width="5.625" style="3229" customWidth="1"/>
    <col min="5122" max="5122" width="5.125" style="3229" customWidth="1"/>
    <col min="5123" max="5123" width="5.75" style="3229" customWidth="1"/>
    <col min="5124" max="5124" width="10.625" style="3229" customWidth="1"/>
    <col min="5125" max="5125" width="11.75" style="3229" customWidth="1"/>
    <col min="5126" max="5126" width="0" style="3229" hidden="1" customWidth="1"/>
    <col min="5127" max="5127" width="17.5" style="3229" customWidth="1"/>
    <col min="5128" max="5128" width="20" style="3229" customWidth="1"/>
    <col min="5129" max="5129" width="18.5" style="3229" customWidth="1"/>
    <col min="5130" max="5130" width="18.625" style="3229" customWidth="1"/>
    <col min="5131" max="5376" width="9" style="3229"/>
    <col min="5377" max="5377" width="5.625" style="3229" customWidth="1"/>
    <col min="5378" max="5378" width="5.125" style="3229" customWidth="1"/>
    <col min="5379" max="5379" width="5.75" style="3229" customWidth="1"/>
    <col min="5380" max="5380" width="10.625" style="3229" customWidth="1"/>
    <col min="5381" max="5381" width="11.75" style="3229" customWidth="1"/>
    <col min="5382" max="5382" width="0" style="3229" hidden="1" customWidth="1"/>
    <col min="5383" max="5383" width="17.5" style="3229" customWidth="1"/>
    <col min="5384" max="5384" width="20" style="3229" customWidth="1"/>
    <col min="5385" max="5385" width="18.5" style="3229" customWidth="1"/>
    <col min="5386" max="5386" width="18.625" style="3229" customWidth="1"/>
    <col min="5387" max="5632" width="9" style="3229"/>
    <col min="5633" max="5633" width="5.625" style="3229" customWidth="1"/>
    <col min="5634" max="5634" width="5.125" style="3229" customWidth="1"/>
    <col min="5635" max="5635" width="5.75" style="3229" customWidth="1"/>
    <col min="5636" max="5636" width="10.625" style="3229" customWidth="1"/>
    <col min="5637" max="5637" width="11.75" style="3229" customWidth="1"/>
    <col min="5638" max="5638" width="0" style="3229" hidden="1" customWidth="1"/>
    <col min="5639" max="5639" width="17.5" style="3229" customWidth="1"/>
    <col min="5640" max="5640" width="20" style="3229" customWidth="1"/>
    <col min="5641" max="5641" width="18.5" style="3229" customWidth="1"/>
    <col min="5642" max="5642" width="18.625" style="3229" customWidth="1"/>
    <col min="5643" max="5888" width="9" style="3229"/>
    <col min="5889" max="5889" width="5.625" style="3229" customWidth="1"/>
    <col min="5890" max="5890" width="5.125" style="3229" customWidth="1"/>
    <col min="5891" max="5891" width="5.75" style="3229" customWidth="1"/>
    <col min="5892" max="5892" width="10.625" style="3229" customWidth="1"/>
    <col min="5893" max="5893" width="11.75" style="3229" customWidth="1"/>
    <col min="5894" max="5894" width="0" style="3229" hidden="1" customWidth="1"/>
    <col min="5895" max="5895" width="17.5" style="3229" customWidth="1"/>
    <col min="5896" max="5896" width="20" style="3229" customWidth="1"/>
    <col min="5897" max="5897" width="18.5" style="3229" customWidth="1"/>
    <col min="5898" max="5898" width="18.625" style="3229" customWidth="1"/>
    <col min="5899" max="6144" width="9" style="3229"/>
    <col min="6145" max="6145" width="5.625" style="3229" customWidth="1"/>
    <col min="6146" max="6146" width="5.125" style="3229" customWidth="1"/>
    <col min="6147" max="6147" width="5.75" style="3229" customWidth="1"/>
    <col min="6148" max="6148" width="10.625" style="3229" customWidth="1"/>
    <col min="6149" max="6149" width="11.75" style="3229" customWidth="1"/>
    <col min="6150" max="6150" width="0" style="3229" hidden="1" customWidth="1"/>
    <col min="6151" max="6151" width="17.5" style="3229" customWidth="1"/>
    <col min="6152" max="6152" width="20" style="3229" customWidth="1"/>
    <col min="6153" max="6153" width="18.5" style="3229" customWidth="1"/>
    <col min="6154" max="6154" width="18.625" style="3229" customWidth="1"/>
    <col min="6155" max="6400" width="9" style="3229"/>
    <col min="6401" max="6401" width="5.625" style="3229" customWidth="1"/>
    <col min="6402" max="6402" width="5.125" style="3229" customWidth="1"/>
    <col min="6403" max="6403" width="5.75" style="3229" customWidth="1"/>
    <col min="6404" max="6404" width="10.625" style="3229" customWidth="1"/>
    <col min="6405" max="6405" width="11.75" style="3229" customWidth="1"/>
    <col min="6406" max="6406" width="0" style="3229" hidden="1" customWidth="1"/>
    <col min="6407" max="6407" width="17.5" style="3229" customWidth="1"/>
    <col min="6408" max="6408" width="20" style="3229" customWidth="1"/>
    <col min="6409" max="6409" width="18.5" style="3229" customWidth="1"/>
    <col min="6410" max="6410" width="18.625" style="3229" customWidth="1"/>
    <col min="6411" max="6656" width="9" style="3229"/>
    <col min="6657" max="6657" width="5.625" style="3229" customWidth="1"/>
    <col min="6658" max="6658" width="5.125" style="3229" customWidth="1"/>
    <col min="6659" max="6659" width="5.75" style="3229" customWidth="1"/>
    <col min="6660" max="6660" width="10.625" style="3229" customWidth="1"/>
    <col min="6661" max="6661" width="11.75" style="3229" customWidth="1"/>
    <col min="6662" max="6662" width="0" style="3229" hidden="1" customWidth="1"/>
    <col min="6663" max="6663" width="17.5" style="3229" customWidth="1"/>
    <col min="6664" max="6664" width="20" style="3229" customWidth="1"/>
    <col min="6665" max="6665" width="18.5" style="3229" customWidth="1"/>
    <col min="6666" max="6666" width="18.625" style="3229" customWidth="1"/>
    <col min="6667" max="6912" width="9" style="3229"/>
    <col min="6913" max="6913" width="5.625" style="3229" customWidth="1"/>
    <col min="6914" max="6914" width="5.125" style="3229" customWidth="1"/>
    <col min="6915" max="6915" width="5.75" style="3229" customWidth="1"/>
    <col min="6916" max="6916" width="10.625" style="3229" customWidth="1"/>
    <col min="6917" max="6917" width="11.75" style="3229" customWidth="1"/>
    <col min="6918" max="6918" width="0" style="3229" hidden="1" customWidth="1"/>
    <col min="6919" max="6919" width="17.5" style="3229" customWidth="1"/>
    <col min="6920" max="6920" width="20" style="3229" customWidth="1"/>
    <col min="6921" max="6921" width="18.5" style="3229" customWidth="1"/>
    <col min="6922" max="6922" width="18.625" style="3229" customWidth="1"/>
    <col min="6923" max="7168" width="9" style="3229"/>
    <col min="7169" max="7169" width="5.625" style="3229" customWidth="1"/>
    <col min="7170" max="7170" width="5.125" style="3229" customWidth="1"/>
    <col min="7171" max="7171" width="5.75" style="3229" customWidth="1"/>
    <col min="7172" max="7172" width="10.625" style="3229" customWidth="1"/>
    <col min="7173" max="7173" width="11.75" style="3229" customWidth="1"/>
    <col min="7174" max="7174" width="0" style="3229" hidden="1" customWidth="1"/>
    <col min="7175" max="7175" width="17.5" style="3229" customWidth="1"/>
    <col min="7176" max="7176" width="20" style="3229" customWidth="1"/>
    <col min="7177" max="7177" width="18.5" style="3229" customWidth="1"/>
    <col min="7178" max="7178" width="18.625" style="3229" customWidth="1"/>
    <col min="7179" max="7424" width="9" style="3229"/>
    <col min="7425" max="7425" width="5.625" style="3229" customWidth="1"/>
    <col min="7426" max="7426" width="5.125" style="3229" customWidth="1"/>
    <col min="7427" max="7427" width="5.75" style="3229" customWidth="1"/>
    <col min="7428" max="7428" width="10.625" style="3229" customWidth="1"/>
    <col min="7429" max="7429" width="11.75" style="3229" customWidth="1"/>
    <col min="7430" max="7430" width="0" style="3229" hidden="1" customWidth="1"/>
    <col min="7431" max="7431" width="17.5" style="3229" customWidth="1"/>
    <col min="7432" max="7432" width="20" style="3229" customWidth="1"/>
    <col min="7433" max="7433" width="18.5" style="3229" customWidth="1"/>
    <col min="7434" max="7434" width="18.625" style="3229" customWidth="1"/>
    <col min="7435" max="7680" width="9" style="3229"/>
    <col min="7681" max="7681" width="5.625" style="3229" customWidth="1"/>
    <col min="7682" max="7682" width="5.125" style="3229" customWidth="1"/>
    <col min="7683" max="7683" width="5.75" style="3229" customWidth="1"/>
    <col min="7684" max="7684" width="10.625" style="3229" customWidth="1"/>
    <col min="7685" max="7685" width="11.75" style="3229" customWidth="1"/>
    <col min="7686" max="7686" width="0" style="3229" hidden="1" customWidth="1"/>
    <col min="7687" max="7687" width="17.5" style="3229" customWidth="1"/>
    <col min="7688" max="7688" width="20" style="3229" customWidth="1"/>
    <col min="7689" max="7689" width="18.5" style="3229" customWidth="1"/>
    <col min="7690" max="7690" width="18.625" style="3229" customWidth="1"/>
    <col min="7691" max="7936" width="9" style="3229"/>
    <col min="7937" max="7937" width="5.625" style="3229" customWidth="1"/>
    <col min="7938" max="7938" width="5.125" style="3229" customWidth="1"/>
    <col min="7939" max="7939" width="5.75" style="3229" customWidth="1"/>
    <col min="7940" max="7940" width="10.625" style="3229" customWidth="1"/>
    <col min="7941" max="7941" width="11.75" style="3229" customWidth="1"/>
    <col min="7942" max="7942" width="0" style="3229" hidden="1" customWidth="1"/>
    <col min="7943" max="7943" width="17.5" style="3229" customWidth="1"/>
    <col min="7944" max="7944" width="20" style="3229" customWidth="1"/>
    <col min="7945" max="7945" width="18.5" style="3229" customWidth="1"/>
    <col min="7946" max="7946" width="18.625" style="3229" customWidth="1"/>
    <col min="7947" max="8192" width="9" style="3229"/>
    <col min="8193" max="8193" width="5.625" style="3229" customWidth="1"/>
    <col min="8194" max="8194" width="5.125" style="3229" customWidth="1"/>
    <col min="8195" max="8195" width="5.75" style="3229" customWidth="1"/>
    <col min="8196" max="8196" width="10.625" style="3229" customWidth="1"/>
    <col min="8197" max="8197" width="11.75" style="3229" customWidth="1"/>
    <col min="8198" max="8198" width="0" style="3229" hidden="1" customWidth="1"/>
    <col min="8199" max="8199" width="17.5" style="3229" customWidth="1"/>
    <col min="8200" max="8200" width="20" style="3229" customWidth="1"/>
    <col min="8201" max="8201" width="18.5" style="3229" customWidth="1"/>
    <col min="8202" max="8202" width="18.625" style="3229" customWidth="1"/>
    <col min="8203" max="8448" width="9" style="3229"/>
    <col min="8449" max="8449" width="5.625" style="3229" customWidth="1"/>
    <col min="8450" max="8450" width="5.125" style="3229" customWidth="1"/>
    <col min="8451" max="8451" width="5.75" style="3229" customWidth="1"/>
    <col min="8452" max="8452" width="10.625" style="3229" customWidth="1"/>
    <col min="8453" max="8453" width="11.75" style="3229" customWidth="1"/>
    <col min="8454" max="8454" width="0" style="3229" hidden="1" customWidth="1"/>
    <col min="8455" max="8455" width="17.5" style="3229" customWidth="1"/>
    <col min="8456" max="8456" width="20" style="3229" customWidth="1"/>
    <col min="8457" max="8457" width="18.5" style="3229" customWidth="1"/>
    <col min="8458" max="8458" width="18.625" style="3229" customWidth="1"/>
    <col min="8459" max="8704" width="9" style="3229"/>
    <col min="8705" max="8705" width="5.625" style="3229" customWidth="1"/>
    <col min="8706" max="8706" width="5.125" style="3229" customWidth="1"/>
    <col min="8707" max="8707" width="5.75" style="3229" customWidth="1"/>
    <col min="8708" max="8708" width="10.625" style="3229" customWidth="1"/>
    <col min="8709" max="8709" width="11.75" style="3229" customWidth="1"/>
    <col min="8710" max="8710" width="0" style="3229" hidden="1" customWidth="1"/>
    <col min="8711" max="8711" width="17.5" style="3229" customWidth="1"/>
    <col min="8712" max="8712" width="20" style="3229" customWidth="1"/>
    <col min="8713" max="8713" width="18.5" style="3229" customWidth="1"/>
    <col min="8714" max="8714" width="18.625" style="3229" customWidth="1"/>
    <col min="8715" max="8960" width="9" style="3229"/>
    <col min="8961" max="8961" width="5.625" style="3229" customWidth="1"/>
    <col min="8962" max="8962" width="5.125" style="3229" customWidth="1"/>
    <col min="8963" max="8963" width="5.75" style="3229" customWidth="1"/>
    <col min="8964" max="8964" width="10.625" style="3229" customWidth="1"/>
    <col min="8965" max="8965" width="11.75" style="3229" customWidth="1"/>
    <col min="8966" max="8966" width="0" style="3229" hidden="1" customWidth="1"/>
    <col min="8967" max="8967" width="17.5" style="3229" customWidth="1"/>
    <col min="8968" max="8968" width="20" style="3229" customWidth="1"/>
    <col min="8969" max="8969" width="18.5" style="3229" customWidth="1"/>
    <col min="8970" max="8970" width="18.625" style="3229" customWidth="1"/>
    <col min="8971" max="9216" width="9" style="3229"/>
    <col min="9217" max="9217" width="5.625" style="3229" customWidth="1"/>
    <col min="9218" max="9218" width="5.125" style="3229" customWidth="1"/>
    <col min="9219" max="9219" width="5.75" style="3229" customWidth="1"/>
    <col min="9220" max="9220" width="10.625" style="3229" customWidth="1"/>
    <col min="9221" max="9221" width="11.75" style="3229" customWidth="1"/>
    <col min="9222" max="9222" width="0" style="3229" hidden="1" customWidth="1"/>
    <col min="9223" max="9223" width="17.5" style="3229" customWidth="1"/>
    <col min="9224" max="9224" width="20" style="3229" customWidth="1"/>
    <col min="9225" max="9225" width="18.5" style="3229" customWidth="1"/>
    <col min="9226" max="9226" width="18.625" style="3229" customWidth="1"/>
    <col min="9227" max="9472" width="9" style="3229"/>
    <col min="9473" max="9473" width="5.625" style="3229" customWidth="1"/>
    <col min="9474" max="9474" width="5.125" style="3229" customWidth="1"/>
    <col min="9475" max="9475" width="5.75" style="3229" customWidth="1"/>
    <col min="9476" max="9476" width="10.625" style="3229" customWidth="1"/>
    <col min="9477" max="9477" width="11.75" style="3229" customWidth="1"/>
    <col min="9478" max="9478" width="0" style="3229" hidden="1" customWidth="1"/>
    <col min="9479" max="9479" width="17.5" style="3229" customWidth="1"/>
    <col min="9480" max="9480" width="20" style="3229" customWidth="1"/>
    <col min="9481" max="9481" width="18.5" style="3229" customWidth="1"/>
    <col min="9482" max="9482" width="18.625" style="3229" customWidth="1"/>
    <col min="9483" max="9728" width="9" style="3229"/>
    <col min="9729" max="9729" width="5.625" style="3229" customWidth="1"/>
    <col min="9730" max="9730" width="5.125" style="3229" customWidth="1"/>
    <col min="9731" max="9731" width="5.75" style="3229" customWidth="1"/>
    <col min="9732" max="9732" width="10.625" style="3229" customWidth="1"/>
    <col min="9733" max="9733" width="11.75" style="3229" customWidth="1"/>
    <col min="9734" max="9734" width="0" style="3229" hidden="1" customWidth="1"/>
    <col min="9735" max="9735" width="17.5" style="3229" customWidth="1"/>
    <col min="9736" max="9736" width="20" style="3229" customWidth="1"/>
    <col min="9737" max="9737" width="18.5" style="3229" customWidth="1"/>
    <col min="9738" max="9738" width="18.625" style="3229" customWidth="1"/>
    <col min="9739" max="9984" width="9" style="3229"/>
    <col min="9985" max="9985" width="5.625" style="3229" customWidth="1"/>
    <col min="9986" max="9986" width="5.125" style="3229" customWidth="1"/>
    <col min="9987" max="9987" width="5.75" style="3229" customWidth="1"/>
    <col min="9988" max="9988" width="10.625" style="3229" customWidth="1"/>
    <col min="9989" max="9989" width="11.75" style="3229" customWidth="1"/>
    <col min="9990" max="9990" width="0" style="3229" hidden="1" customWidth="1"/>
    <col min="9991" max="9991" width="17.5" style="3229" customWidth="1"/>
    <col min="9992" max="9992" width="20" style="3229" customWidth="1"/>
    <col min="9993" max="9993" width="18.5" style="3229" customWidth="1"/>
    <col min="9994" max="9994" width="18.625" style="3229" customWidth="1"/>
    <col min="9995" max="10240" width="9" style="3229"/>
    <col min="10241" max="10241" width="5.625" style="3229" customWidth="1"/>
    <col min="10242" max="10242" width="5.125" style="3229" customWidth="1"/>
    <col min="10243" max="10243" width="5.75" style="3229" customWidth="1"/>
    <col min="10244" max="10244" width="10.625" style="3229" customWidth="1"/>
    <col min="10245" max="10245" width="11.75" style="3229" customWidth="1"/>
    <col min="10246" max="10246" width="0" style="3229" hidden="1" customWidth="1"/>
    <col min="10247" max="10247" width="17.5" style="3229" customWidth="1"/>
    <col min="10248" max="10248" width="20" style="3229" customWidth="1"/>
    <col min="10249" max="10249" width="18.5" style="3229" customWidth="1"/>
    <col min="10250" max="10250" width="18.625" style="3229" customWidth="1"/>
    <col min="10251" max="10496" width="9" style="3229"/>
    <col min="10497" max="10497" width="5.625" style="3229" customWidth="1"/>
    <col min="10498" max="10498" width="5.125" style="3229" customWidth="1"/>
    <col min="10499" max="10499" width="5.75" style="3229" customWidth="1"/>
    <col min="10500" max="10500" width="10.625" style="3229" customWidth="1"/>
    <col min="10501" max="10501" width="11.75" style="3229" customWidth="1"/>
    <col min="10502" max="10502" width="0" style="3229" hidden="1" customWidth="1"/>
    <col min="10503" max="10503" width="17.5" style="3229" customWidth="1"/>
    <col min="10504" max="10504" width="20" style="3229" customWidth="1"/>
    <col min="10505" max="10505" width="18.5" style="3229" customWidth="1"/>
    <col min="10506" max="10506" width="18.625" style="3229" customWidth="1"/>
    <col min="10507" max="10752" width="9" style="3229"/>
    <col min="10753" max="10753" width="5.625" style="3229" customWidth="1"/>
    <col min="10754" max="10754" width="5.125" style="3229" customWidth="1"/>
    <col min="10755" max="10755" width="5.75" style="3229" customWidth="1"/>
    <col min="10756" max="10756" width="10.625" style="3229" customWidth="1"/>
    <col min="10757" max="10757" width="11.75" style="3229" customWidth="1"/>
    <col min="10758" max="10758" width="0" style="3229" hidden="1" customWidth="1"/>
    <col min="10759" max="10759" width="17.5" style="3229" customWidth="1"/>
    <col min="10760" max="10760" width="20" style="3229" customWidth="1"/>
    <col min="10761" max="10761" width="18.5" style="3229" customWidth="1"/>
    <col min="10762" max="10762" width="18.625" style="3229" customWidth="1"/>
    <col min="10763" max="11008" width="9" style="3229"/>
    <col min="11009" max="11009" width="5.625" style="3229" customWidth="1"/>
    <col min="11010" max="11010" width="5.125" style="3229" customWidth="1"/>
    <col min="11011" max="11011" width="5.75" style="3229" customWidth="1"/>
    <col min="11012" max="11012" width="10.625" style="3229" customWidth="1"/>
    <col min="11013" max="11013" width="11.75" style="3229" customWidth="1"/>
    <col min="11014" max="11014" width="0" style="3229" hidden="1" customWidth="1"/>
    <col min="11015" max="11015" width="17.5" style="3229" customWidth="1"/>
    <col min="11016" max="11016" width="20" style="3229" customWidth="1"/>
    <col min="11017" max="11017" width="18.5" style="3229" customWidth="1"/>
    <col min="11018" max="11018" width="18.625" style="3229" customWidth="1"/>
    <col min="11019" max="11264" width="9" style="3229"/>
    <col min="11265" max="11265" width="5.625" style="3229" customWidth="1"/>
    <col min="11266" max="11266" width="5.125" style="3229" customWidth="1"/>
    <col min="11267" max="11267" width="5.75" style="3229" customWidth="1"/>
    <col min="11268" max="11268" width="10.625" style="3229" customWidth="1"/>
    <col min="11269" max="11269" width="11.75" style="3229" customWidth="1"/>
    <col min="11270" max="11270" width="0" style="3229" hidden="1" customWidth="1"/>
    <col min="11271" max="11271" width="17.5" style="3229" customWidth="1"/>
    <col min="11272" max="11272" width="20" style="3229" customWidth="1"/>
    <col min="11273" max="11273" width="18.5" style="3229" customWidth="1"/>
    <col min="11274" max="11274" width="18.625" style="3229" customWidth="1"/>
    <col min="11275" max="11520" width="9" style="3229"/>
    <col min="11521" max="11521" width="5.625" style="3229" customWidth="1"/>
    <col min="11522" max="11522" width="5.125" style="3229" customWidth="1"/>
    <col min="11523" max="11523" width="5.75" style="3229" customWidth="1"/>
    <col min="11524" max="11524" width="10.625" style="3229" customWidth="1"/>
    <col min="11525" max="11525" width="11.75" style="3229" customWidth="1"/>
    <col min="11526" max="11526" width="0" style="3229" hidden="1" customWidth="1"/>
    <col min="11527" max="11527" width="17.5" style="3229" customWidth="1"/>
    <col min="11528" max="11528" width="20" style="3229" customWidth="1"/>
    <col min="11529" max="11529" width="18.5" style="3229" customWidth="1"/>
    <col min="11530" max="11530" width="18.625" style="3229" customWidth="1"/>
    <col min="11531" max="11776" width="9" style="3229"/>
    <col min="11777" max="11777" width="5.625" style="3229" customWidth="1"/>
    <col min="11778" max="11778" width="5.125" style="3229" customWidth="1"/>
    <col min="11779" max="11779" width="5.75" style="3229" customWidth="1"/>
    <col min="11780" max="11780" width="10.625" style="3229" customWidth="1"/>
    <col min="11781" max="11781" width="11.75" style="3229" customWidth="1"/>
    <col min="11782" max="11782" width="0" style="3229" hidden="1" customWidth="1"/>
    <col min="11783" max="11783" width="17.5" style="3229" customWidth="1"/>
    <col min="11784" max="11784" width="20" style="3229" customWidth="1"/>
    <col min="11785" max="11785" width="18.5" style="3229" customWidth="1"/>
    <col min="11786" max="11786" width="18.625" style="3229" customWidth="1"/>
    <col min="11787" max="12032" width="9" style="3229"/>
    <col min="12033" max="12033" width="5.625" style="3229" customWidth="1"/>
    <col min="12034" max="12034" width="5.125" style="3229" customWidth="1"/>
    <col min="12035" max="12035" width="5.75" style="3229" customWidth="1"/>
    <col min="12036" max="12036" width="10.625" style="3229" customWidth="1"/>
    <col min="12037" max="12037" width="11.75" style="3229" customWidth="1"/>
    <col min="12038" max="12038" width="0" style="3229" hidden="1" customWidth="1"/>
    <col min="12039" max="12039" width="17.5" style="3229" customWidth="1"/>
    <col min="12040" max="12040" width="20" style="3229" customWidth="1"/>
    <col min="12041" max="12041" width="18.5" style="3229" customWidth="1"/>
    <col min="12042" max="12042" width="18.625" style="3229" customWidth="1"/>
    <col min="12043" max="12288" width="9" style="3229"/>
    <col min="12289" max="12289" width="5.625" style="3229" customWidth="1"/>
    <col min="12290" max="12290" width="5.125" style="3229" customWidth="1"/>
    <col min="12291" max="12291" width="5.75" style="3229" customWidth="1"/>
    <col min="12292" max="12292" width="10.625" style="3229" customWidth="1"/>
    <col min="12293" max="12293" width="11.75" style="3229" customWidth="1"/>
    <col min="12294" max="12294" width="0" style="3229" hidden="1" customWidth="1"/>
    <col min="12295" max="12295" width="17.5" style="3229" customWidth="1"/>
    <col min="12296" max="12296" width="20" style="3229" customWidth="1"/>
    <col min="12297" max="12297" width="18.5" style="3229" customWidth="1"/>
    <col min="12298" max="12298" width="18.625" style="3229" customWidth="1"/>
    <col min="12299" max="12544" width="9" style="3229"/>
    <col min="12545" max="12545" width="5.625" style="3229" customWidth="1"/>
    <col min="12546" max="12546" width="5.125" style="3229" customWidth="1"/>
    <col min="12547" max="12547" width="5.75" style="3229" customWidth="1"/>
    <col min="12548" max="12548" width="10.625" style="3229" customWidth="1"/>
    <col min="12549" max="12549" width="11.75" style="3229" customWidth="1"/>
    <col min="12550" max="12550" width="0" style="3229" hidden="1" customWidth="1"/>
    <col min="12551" max="12551" width="17.5" style="3229" customWidth="1"/>
    <col min="12552" max="12552" width="20" style="3229" customWidth="1"/>
    <col min="12553" max="12553" width="18.5" style="3229" customWidth="1"/>
    <col min="12554" max="12554" width="18.625" style="3229" customWidth="1"/>
    <col min="12555" max="12800" width="9" style="3229"/>
    <col min="12801" max="12801" width="5.625" style="3229" customWidth="1"/>
    <col min="12802" max="12802" width="5.125" style="3229" customWidth="1"/>
    <col min="12803" max="12803" width="5.75" style="3229" customWidth="1"/>
    <col min="12804" max="12804" width="10.625" style="3229" customWidth="1"/>
    <col min="12805" max="12805" width="11.75" style="3229" customWidth="1"/>
    <col min="12806" max="12806" width="0" style="3229" hidden="1" customWidth="1"/>
    <col min="12807" max="12807" width="17.5" style="3229" customWidth="1"/>
    <col min="12808" max="12808" width="20" style="3229" customWidth="1"/>
    <col min="12809" max="12809" width="18.5" style="3229" customWidth="1"/>
    <col min="12810" max="12810" width="18.625" style="3229" customWidth="1"/>
    <col min="12811" max="13056" width="9" style="3229"/>
    <col min="13057" max="13057" width="5.625" style="3229" customWidth="1"/>
    <col min="13058" max="13058" width="5.125" style="3229" customWidth="1"/>
    <col min="13059" max="13059" width="5.75" style="3229" customWidth="1"/>
    <col min="13060" max="13060" width="10.625" style="3229" customWidth="1"/>
    <col min="13061" max="13061" width="11.75" style="3229" customWidth="1"/>
    <col min="13062" max="13062" width="0" style="3229" hidden="1" customWidth="1"/>
    <col min="13063" max="13063" width="17.5" style="3229" customWidth="1"/>
    <col min="13064" max="13064" width="20" style="3229" customWidth="1"/>
    <col min="13065" max="13065" width="18.5" style="3229" customWidth="1"/>
    <col min="13066" max="13066" width="18.625" style="3229" customWidth="1"/>
    <col min="13067" max="13312" width="9" style="3229"/>
    <col min="13313" max="13313" width="5.625" style="3229" customWidth="1"/>
    <col min="13314" max="13314" width="5.125" style="3229" customWidth="1"/>
    <col min="13315" max="13315" width="5.75" style="3229" customWidth="1"/>
    <col min="13316" max="13316" width="10.625" style="3229" customWidth="1"/>
    <col min="13317" max="13317" width="11.75" style="3229" customWidth="1"/>
    <col min="13318" max="13318" width="0" style="3229" hidden="1" customWidth="1"/>
    <col min="13319" max="13319" width="17.5" style="3229" customWidth="1"/>
    <col min="13320" max="13320" width="20" style="3229" customWidth="1"/>
    <col min="13321" max="13321" width="18.5" style="3229" customWidth="1"/>
    <col min="13322" max="13322" width="18.625" style="3229" customWidth="1"/>
    <col min="13323" max="13568" width="9" style="3229"/>
    <col min="13569" max="13569" width="5.625" style="3229" customWidth="1"/>
    <col min="13570" max="13570" width="5.125" style="3229" customWidth="1"/>
    <col min="13571" max="13571" width="5.75" style="3229" customWidth="1"/>
    <col min="13572" max="13572" width="10.625" style="3229" customWidth="1"/>
    <col min="13573" max="13573" width="11.75" style="3229" customWidth="1"/>
    <col min="13574" max="13574" width="0" style="3229" hidden="1" customWidth="1"/>
    <col min="13575" max="13575" width="17.5" style="3229" customWidth="1"/>
    <col min="13576" max="13576" width="20" style="3229" customWidth="1"/>
    <col min="13577" max="13577" width="18.5" style="3229" customWidth="1"/>
    <col min="13578" max="13578" width="18.625" style="3229" customWidth="1"/>
    <col min="13579" max="13824" width="9" style="3229"/>
    <col min="13825" max="13825" width="5.625" style="3229" customWidth="1"/>
    <col min="13826" max="13826" width="5.125" style="3229" customWidth="1"/>
    <col min="13827" max="13827" width="5.75" style="3229" customWidth="1"/>
    <col min="13828" max="13828" width="10.625" style="3229" customWidth="1"/>
    <col min="13829" max="13829" width="11.75" style="3229" customWidth="1"/>
    <col min="13830" max="13830" width="0" style="3229" hidden="1" customWidth="1"/>
    <col min="13831" max="13831" width="17.5" style="3229" customWidth="1"/>
    <col min="13832" max="13832" width="20" style="3229" customWidth="1"/>
    <col min="13833" max="13833" width="18.5" style="3229" customWidth="1"/>
    <col min="13834" max="13834" width="18.625" style="3229" customWidth="1"/>
    <col min="13835" max="14080" width="9" style="3229"/>
    <col min="14081" max="14081" width="5.625" style="3229" customWidth="1"/>
    <col min="14082" max="14082" width="5.125" style="3229" customWidth="1"/>
    <col min="14083" max="14083" width="5.75" style="3229" customWidth="1"/>
    <col min="14084" max="14084" width="10.625" style="3229" customWidth="1"/>
    <col min="14085" max="14085" width="11.75" style="3229" customWidth="1"/>
    <col min="14086" max="14086" width="0" style="3229" hidden="1" customWidth="1"/>
    <col min="14087" max="14087" width="17.5" style="3229" customWidth="1"/>
    <col min="14088" max="14088" width="20" style="3229" customWidth="1"/>
    <col min="14089" max="14089" width="18.5" style="3229" customWidth="1"/>
    <col min="14090" max="14090" width="18.625" style="3229" customWidth="1"/>
    <col min="14091" max="14336" width="9" style="3229"/>
    <col min="14337" max="14337" width="5.625" style="3229" customWidth="1"/>
    <col min="14338" max="14338" width="5.125" style="3229" customWidth="1"/>
    <col min="14339" max="14339" width="5.75" style="3229" customWidth="1"/>
    <col min="14340" max="14340" width="10.625" style="3229" customWidth="1"/>
    <col min="14341" max="14341" width="11.75" style="3229" customWidth="1"/>
    <col min="14342" max="14342" width="0" style="3229" hidden="1" customWidth="1"/>
    <col min="14343" max="14343" width="17.5" style="3229" customWidth="1"/>
    <col min="14344" max="14344" width="20" style="3229" customWidth="1"/>
    <col min="14345" max="14345" width="18.5" style="3229" customWidth="1"/>
    <col min="14346" max="14346" width="18.625" style="3229" customWidth="1"/>
    <col min="14347" max="14592" width="9" style="3229"/>
    <col min="14593" max="14593" width="5.625" style="3229" customWidth="1"/>
    <col min="14594" max="14594" width="5.125" style="3229" customWidth="1"/>
    <col min="14595" max="14595" width="5.75" style="3229" customWidth="1"/>
    <col min="14596" max="14596" width="10.625" style="3229" customWidth="1"/>
    <col min="14597" max="14597" width="11.75" style="3229" customWidth="1"/>
    <col min="14598" max="14598" width="0" style="3229" hidden="1" customWidth="1"/>
    <col min="14599" max="14599" width="17.5" style="3229" customWidth="1"/>
    <col min="14600" max="14600" width="20" style="3229" customWidth="1"/>
    <col min="14601" max="14601" width="18.5" style="3229" customWidth="1"/>
    <col min="14602" max="14602" width="18.625" style="3229" customWidth="1"/>
    <col min="14603" max="14848" width="9" style="3229"/>
    <col min="14849" max="14849" width="5.625" style="3229" customWidth="1"/>
    <col min="14850" max="14850" width="5.125" style="3229" customWidth="1"/>
    <col min="14851" max="14851" width="5.75" style="3229" customWidth="1"/>
    <col min="14852" max="14852" width="10.625" style="3229" customWidth="1"/>
    <col min="14853" max="14853" width="11.75" style="3229" customWidth="1"/>
    <col min="14854" max="14854" width="0" style="3229" hidden="1" customWidth="1"/>
    <col min="14855" max="14855" width="17.5" style="3229" customWidth="1"/>
    <col min="14856" max="14856" width="20" style="3229" customWidth="1"/>
    <col min="14857" max="14857" width="18.5" style="3229" customWidth="1"/>
    <col min="14858" max="14858" width="18.625" style="3229" customWidth="1"/>
    <col min="14859" max="15104" width="9" style="3229"/>
    <col min="15105" max="15105" width="5.625" style="3229" customWidth="1"/>
    <col min="15106" max="15106" width="5.125" style="3229" customWidth="1"/>
    <col min="15107" max="15107" width="5.75" style="3229" customWidth="1"/>
    <col min="15108" max="15108" width="10.625" style="3229" customWidth="1"/>
    <col min="15109" max="15109" width="11.75" style="3229" customWidth="1"/>
    <col min="15110" max="15110" width="0" style="3229" hidden="1" customWidth="1"/>
    <col min="15111" max="15111" width="17.5" style="3229" customWidth="1"/>
    <col min="15112" max="15112" width="20" style="3229" customWidth="1"/>
    <col min="15113" max="15113" width="18.5" style="3229" customWidth="1"/>
    <col min="15114" max="15114" width="18.625" style="3229" customWidth="1"/>
    <col min="15115" max="15360" width="9" style="3229"/>
    <col min="15361" max="15361" width="5.625" style="3229" customWidth="1"/>
    <col min="15362" max="15362" width="5.125" style="3229" customWidth="1"/>
    <col min="15363" max="15363" width="5.75" style="3229" customWidth="1"/>
    <col min="15364" max="15364" width="10.625" style="3229" customWidth="1"/>
    <col min="15365" max="15365" width="11.75" style="3229" customWidth="1"/>
    <col min="15366" max="15366" width="0" style="3229" hidden="1" customWidth="1"/>
    <col min="15367" max="15367" width="17.5" style="3229" customWidth="1"/>
    <col min="15368" max="15368" width="20" style="3229" customWidth="1"/>
    <col min="15369" max="15369" width="18.5" style="3229" customWidth="1"/>
    <col min="15370" max="15370" width="18.625" style="3229" customWidth="1"/>
    <col min="15371" max="15616" width="9" style="3229"/>
    <col min="15617" max="15617" width="5.625" style="3229" customWidth="1"/>
    <col min="15618" max="15618" width="5.125" style="3229" customWidth="1"/>
    <col min="15619" max="15619" width="5.75" style="3229" customWidth="1"/>
    <col min="15620" max="15620" width="10.625" style="3229" customWidth="1"/>
    <col min="15621" max="15621" width="11.75" style="3229" customWidth="1"/>
    <col min="15622" max="15622" width="0" style="3229" hidden="1" customWidth="1"/>
    <col min="15623" max="15623" width="17.5" style="3229" customWidth="1"/>
    <col min="15624" max="15624" width="20" style="3229" customWidth="1"/>
    <col min="15625" max="15625" width="18.5" style="3229" customWidth="1"/>
    <col min="15626" max="15626" width="18.625" style="3229" customWidth="1"/>
    <col min="15627" max="15872" width="9" style="3229"/>
    <col min="15873" max="15873" width="5.625" style="3229" customWidth="1"/>
    <col min="15874" max="15874" width="5.125" style="3229" customWidth="1"/>
    <col min="15875" max="15875" width="5.75" style="3229" customWidth="1"/>
    <col min="15876" max="15876" width="10.625" style="3229" customWidth="1"/>
    <col min="15877" max="15877" width="11.75" style="3229" customWidth="1"/>
    <col min="15878" max="15878" width="0" style="3229" hidden="1" customWidth="1"/>
    <col min="15879" max="15879" width="17.5" style="3229" customWidth="1"/>
    <col min="15880" max="15880" width="20" style="3229" customWidth="1"/>
    <col min="15881" max="15881" width="18.5" style="3229" customWidth="1"/>
    <col min="15882" max="15882" width="18.625" style="3229" customWidth="1"/>
    <col min="15883" max="16128" width="9" style="3229"/>
    <col min="16129" max="16129" width="5.625" style="3229" customWidth="1"/>
    <col min="16130" max="16130" width="5.125" style="3229" customWidth="1"/>
    <col min="16131" max="16131" width="5.75" style="3229" customWidth="1"/>
    <col min="16132" max="16132" width="10.625" style="3229" customWidth="1"/>
    <col min="16133" max="16133" width="11.75" style="3229" customWidth="1"/>
    <col min="16134" max="16134" width="0" style="3229" hidden="1" customWidth="1"/>
    <col min="16135" max="16135" width="17.5" style="3229" customWidth="1"/>
    <col min="16136" max="16136" width="20" style="3229" customWidth="1"/>
    <col min="16137" max="16137" width="18.5" style="3229" customWidth="1"/>
    <col min="16138" max="16138" width="18.625" style="3229" customWidth="1"/>
    <col min="16139" max="16384" width="9" style="3229"/>
  </cols>
  <sheetData>
    <row r="1" spans="1:10" ht="24.95" customHeight="1">
      <c r="A1" s="3409" t="s">
        <v>4436</v>
      </c>
      <c r="B1" s="3409"/>
      <c r="C1" s="3409"/>
      <c r="D1" s="3409"/>
      <c r="E1" s="3409"/>
      <c r="F1" s="3409"/>
      <c r="G1" s="3409"/>
      <c r="H1" s="3409"/>
      <c r="I1" s="3409"/>
    </row>
    <row r="2" spans="1:10" s="3228" customFormat="1" ht="24.95" customHeight="1">
      <c r="A2" s="3230" t="s">
        <v>3729</v>
      </c>
      <c r="B2" s="3230" t="s">
        <v>3731</v>
      </c>
      <c r="C2" s="3272" t="s">
        <v>4393</v>
      </c>
      <c r="D2" s="3273" t="s">
        <v>4394</v>
      </c>
      <c r="E2" s="3274" t="s">
        <v>3410</v>
      </c>
      <c r="F2" s="3274" t="s">
        <v>4395</v>
      </c>
      <c r="G2" s="3273" t="s">
        <v>4397</v>
      </c>
      <c r="H2" s="3273" t="s">
        <v>4398</v>
      </c>
      <c r="I2" s="3275" t="s">
        <v>4399</v>
      </c>
      <c r="J2" s="3230" t="s">
        <v>4402</v>
      </c>
    </row>
    <row r="3" spans="1:10" ht="24.95" customHeight="1">
      <c r="A3" s="3234">
        <v>1</v>
      </c>
      <c r="B3" s="3234">
        <v>1</v>
      </c>
      <c r="C3" s="3235">
        <v>-101</v>
      </c>
      <c r="D3" s="3276" t="str">
        <f>CONCATENATE(B3,"-",C3)</f>
        <v>1--101</v>
      </c>
      <c r="E3" s="3235">
        <v>7.15</v>
      </c>
      <c r="F3" s="3277">
        <v>7.15</v>
      </c>
      <c r="G3" s="3239" t="s">
        <v>4437</v>
      </c>
      <c r="H3" s="3234">
        <v>64350</v>
      </c>
      <c r="I3" s="3255">
        <v>9000</v>
      </c>
      <c r="J3" s="3240" t="s">
        <v>4438</v>
      </c>
    </row>
    <row r="4" spans="1:10" ht="24.95" customHeight="1">
      <c r="A4" s="3234">
        <v>2</v>
      </c>
      <c r="B4" s="3234">
        <v>1</v>
      </c>
      <c r="C4" s="3235">
        <v>-102</v>
      </c>
      <c r="D4" s="3276" t="str">
        <f t="shared" ref="D4:D67" si="0">CONCATENATE(B4,"-",C4)</f>
        <v>1--102</v>
      </c>
      <c r="E4" s="3235">
        <v>15.12</v>
      </c>
      <c r="F4" s="3277">
        <v>15.12</v>
      </c>
      <c r="G4" s="3239" t="s">
        <v>4437</v>
      </c>
      <c r="H4" s="3234">
        <v>136080</v>
      </c>
      <c r="I4" s="3255">
        <v>9000</v>
      </c>
      <c r="J4" s="3240" t="s">
        <v>4438</v>
      </c>
    </row>
    <row r="5" spans="1:10" ht="24.95" customHeight="1">
      <c r="A5" s="3234">
        <v>3</v>
      </c>
      <c r="B5" s="3234">
        <v>1</v>
      </c>
      <c r="C5" s="3235">
        <v>-103</v>
      </c>
      <c r="D5" s="3276" t="str">
        <f t="shared" si="0"/>
        <v>1--103</v>
      </c>
      <c r="E5" s="3235">
        <v>10.56</v>
      </c>
      <c r="F5" s="3277">
        <v>10.56</v>
      </c>
      <c r="G5" s="3239" t="s">
        <v>4437</v>
      </c>
      <c r="H5" s="3234">
        <v>95040</v>
      </c>
      <c r="I5" s="3255">
        <v>9000</v>
      </c>
      <c r="J5" s="3240" t="s">
        <v>4438</v>
      </c>
    </row>
    <row r="6" spans="1:10" ht="24.95" customHeight="1">
      <c r="A6" s="3234">
        <v>4</v>
      </c>
      <c r="B6" s="3234">
        <v>2</v>
      </c>
      <c r="C6" s="3235">
        <v>-101</v>
      </c>
      <c r="D6" s="3276" t="str">
        <f t="shared" si="0"/>
        <v>2--101</v>
      </c>
      <c r="E6" s="3235">
        <v>14.41</v>
      </c>
      <c r="F6" s="3277">
        <v>7.15</v>
      </c>
      <c r="G6" s="3239" t="s">
        <v>4437</v>
      </c>
      <c r="H6" s="3234">
        <v>129690</v>
      </c>
      <c r="I6" s="3255">
        <v>9000</v>
      </c>
      <c r="J6" s="3240" t="s">
        <v>4438</v>
      </c>
    </row>
    <row r="7" spans="1:10" ht="24.95" customHeight="1">
      <c r="A7" s="3234">
        <v>5</v>
      </c>
      <c r="B7" s="3234">
        <v>2</v>
      </c>
      <c r="C7" s="3235">
        <v>-102</v>
      </c>
      <c r="D7" s="3276" t="str">
        <f t="shared" si="0"/>
        <v>2--102</v>
      </c>
      <c r="E7" s="3235">
        <v>16.98</v>
      </c>
      <c r="F7" s="3277">
        <v>8.42</v>
      </c>
      <c r="G7" s="3239" t="s">
        <v>4437</v>
      </c>
      <c r="H7" s="3234">
        <v>152820</v>
      </c>
      <c r="I7" s="3255">
        <v>9000</v>
      </c>
      <c r="J7" s="3240" t="s">
        <v>4438</v>
      </c>
    </row>
    <row r="8" spans="1:10" ht="24.95" customHeight="1">
      <c r="A8" s="3234">
        <v>6</v>
      </c>
      <c r="B8" s="3234">
        <v>2</v>
      </c>
      <c r="C8" s="3235">
        <v>-103</v>
      </c>
      <c r="D8" s="3276" t="str">
        <f t="shared" si="0"/>
        <v>2--103</v>
      </c>
      <c r="E8" s="3235">
        <v>27.92</v>
      </c>
      <c r="F8" s="3277">
        <v>13.85</v>
      </c>
      <c r="G8" s="3239" t="s">
        <v>4437</v>
      </c>
      <c r="H8" s="3234">
        <v>251280</v>
      </c>
      <c r="I8" s="3255">
        <v>9000</v>
      </c>
      <c r="J8" s="3240" t="s">
        <v>4438</v>
      </c>
    </row>
    <row r="9" spans="1:10" ht="24.95" customHeight="1">
      <c r="A9" s="3234">
        <v>7</v>
      </c>
      <c r="B9" s="3234">
        <v>2</v>
      </c>
      <c r="C9" s="3235">
        <v>-104</v>
      </c>
      <c r="D9" s="3276" t="str">
        <f t="shared" si="0"/>
        <v>2--104</v>
      </c>
      <c r="E9" s="3235">
        <v>22.8</v>
      </c>
      <c r="F9" s="3277">
        <v>11.31</v>
      </c>
      <c r="G9" s="3239" t="s">
        <v>4437</v>
      </c>
      <c r="H9" s="3234">
        <v>205200</v>
      </c>
      <c r="I9" s="3255">
        <v>9000</v>
      </c>
      <c r="J9" s="3240" t="s">
        <v>4438</v>
      </c>
    </row>
    <row r="10" spans="1:10" ht="24.95" customHeight="1">
      <c r="A10" s="3234">
        <v>8</v>
      </c>
      <c r="B10" s="3234">
        <v>2</v>
      </c>
      <c r="C10" s="3235">
        <v>-105</v>
      </c>
      <c r="D10" s="3276" t="str">
        <f t="shared" si="0"/>
        <v>2--105</v>
      </c>
      <c r="E10" s="3235">
        <v>35.380000000000003</v>
      </c>
      <c r="F10" s="3277">
        <v>17.55</v>
      </c>
      <c r="G10" s="3239" t="s">
        <v>4437</v>
      </c>
      <c r="H10" s="3234">
        <v>318420</v>
      </c>
      <c r="I10" s="3255">
        <v>9000</v>
      </c>
      <c r="J10" s="3240" t="s">
        <v>4438</v>
      </c>
    </row>
    <row r="11" spans="1:10" ht="24.95" customHeight="1">
      <c r="A11" s="3234">
        <v>9</v>
      </c>
      <c r="B11" s="3234">
        <v>2</v>
      </c>
      <c r="C11" s="3235">
        <v>-106</v>
      </c>
      <c r="D11" s="3276" t="str">
        <f t="shared" si="0"/>
        <v>2--106</v>
      </c>
      <c r="E11" s="3235">
        <v>37.07</v>
      </c>
      <c r="F11" s="3277">
        <v>18.39</v>
      </c>
      <c r="G11" s="3239" t="s">
        <v>4437</v>
      </c>
      <c r="H11" s="3234">
        <v>333630</v>
      </c>
      <c r="I11" s="3255">
        <v>9000</v>
      </c>
      <c r="J11" s="3240" t="s">
        <v>4438</v>
      </c>
    </row>
    <row r="12" spans="1:10" ht="24.95" customHeight="1">
      <c r="A12" s="3234">
        <v>10</v>
      </c>
      <c r="B12" s="3234">
        <v>2</v>
      </c>
      <c r="C12" s="3235">
        <v>-107</v>
      </c>
      <c r="D12" s="3276" t="str">
        <f t="shared" si="0"/>
        <v>2--107</v>
      </c>
      <c r="E12" s="3235">
        <v>29.15</v>
      </c>
      <c r="F12" s="3277">
        <v>14.46</v>
      </c>
      <c r="G12" s="3239" t="s">
        <v>4437</v>
      </c>
      <c r="H12" s="3234">
        <v>262350</v>
      </c>
      <c r="I12" s="3255">
        <v>9000</v>
      </c>
      <c r="J12" s="3240" t="s">
        <v>4438</v>
      </c>
    </row>
    <row r="13" spans="1:10" ht="24.95" customHeight="1">
      <c r="A13" s="3234">
        <v>11</v>
      </c>
      <c r="B13" s="3234">
        <v>2</v>
      </c>
      <c r="C13" s="3235">
        <v>-108</v>
      </c>
      <c r="D13" s="3276" t="str">
        <f t="shared" si="0"/>
        <v>2--108</v>
      </c>
      <c r="E13" s="3235">
        <v>33.020000000000003</v>
      </c>
      <c r="F13" s="3277">
        <v>16.38</v>
      </c>
      <c r="G13" s="3239" t="s">
        <v>4437</v>
      </c>
      <c r="H13" s="3234">
        <v>297180</v>
      </c>
      <c r="I13" s="3255">
        <v>9000</v>
      </c>
      <c r="J13" s="3240" t="s">
        <v>4438</v>
      </c>
    </row>
    <row r="14" spans="1:10" ht="24.95" customHeight="1">
      <c r="A14" s="3234">
        <v>12</v>
      </c>
      <c r="B14" s="3234">
        <v>2</v>
      </c>
      <c r="C14" s="3235">
        <v>-109</v>
      </c>
      <c r="D14" s="3276" t="str">
        <f t="shared" si="0"/>
        <v>2--109</v>
      </c>
      <c r="E14" s="3235">
        <v>24.98</v>
      </c>
      <c r="F14" s="3277">
        <v>12.39</v>
      </c>
      <c r="G14" s="3239" t="s">
        <v>4437</v>
      </c>
      <c r="H14" s="3234">
        <v>224820</v>
      </c>
      <c r="I14" s="3255">
        <v>9000</v>
      </c>
      <c r="J14" s="3240" t="s">
        <v>4438</v>
      </c>
    </row>
    <row r="15" spans="1:10" ht="24.95" customHeight="1">
      <c r="A15" s="3234">
        <v>13</v>
      </c>
      <c r="B15" s="3234">
        <v>2</v>
      </c>
      <c r="C15" s="3235">
        <v>-110</v>
      </c>
      <c r="D15" s="3276" t="str">
        <f t="shared" si="0"/>
        <v>2--110</v>
      </c>
      <c r="E15" s="3235">
        <v>22.3</v>
      </c>
      <c r="F15" s="3277">
        <v>11.06</v>
      </c>
      <c r="G15" s="3239" t="s">
        <v>4437</v>
      </c>
      <c r="H15" s="3234">
        <v>200700</v>
      </c>
      <c r="I15" s="3255">
        <v>9000</v>
      </c>
      <c r="J15" s="3240" t="s">
        <v>4438</v>
      </c>
    </row>
    <row r="16" spans="1:10" ht="24.95" customHeight="1">
      <c r="A16" s="3234">
        <v>14</v>
      </c>
      <c r="B16" s="3234">
        <v>3</v>
      </c>
      <c r="C16" s="3235">
        <v>-101</v>
      </c>
      <c r="D16" s="3276" t="str">
        <f t="shared" si="0"/>
        <v>3--101</v>
      </c>
      <c r="E16" s="3235">
        <v>16.05</v>
      </c>
      <c r="F16" s="3277">
        <v>8.4499999999999993</v>
      </c>
      <c r="G16" s="3239" t="s">
        <v>4437</v>
      </c>
      <c r="H16" s="3234">
        <v>144450</v>
      </c>
      <c r="I16" s="3255">
        <v>9000</v>
      </c>
      <c r="J16" s="3240" t="s">
        <v>4438</v>
      </c>
    </row>
    <row r="17" spans="1:10" ht="24.95" customHeight="1">
      <c r="A17" s="3234">
        <v>15</v>
      </c>
      <c r="B17" s="3234">
        <v>3</v>
      </c>
      <c r="C17" s="3235">
        <v>-102</v>
      </c>
      <c r="D17" s="3276" t="str">
        <f t="shared" si="0"/>
        <v>3--102</v>
      </c>
      <c r="E17" s="3235">
        <v>12.8</v>
      </c>
      <c r="F17" s="3277">
        <v>6.74</v>
      </c>
      <c r="G17" s="3239" t="s">
        <v>4437</v>
      </c>
      <c r="H17" s="3234">
        <v>115200</v>
      </c>
      <c r="I17" s="3255">
        <v>9000</v>
      </c>
      <c r="J17" s="3240" t="s">
        <v>4438</v>
      </c>
    </row>
    <row r="18" spans="1:10" ht="24.95" customHeight="1">
      <c r="A18" s="3234">
        <v>16</v>
      </c>
      <c r="B18" s="3234">
        <v>3</v>
      </c>
      <c r="C18" s="3235">
        <v>-103</v>
      </c>
      <c r="D18" s="3276" t="str">
        <f t="shared" si="0"/>
        <v>3--103</v>
      </c>
      <c r="E18" s="3235">
        <v>32.409999999999997</v>
      </c>
      <c r="F18" s="3277">
        <v>17.059999999999999</v>
      </c>
      <c r="G18" s="3239" t="s">
        <v>4437</v>
      </c>
      <c r="H18" s="3234">
        <v>291690</v>
      </c>
      <c r="I18" s="3255">
        <v>9000</v>
      </c>
      <c r="J18" s="3240" t="s">
        <v>4438</v>
      </c>
    </row>
    <row r="19" spans="1:10" ht="24.95" customHeight="1">
      <c r="A19" s="3234">
        <v>17</v>
      </c>
      <c r="B19" s="3234">
        <v>3</v>
      </c>
      <c r="C19" s="3235">
        <v>-104</v>
      </c>
      <c r="D19" s="3276" t="str">
        <f t="shared" si="0"/>
        <v>3--104</v>
      </c>
      <c r="E19" s="3235">
        <v>10.45</v>
      </c>
      <c r="F19" s="3277">
        <v>5.5</v>
      </c>
      <c r="G19" s="3239" t="s">
        <v>4437</v>
      </c>
      <c r="H19" s="3234">
        <v>94050</v>
      </c>
      <c r="I19" s="3255">
        <v>9000</v>
      </c>
      <c r="J19" s="3240" t="s">
        <v>4438</v>
      </c>
    </row>
    <row r="20" spans="1:10" ht="24.95" customHeight="1">
      <c r="A20" s="3234">
        <v>18</v>
      </c>
      <c r="B20" s="3234">
        <v>3</v>
      </c>
      <c r="C20" s="3235">
        <v>-105</v>
      </c>
      <c r="D20" s="3276" t="str">
        <f t="shared" si="0"/>
        <v>3--105</v>
      </c>
      <c r="E20" s="3235">
        <v>13.79</v>
      </c>
      <c r="F20" s="3277">
        <v>7.26</v>
      </c>
      <c r="G20" s="3239" t="s">
        <v>4437</v>
      </c>
      <c r="H20" s="3234">
        <v>124110</v>
      </c>
      <c r="I20" s="3255">
        <v>9000</v>
      </c>
      <c r="J20" s="3240" t="s">
        <v>4438</v>
      </c>
    </row>
    <row r="21" spans="1:10" ht="24.95" customHeight="1">
      <c r="A21" s="3234">
        <v>19</v>
      </c>
      <c r="B21" s="3234">
        <v>3</v>
      </c>
      <c r="C21" s="3235">
        <v>-106</v>
      </c>
      <c r="D21" s="3276" t="str">
        <f t="shared" si="0"/>
        <v>3--106</v>
      </c>
      <c r="E21" s="3235">
        <v>25.29</v>
      </c>
      <c r="F21" s="3277">
        <v>13.31</v>
      </c>
      <c r="G21" s="3239" t="s">
        <v>4437</v>
      </c>
      <c r="H21" s="3234">
        <v>227610</v>
      </c>
      <c r="I21" s="3255">
        <v>9000</v>
      </c>
      <c r="J21" s="3240" t="s">
        <v>4438</v>
      </c>
    </row>
    <row r="22" spans="1:10" ht="24.95" customHeight="1">
      <c r="A22" s="3234">
        <v>20</v>
      </c>
      <c r="B22" s="3234">
        <v>3</v>
      </c>
      <c r="C22" s="3235">
        <v>-107</v>
      </c>
      <c r="D22" s="3276" t="str">
        <f t="shared" si="0"/>
        <v>3--107</v>
      </c>
      <c r="E22" s="3235">
        <v>27.41</v>
      </c>
      <c r="F22" s="3277">
        <v>14.43</v>
      </c>
      <c r="G22" s="3239" t="s">
        <v>4437</v>
      </c>
      <c r="H22" s="3234">
        <v>246690</v>
      </c>
      <c r="I22" s="3255">
        <v>9000</v>
      </c>
      <c r="J22" s="3240" t="s">
        <v>4438</v>
      </c>
    </row>
    <row r="23" spans="1:10" ht="24.95" customHeight="1">
      <c r="A23" s="3234">
        <v>21</v>
      </c>
      <c r="B23" s="3234">
        <v>3</v>
      </c>
      <c r="C23" s="3235">
        <v>-108</v>
      </c>
      <c r="D23" s="3276" t="str">
        <f t="shared" si="0"/>
        <v>3--108</v>
      </c>
      <c r="E23" s="3235">
        <v>16.22</v>
      </c>
      <c r="F23" s="3277">
        <v>8.5399999999999991</v>
      </c>
      <c r="G23" s="3239" t="s">
        <v>4437</v>
      </c>
      <c r="H23" s="3234">
        <v>145980</v>
      </c>
      <c r="I23" s="3255">
        <v>9000</v>
      </c>
      <c r="J23" s="3240" t="s">
        <v>4438</v>
      </c>
    </row>
    <row r="24" spans="1:10" ht="24.95" customHeight="1">
      <c r="A24" s="3234">
        <v>22</v>
      </c>
      <c r="B24" s="3234">
        <v>3</v>
      </c>
      <c r="C24" s="3235">
        <v>-109</v>
      </c>
      <c r="D24" s="3276" t="str">
        <f t="shared" si="0"/>
        <v>3--109</v>
      </c>
      <c r="E24" s="3235">
        <v>16.149999999999999</v>
      </c>
      <c r="F24" s="3277">
        <v>8.5</v>
      </c>
      <c r="G24" s="3239" t="s">
        <v>4437</v>
      </c>
      <c r="H24" s="3234">
        <v>145350</v>
      </c>
      <c r="I24" s="3255">
        <v>9000</v>
      </c>
      <c r="J24" s="3240" t="s">
        <v>4438</v>
      </c>
    </row>
    <row r="25" spans="1:10" ht="24.95" customHeight="1">
      <c r="A25" s="3234">
        <v>23</v>
      </c>
      <c r="B25" s="3234">
        <v>3</v>
      </c>
      <c r="C25" s="3235">
        <v>-110</v>
      </c>
      <c r="D25" s="3276" t="str">
        <f t="shared" si="0"/>
        <v>3--110</v>
      </c>
      <c r="E25" s="3235">
        <v>38.36</v>
      </c>
      <c r="F25" s="3277">
        <v>20.190000000000001</v>
      </c>
      <c r="G25" s="3239" t="s">
        <v>4437</v>
      </c>
      <c r="H25" s="3234">
        <v>345240</v>
      </c>
      <c r="I25" s="3255">
        <v>9000</v>
      </c>
      <c r="J25" s="3240" t="s">
        <v>4438</v>
      </c>
    </row>
    <row r="26" spans="1:10" ht="24.95" customHeight="1">
      <c r="A26" s="3234">
        <v>24</v>
      </c>
      <c r="B26" s="3234">
        <v>3</v>
      </c>
      <c r="C26" s="3235">
        <v>-111</v>
      </c>
      <c r="D26" s="3276" t="str">
        <f t="shared" si="0"/>
        <v>3--111</v>
      </c>
      <c r="E26" s="3235">
        <v>12.6</v>
      </c>
      <c r="F26" s="3277">
        <v>6.63</v>
      </c>
      <c r="G26" s="3239" t="s">
        <v>4437</v>
      </c>
      <c r="H26" s="3234">
        <v>113400</v>
      </c>
      <c r="I26" s="3255">
        <v>9000</v>
      </c>
      <c r="J26" s="3240" t="s">
        <v>4438</v>
      </c>
    </row>
    <row r="27" spans="1:10" ht="24.95" customHeight="1">
      <c r="A27" s="3234">
        <v>25</v>
      </c>
      <c r="B27" s="3234">
        <v>3</v>
      </c>
      <c r="C27" s="3235">
        <v>-112</v>
      </c>
      <c r="D27" s="3276" t="str">
        <f t="shared" si="0"/>
        <v>3--112</v>
      </c>
      <c r="E27" s="3235">
        <v>16.239999999999998</v>
      </c>
      <c r="F27" s="3277">
        <v>8.5500000000000007</v>
      </c>
      <c r="G27" s="3239" t="s">
        <v>4437</v>
      </c>
      <c r="H27" s="3234">
        <v>146160</v>
      </c>
      <c r="I27" s="3255">
        <v>9000</v>
      </c>
      <c r="J27" s="3240" t="s">
        <v>4438</v>
      </c>
    </row>
    <row r="28" spans="1:10" ht="24.95" customHeight="1">
      <c r="A28" s="3234">
        <v>26</v>
      </c>
      <c r="B28" s="3234">
        <v>4</v>
      </c>
      <c r="C28" s="3235">
        <v>-101</v>
      </c>
      <c r="D28" s="3276" t="str">
        <f t="shared" si="0"/>
        <v>4--101</v>
      </c>
      <c r="E28" s="3235">
        <v>7.2</v>
      </c>
      <c r="F28" s="3277">
        <v>7.2</v>
      </c>
      <c r="G28" s="3239" t="s">
        <v>4437</v>
      </c>
      <c r="H28" s="3234">
        <v>64800</v>
      </c>
      <c r="I28" s="3255">
        <v>9000</v>
      </c>
      <c r="J28" s="3240" t="s">
        <v>4438</v>
      </c>
    </row>
    <row r="29" spans="1:10" ht="24.95" customHeight="1">
      <c r="A29" s="3234">
        <v>27</v>
      </c>
      <c r="B29" s="3234">
        <v>5</v>
      </c>
      <c r="C29" s="3235">
        <v>-101</v>
      </c>
      <c r="D29" s="3276" t="str">
        <f t="shared" si="0"/>
        <v>5--101</v>
      </c>
      <c r="E29" s="3277">
        <v>7.2</v>
      </c>
      <c r="F29" s="3277">
        <v>7.2</v>
      </c>
      <c r="G29" s="3239" t="s">
        <v>4437</v>
      </c>
      <c r="H29" s="3234">
        <v>64800</v>
      </c>
      <c r="I29" s="3255">
        <v>9000</v>
      </c>
      <c r="J29" s="3240" t="s">
        <v>4438</v>
      </c>
    </row>
    <row r="30" spans="1:10" ht="24.95" customHeight="1">
      <c r="A30" s="3234">
        <v>28</v>
      </c>
      <c r="B30" s="3234">
        <v>6</v>
      </c>
      <c r="C30" s="3235">
        <v>-101</v>
      </c>
      <c r="D30" s="3276" t="str">
        <f t="shared" si="0"/>
        <v>6--101</v>
      </c>
      <c r="E30" s="3235">
        <v>14.41</v>
      </c>
      <c r="F30" s="3277">
        <v>7.15</v>
      </c>
      <c r="G30" s="3239" t="s">
        <v>4437</v>
      </c>
      <c r="H30" s="3234">
        <v>129690</v>
      </c>
      <c r="I30" s="3255">
        <v>9000</v>
      </c>
      <c r="J30" s="3240" t="s">
        <v>4438</v>
      </c>
    </row>
    <row r="31" spans="1:10" ht="24.95" customHeight="1">
      <c r="A31" s="3234">
        <v>29</v>
      </c>
      <c r="B31" s="3234">
        <v>6</v>
      </c>
      <c r="C31" s="3235">
        <v>-102</v>
      </c>
      <c r="D31" s="3276" t="str">
        <f t="shared" si="0"/>
        <v>6--102</v>
      </c>
      <c r="E31" s="3235">
        <v>16.97</v>
      </c>
      <c r="F31" s="3277">
        <v>8.42</v>
      </c>
      <c r="G31" s="3239" t="s">
        <v>4437</v>
      </c>
      <c r="H31" s="3234">
        <v>152730</v>
      </c>
      <c r="I31" s="3255">
        <v>9000</v>
      </c>
      <c r="J31" s="3240" t="s">
        <v>4438</v>
      </c>
    </row>
    <row r="32" spans="1:10" ht="24.95" customHeight="1">
      <c r="A32" s="3234">
        <v>30</v>
      </c>
      <c r="B32" s="3234">
        <v>6</v>
      </c>
      <c r="C32" s="3235">
        <v>-103</v>
      </c>
      <c r="D32" s="3276" t="str">
        <f t="shared" si="0"/>
        <v>6--103</v>
      </c>
      <c r="E32" s="3235">
        <v>27.92</v>
      </c>
      <c r="F32" s="3277">
        <v>13.85</v>
      </c>
      <c r="G32" s="3239" t="s">
        <v>4437</v>
      </c>
      <c r="H32" s="3234">
        <v>251280</v>
      </c>
      <c r="I32" s="3255">
        <v>9000</v>
      </c>
      <c r="J32" s="3240" t="s">
        <v>4438</v>
      </c>
    </row>
    <row r="33" spans="1:10" ht="24.95" customHeight="1">
      <c r="A33" s="3234">
        <v>31</v>
      </c>
      <c r="B33" s="3234">
        <v>6</v>
      </c>
      <c r="C33" s="3235">
        <v>-104</v>
      </c>
      <c r="D33" s="3276" t="str">
        <f t="shared" si="0"/>
        <v>6--104</v>
      </c>
      <c r="E33" s="3235">
        <v>22.82</v>
      </c>
      <c r="F33" s="3277">
        <v>11.32</v>
      </c>
      <c r="G33" s="3239" t="s">
        <v>4437</v>
      </c>
      <c r="H33" s="3234">
        <v>205380</v>
      </c>
      <c r="I33" s="3255">
        <v>9000</v>
      </c>
      <c r="J33" s="3240" t="s">
        <v>4438</v>
      </c>
    </row>
    <row r="34" spans="1:10" ht="24.95" customHeight="1">
      <c r="A34" s="3234">
        <v>32</v>
      </c>
      <c r="B34" s="3234">
        <v>6</v>
      </c>
      <c r="C34" s="3235">
        <v>-105</v>
      </c>
      <c r="D34" s="3276" t="str">
        <f t="shared" si="0"/>
        <v>6--105</v>
      </c>
      <c r="E34" s="3235">
        <v>35.4</v>
      </c>
      <c r="F34" s="3277">
        <v>17.559999999999999</v>
      </c>
      <c r="G34" s="3239" t="s">
        <v>4437</v>
      </c>
      <c r="H34" s="3234">
        <v>318600</v>
      </c>
      <c r="I34" s="3255">
        <v>9000</v>
      </c>
      <c r="J34" s="3240" t="s">
        <v>4438</v>
      </c>
    </row>
    <row r="35" spans="1:10" ht="24.95" customHeight="1">
      <c r="A35" s="3234">
        <v>33</v>
      </c>
      <c r="B35" s="3234">
        <v>6</v>
      </c>
      <c r="C35" s="3235">
        <v>-106</v>
      </c>
      <c r="D35" s="3276" t="str">
        <f t="shared" si="0"/>
        <v>6--106</v>
      </c>
      <c r="E35" s="3235">
        <v>37.07</v>
      </c>
      <c r="F35" s="3277">
        <v>18.39</v>
      </c>
      <c r="G35" s="3239" t="s">
        <v>4437</v>
      </c>
      <c r="H35" s="3234">
        <v>333630</v>
      </c>
      <c r="I35" s="3255">
        <v>9000</v>
      </c>
      <c r="J35" s="3240" t="s">
        <v>4438</v>
      </c>
    </row>
    <row r="36" spans="1:10" ht="24.95" customHeight="1">
      <c r="A36" s="3234">
        <v>34</v>
      </c>
      <c r="B36" s="3234">
        <v>6</v>
      </c>
      <c r="C36" s="3235">
        <v>-107</v>
      </c>
      <c r="D36" s="3276" t="str">
        <f t="shared" si="0"/>
        <v>6--107</v>
      </c>
      <c r="E36" s="3235">
        <v>29.15</v>
      </c>
      <c r="F36" s="3277">
        <v>14.46</v>
      </c>
      <c r="G36" s="3239" t="s">
        <v>4437</v>
      </c>
      <c r="H36" s="3234">
        <v>262350</v>
      </c>
      <c r="I36" s="3255">
        <v>9000</v>
      </c>
      <c r="J36" s="3240" t="s">
        <v>4438</v>
      </c>
    </row>
    <row r="37" spans="1:10" ht="24.95" customHeight="1">
      <c r="A37" s="3234">
        <v>35</v>
      </c>
      <c r="B37" s="3234">
        <v>6</v>
      </c>
      <c r="C37" s="3235">
        <v>-108</v>
      </c>
      <c r="D37" s="3276" t="str">
        <f t="shared" si="0"/>
        <v>6--108</v>
      </c>
      <c r="E37" s="3235">
        <v>33.020000000000003</v>
      </c>
      <c r="F37" s="3277">
        <v>16.38</v>
      </c>
      <c r="G37" s="3239" t="s">
        <v>4437</v>
      </c>
      <c r="H37" s="3234">
        <v>297180</v>
      </c>
      <c r="I37" s="3255">
        <v>9000</v>
      </c>
      <c r="J37" s="3240" t="s">
        <v>4438</v>
      </c>
    </row>
    <row r="38" spans="1:10" ht="24.95" customHeight="1">
      <c r="A38" s="3234">
        <v>36</v>
      </c>
      <c r="B38" s="3234">
        <v>6</v>
      </c>
      <c r="C38" s="3235">
        <v>-109</v>
      </c>
      <c r="D38" s="3276" t="str">
        <f t="shared" si="0"/>
        <v>6--109</v>
      </c>
      <c r="E38" s="3235">
        <v>24.97</v>
      </c>
      <c r="F38" s="3277">
        <v>12.39</v>
      </c>
      <c r="G38" s="3239" t="s">
        <v>4437</v>
      </c>
      <c r="H38" s="3234">
        <v>224730</v>
      </c>
      <c r="I38" s="3255">
        <v>9000</v>
      </c>
      <c r="J38" s="3240" t="s">
        <v>4438</v>
      </c>
    </row>
    <row r="39" spans="1:10" ht="24.95" customHeight="1">
      <c r="A39" s="3234">
        <v>37</v>
      </c>
      <c r="B39" s="3234">
        <v>6</v>
      </c>
      <c r="C39" s="3235">
        <v>-110</v>
      </c>
      <c r="D39" s="3276" t="str">
        <f t="shared" si="0"/>
        <v>6--110</v>
      </c>
      <c r="E39" s="3235">
        <v>22.29</v>
      </c>
      <c r="F39" s="3277">
        <v>11.06</v>
      </c>
      <c r="G39" s="3239" t="s">
        <v>4437</v>
      </c>
      <c r="H39" s="3234">
        <v>200610</v>
      </c>
      <c r="I39" s="3255">
        <v>9000</v>
      </c>
      <c r="J39" s="3240" t="s">
        <v>4438</v>
      </c>
    </row>
    <row r="40" spans="1:10" ht="24.95" customHeight="1">
      <c r="A40" s="3234">
        <v>38</v>
      </c>
      <c r="B40" s="3234">
        <v>7</v>
      </c>
      <c r="C40" s="3235">
        <v>-101</v>
      </c>
      <c r="D40" s="3276" t="str">
        <f t="shared" si="0"/>
        <v>7--101</v>
      </c>
      <c r="E40" s="3235">
        <v>16.09</v>
      </c>
      <c r="F40" s="3277">
        <v>8.4499999999999993</v>
      </c>
      <c r="G40" s="3239" t="s">
        <v>4437</v>
      </c>
      <c r="H40" s="3234">
        <v>144810</v>
      </c>
      <c r="I40" s="3255">
        <v>9000</v>
      </c>
      <c r="J40" s="3240" t="s">
        <v>4438</v>
      </c>
    </row>
    <row r="41" spans="1:10" ht="24.95" customHeight="1">
      <c r="A41" s="3234">
        <v>39</v>
      </c>
      <c r="B41" s="3234">
        <v>7</v>
      </c>
      <c r="C41" s="3235">
        <v>-102</v>
      </c>
      <c r="D41" s="3276" t="str">
        <f t="shared" si="0"/>
        <v>7--102</v>
      </c>
      <c r="E41" s="3235">
        <v>12.83</v>
      </c>
      <c r="F41" s="3277">
        <v>6.74</v>
      </c>
      <c r="G41" s="3239" t="s">
        <v>4437</v>
      </c>
      <c r="H41" s="3234">
        <v>115470</v>
      </c>
      <c r="I41" s="3255">
        <v>9000</v>
      </c>
      <c r="J41" s="3240" t="s">
        <v>4438</v>
      </c>
    </row>
    <row r="42" spans="1:10" ht="24.95" customHeight="1">
      <c r="A42" s="3234">
        <v>40</v>
      </c>
      <c r="B42" s="3234">
        <v>7</v>
      </c>
      <c r="C42" s="3235">
        <v>-103</v>
      </c>
      <c r="D42" s="3276" t="str">
        <f t="shared" si="0"/>
        <v>7--103</v>
      </c>
      <c r="E42" s="3235">
        <v>32.479999999999997</v>
      </c>
      <c r="F42" s="3277">
        <v>17.059999999999999</v>
      </c>
      <c r="G42" s="3239" t="s">
        <v>4437</v>
      </c>
      <c r="H42" s="3234">
        <v>292320</v>
      </c>
      <c r="I42" s="3255">
        <v>9000</v>
      </c>
      <c r="J42" s="3240" t="s">
        <v>4438</v>
      </c>
    </row>
    <row r="43" spans="1:10" ht="24.95" customHeight="1">
      <c r="A43" s="3234">
        <v>41</v>
      </c>
      <c r="B43" s="3234">
        <v>7</v>
      </c>
      <c r="C43" s="3235">
        <v>-104</v>
      </c>
      <c r="D43" s="3276" t="str">
        <f t="shared" si="0"/>
        <v>7--104</v>
      </c>
      <c r="E43" s="3235">
        <v>10.47</v>
      </c>
      <c r="F43" s="3277">
        <v>5.5</v>
      </c>
      <c r="G43" s="3239" t="s">
        <v>4437</v>
      </c>
      <c r="H43" s="3234">
        <v>94230</v>
      </c>
      <c r="I43" s="3255">
        <v>9000</v>
      </c>
      <c r="J43" s="3240" t="s">
        <v>4438</v>
      </c>
    </row>
    <row r="44" spans="1:10" ht="24.95" customHeight="1">
      <c r="A44" s="3234">
        <v>42</v>
      </c>
      <c r="B44" s="3234">
        <v>7</v>
      </c>
      <c r="C44" s="3235">
        <v>-105</v>
      </c>
      <c r="D44" s="3276" t="str">
        <f t="shared" si="0"/>
        <v>7--105</v>
      </c>
      <c r="E44" s="3235">
        <v>13.82</v>
      </c>
      <c r="F44" s="3277">
        <v>7.26</v>
      </c>
      <c r="G44" s="3239" t="s">
        <v>4437</v>
      </c>
      <c r="H44" s="3234">
        <v>124380</v>
      </c>
      <c r="I44" s="3255">
        <v>9000</v>
      </c>
      <c r="J44" s="3240" t="s">
        <v>4438</v>
      </c>
    </row>
    <row r="45" spans="1:10" ht="24.95" customHeight="1">
      <c r="A45" s="3234">
        <v>43</v>
      </c>
      <c r="B45" s="3234">
        <v>7</v>
      </c>
      <c r="C45" s="3235">
        <v>-106</v>
      </c>
      <c r="D45" s="3276" t="str">
        <f t="shared" si="0"/>
        <v>7--106</v>
      </c>
      <c r="E45" s="3235">
        <v>25.34</v>
      </c>
      <c r="F45" s="3277">
        <v>13.31</v>
      </c>
      <c r="G45" s="3239" t="s">
        <v>4437</v>
      </c>
      <c r="H45" s="3234">
        <v>228060</v>
      </c>
      <c r="I45" s="3255">
        <v>9000</v>
      </c>
      <c r="J45" s="3240" t="s">
        <v>4438</v>
      </c>
    </row>
    <row r="46" spans="1:10" ht="24.95" customHeight="1">
      <c r="A46" s="3234">
        <v>44</v>
      </c>
      <c r="B46" s="3234">
        <v>7</v>
      </c>
      <c r="C46" s="3235">
        <v>-107</v>
      </c>
      <c r="D46" s="3276" t="str">
        <f t="shared" si="0"/>
        <v>7--107</v>
      </c>
      <c r="E46" s="3235">
        <v>27.47</v>
      </c>
      <c r="F46" s="3277">
        <v>14.43</v>
      </c>
      <c r="G46" s="3239" t="s">
        <v>4437</v>
      </c>
      <c r="H46" s="3234">
        <v>247230</v>
      </c>
      <c r="I46" s="3255">
        <v>9000</v>
      </c>
      <c r="J46" s="3240" t="s">
        <v>4438</v>
      </c>
    </row>
    <row r="47" spans="1:10" ht="24.95" customHeight="1">
      <c r="A47" s="3234">
        <v>45</v>
      </c>
      <c r="B47" s="3234">
        <v>7</v>
      </c>
      <c r="C47" s="3235">
        <v>-108</v>
      </c>
      <c r="D47" s="3276" t="str">
        <f t="shared" si="0"/>
        <v>7--108</v>
      </c>
      <c r="E47" s="3235">
        <v>16.260000000000002</v>
      </c>
      <c r="F47" s="3277">
        <v>8.5399999999999991</v>
      </c>
      <c r="G47" s="3239" t="s">
        <v>4437</v>
      </c>
      <c r="H47" s="3234">
        <v>146340</v>
      </c>
      <c r="I47" s="3255">
        <v>9000</v>
      </c>
      <c r="J47" s="3240" t="s">
        <v>4438</v>
      </c>
    </row>
    <row r="48" spans="1:10" ht="24.95" customHeight="1">
      <c r="A48" s="3234">
        <v>46</v>
      </c>
      <c r="B48" s="3234">
        <v>7</v>
      </c>
      <c r="C48" s="3235">
        <v>-109</v>
      </c>
      <c r="D48" s="3276" t="str">
        <f t="shared" si="0"/>
        <v>7--109</v>
      </c>
      <c r="E48" s="3235">
        <v>16.18</v>
      </c>
      <c r="F48" s="3277">
        <v>8.5</v>
      </c>
      <c r="G48" s="3239" t="s">
        <v>4437</v>
      </c>
      <c r="H48" s="3234">
        <v>145620</v>
      </c>
      <c r="I48" s="3255">
        <v>9000</v>
      </c>
      <c r="J48" s="3240" t="s">
        <v>4438</v>
      </c>
    </row>
    <row r="49" spans="1:10" ht="24.95" customHeight="1">
      <c r="A49" s="3234">
        <v>47</v>
      </c>
      <c r="B49" s="3234">
        <v>7</v>
      </c>
      <c r="C49" s="3235">
        <v>-110</v>
      </c>
      <c r="D49" s="3276" t="str">
        <f t="shared" si="0"/>
        <v>7--110</v>
      </c>
      <c r="E49" s="3235">
        <v>38.44</v>
      </c>
      <c r="F49" s="3277">
        <v>20.190000000000001</v>
      </c>
      <c r="G49" s="3239" t="s">
        <v>4437</v>
      </c>
      <c r="H49" s="3234">
        <v>345960</v>
      </c>
      <c r="I49" s="3255">
        <v>9000</v>
      </c>
      <c r="J49" s="3240" t="s">
        <v>4438</v>
      </c>
    </row>
    <row r="50" spans="1:10" ht="24.95" customHeight="1">
      <c r="A50" s="3234">
        <v>48</v>
      </c>
      <c r="B50" s="3234">
        <v>7</v>
      </c>
      <c r="C50" s="3235">
        <v>-111</v>
      </c>
      <c r="D50" s="3276" t="str">
        <f t="shared" si="0"/>
        <v>7--111</v>
      </c>
      <c r="E50" s="3235">
        <v>12.62</v>
      </c>
      <c r="F50" s="3277">
        <v>6.63</v>
      </c>
      <c r="G50" s="3239" t="s">
        <v>4437</v>
      </c>
      <c r="H50" s="3234">
        <v>113580</v>
      </c>
      <c r="I50" s="3255">
        <v>9000</v>
      </c>
      <c r="J50" s="3240" t="s">
        <v>4438</v>
      </c>
    </row>
    <row r="51" spans="1:10" ht="24.95" customHeight="1">
      <c r="A51" s="3234">
        <v>49</v>
      </c>
      <c r="B51" s="3234">
        <v>7</v>
      </c>
      <c r="C51" s="3235">
        <v>-112</v>
      </c>
      <c r="D51" s="3276" t="str">
        <f t="shared" si="0"/>
        <v>7--112</v>
      </c>
      <c r="E51" s="3235">
        <v>16.28</v>
      </c>
      <c r="F51" s="3277">
        <v>8.5500000000000007</v>
      </c>
      <c r="G51" s="3239" t="s">
        <v>4437</v>
      </c>
      <c r="H51" s="3234">
        <v>146520</v>
      </c>
      <c r="I51" s="3255">
        <v>9000</v>
      </c>
      <c r="J51" s="3240" t="s">
        <v>4438</v>
      </c>
    </row>
    <row r="52" spans="1:10" ht="24.95" customHeight="1">
      <c r="A52" s="3234">
        <v>50</v>
      </c>
      <c r="B52" s="3234">
        <v>8</v>
      </c>
      <c r="C52" s="3235">
        <v>-101</v>
      </c>
      <c r="D52" s="3276" t="str">
        <f t="shared" si="0"/>
        <v>8--101</v>
      </c>
      <c r="E52" s="3235">
        <v>11.11</v>
      </c>
      <c r="F52" s="3277">
        <v>11.11</v>
      </c>
      <c r="G52" s="3239" t="s">
        <v>4437</v>
      </c>
      <c r="H52" s="3234">
        <v>99990</v>
      </c>
      <c r="I52" s="3255">
        <v>9000</v>
      </c>
      <c r="J52" s="3240" t="s">
        <v>4438</v>
      </c>
    </row>
    <row r="53" spans="1:10" ht="24.95" customHeight="1">
      <c r="A53" s="3234">
        <v>51</v>
      </c>
      <c r="B53" s="3234">
        <v>8</v>
      </c>
      <c r="C53" s="3235">
        <v>-102</v>
      </c>
      <c r="D53" s="3276" t="str">
        <f t="shared" si="0"/>
        <v>8--102</v>
      </c>
      <c r="E53" s="3235">
        <v>3.9</v>
      </c>
      <c r="F53" s="3277">
        <v>3.9</v>
      </c>
      <c r="G53" s="3239" t="s">
        <v>4437</v>
      </c>
      <c r="H53" s="3234">
        <v>35100</v>
      </c>
      <c r="I53" s="3255">
        <v>9000</v>
      </c>
      <c r="J53" s="3240" t="s">
        <v>4438</v>
      </c>
    </row>
    <row r="54" spans="1:10" ht="24.95" customHeight="1">
      <c r="A54" s="3278">
        <v>52</v>
      </c>
      <c r="B54" s="3234">
        <v>8</v>
      </c>
      <c r="C54" s="3235">
        <v>-103</v>
      </c>
      <c r="D54" s="3276" t="str">
        <f t="shared" si="0"/>
        <v>8--103</v>
      </c>
      <c r="E54" s="3235">
        <v>5.85</v>
      </c>
      <c r="F54" s="3277">
        <v>5.85</v>
      </c>
      <c r="G54" s="3239" t="s">
        <v>4437</v>
      </c>
      <c r="H54" s="3234">
        <v>52650</v>
      </c>
      <c r="I54" s="3255">
        <v>9000</v>
      </c>
      <c r="J54" s="3240" t="s">
        <v>4438</v>
      </c>
    </row>
    <row r="55" spans="1:10" ht="24.95" customHeight="1">
      <c r="A55" s="3234">
        <v>53</v>
      </c>
      <c r="B55" s="3234">
        <v>8</v>
      </c>
      <c r="C55" s="3235">
        <v>-104</v>
      </c>
      <c r="D55" s="3276" t="str">
        <f t="shared" si="0"/>
        <v>8--104</v>
      </c>
      <c r="E55" s="3235">
        <v>5.4</v>
      </c>
      <c r="F55" s="3277">
        <v>5.4</v>
      </c>
      <c r="G55" s="3239" t="s">
        <v>4437</v>
      </c>
      <c r="H55" s="3234">
        <v>48600</v>
      </c>
      <c r="I55" s="3255">
        <v>9000</v>
      </c>
      <c r="J55" s="3240" t="s">
        <v>4438</v>
      </c>
    </row>
    <row r="56" spans="1:10" ht="24.95" customHeight="1">
      <c r="A56" s="3234">
        <v>54</v>
      </c>
      <c r="B56" s="3234">
        <v>9</v>
      </c>
      <c r="C56" s="3235">
        <v>-101</v>
      </c>
      <c r="D56" s="3276" t="str">
        <f t="shared" si="0"/>
        <v>9--101</v>
      </c>
      <c r="E56" s="3235">
        <v>5.4</v>
      </c>
      <c r="F56" s="3277">
        <v>5.4</v>
      </c>
      <c r="G56" s="3239" t="s">
        <v>4437</v>
      </c>
      <c r="H56" s="3234">
        <v>48600</v>
      </c>
      <c r="I56" s="3255">
        <v>9000</v>
      </c>
      <c r="J56" s="3240" t="s">
        <v>4438</v>
      </c>
    </row>
    <row r="57" spans="1:10" ht="24.95" customHeight="1">
      <c r="A57" s="3234">
        <v>55</v>
      </c>
      <c r="B57" s="3234">
        <v>9</v>
      </c>
      <c r="C57" s="3235">
        <v>-102</v>
      </c>
      <c r="D57" s="3276" t="str">
        <f t="shared" si="0"/>
        <v>9--102</v>
      </c>
      <c r="E57" s="3235">
        <v>3.23</v>
      </c>
      <c r="F57" s="3277">
        <v>3.23</v>
      </c>
      <c r="G57" s="3239" t="s">
        <v>4437</v>
      </c>
      <c r="H57" s="3234">
        <v>29070</v>
      </c>
      <c r="I57" s="3255">
        <v>9000</v>
      </c>
      <c r="J57" s="3240" t="s">
        <v>4438</v>
      </c>
    </row>
    <row r="58" spans="1:10" ht="24.95" customHeight="1">
      <c r="A58" s="3234">
        <v>56</v>
      </c>
      <c r="B58" s="3234">
        <v>9</v>
      </c>
      <c r="C58" s="3235">
        <v>-103</v>
      </c>
      <c r="D58" s="3276" t="str">
        <f t="shared" si="0"/>
        <v>9--103</v>
      </c>
      <c r="E58" s="3235">
        <v>5.34</v>
      </c>
      <c r="F58" s="3277">
        <v>5.34</v>
      </c>
      <c r="G58" s="3239" t="s">
        <v>4437</v>
      </c>
      <c r="H58" s="3234">
        <v>48060</v>
      </c>
      <c r="I58" s="3255">
        <v>9000</v>
      </c>
      <c r="J58" s="3240" t="s">
        <v>4438</v>
      </c>
    </row>
    <row r="59" spans="1:10" ht="24.95" customHeight="1">
      <c r="A59" s="3234">
        <v>57</v>
      </c>
      <c r="B59" s="3234">
        <v>10</v>
      </c>
      <c r="C59" s="3235">
        <v>-101</v>
      </c>
      <c r="D59" s="3276" t="str">
        <f t="shared" si="0"/>
        <v>10--101</v>
      </c>
      <c r="E59" s="3235">
        <v>14.41</v>
      </c>
      <c r="F59" s="3277">
        <v>7.15</v>
      </c>
      <c r="G59" s="3239" t="s">
        <v>4437</v>
      </c>
      <c r="H59" s="3234">
        <v>129690</v>
      </c>
      <c r="I59" s="3255">
        <v>9000</v>
      </c>
      <c r="J59" s="3240" t="s">
        <v>4438</v>
      </c>
    </row>
    <row r="60" spans="1:10" ht="24.95" customHeight="1">
      <c r="A60" s="3234">
        <v>58</v>
      </c>
      <c r="B60" s="3234">
        <v>10</v>
      </c>
      <c r="C60" s="3235">
        <v>-102</v>
      </c>
      <c r="D60" s="3276" t="str">
        <f t="shared" si="0"/>
        <v>10--102</v>
      </c>
      <c r="E60" s="3235">
        <v>16.97</v>
      </c>
      <c r="F60" s="3277">
        <v>8.42</v>
      </c>
      <c r="G60" s="3239" t="s">
        <v>4437</v>
      </c>
      <c r="H60" s="3234">
        <v>152730</v>
      </c>
      <c r="I60" s="3255">
        <v>9000</v>
      </c>
      <c r="J60" s="3240" t="s">
        <v>4438</v>
      </c>
    </row>
    <row r="61" spans="1:10" ht="24.95" customHeight="1">
      <c r="A61" s="3234">
        <v>59</v>
      </c>
      <c r="B61" s="3234">
        <v>10</v>
      </c>
      <c r="C61" s="3235">
        <v>-103</v>
      </c>
      <c r="D61" s="3276" t="str">
        <f t="shared" si="0"/>
        <v>10--103</v>
      </c>
      <c r="E61" s="3235">
        <v>27.92</v>
      </c>
      <c r="F61" s="3277">
        <v>13.85</v>
      </c>
      <c r="G61" s="3239" t="s">
        <v>4437</v>
      </c>
      <c r="H61" s="3234">
        <v>251280</v>
      </c>
      <c r="I61" s="3255">
        <v>9000</v>
      </c>
      <c r="J61" s="3240" t="s">
        <v>4438</v>
      </c>
    </row>
    <row r="62" spans="1:10" ht="24.95" customHeight="1">
      <c r="A62" s="3234">
        <v>60</v>
      </c>
      <c r="B62" s="3234">
        <v>10</v>
      </c>
      <c r="C62" s="3235">
        <v>-104</v>
      </c>
      <c r="D62" s="3276" t="str">
        <f t="shared" si="0"/>
        <v>10--104</v>
      </c>
      <c r="E62" s="3235">
        <v>22.82</v>
      </c>
      <c r="F62" s="3277">
        <v>11.32</v>
      </c>
      <c r="G62" s="3239" t="s">
        <v>4437</v>
      </c>
      <c r="H62" s="3234">
        <v>205380</v>
      </c>
      <c r="I62" s="3255">
        <v>9000</v>
      </c>
      <c r="J62" s="3240" t="s">
        <v>4438</v>
      </c>
    </row>
    <row r="63" spans="1:10" ht="24.95" customHeight="1">
      <c r="A63" s="3234">
        <v>61</v>
      </c>
      <c r="B63" s="3234">
        <v>10</v>
      </c>
      <c r="C63" s="3235">
        <v>-105</v>
      </c>
      <c r="D63" s="3276" t="str">
        <f t="shared" si="0"/>
        <v>10--105</v>
      </c>
      <c r="E63" s="3235">
        <v>35.4</v>
      </c>
      <c r="F63" s="3277">
        <v>17.559999999999999</v>
      </c>
      <c r="G63" s="3239" t="s">
        <v>4437</v>
      </c>
      <c r="H63" s="3234">
        <v>318600</v>
      </c>
      <c r="I63" s="3255">
        <v>9000</v>
      </c>
      <c r="J63" s="3240" t="s">
        <v>4438</v>
      </c>
    </row>
    <row r="64" spans="1:10" ht="24.95" customHeight="1">
      <c r="A64" s="3234">
        <v>62</v>
      </c>
      <c r="B64" s="3234">
        <v>10</v>
      </c>
      <c r="C64" s="3235">
        <v>-106</v>
      </c>
      <c r="D64" s="3276" t="str">
        <f t="shared" si="0"/>
        <v>10--106</v>
      </c>
      <c r="E64" s="3235">
        <v>37.07</v>
      </c>
      <c r="F64" s="3277">
        <v>18.39</v>
      </c>
      <c r="G64" s="3239" t="s">
        <v>4437</v>
      </c>
      <c r="H64" s="3234">
        <v>333630</v>
      </c>
      <c r="I64" s="3255">
        <v>9000</v>
      </c>
      <c r="J64" s="3240" t="s">
        <v>4438</v>
      </c>
    </row>
    <row r="65" spans="1:10" ht="24.95" customHeight="1">
      <c r="A65" s="3234">
        <v>63</v>
      </c>
      <c r="B65" s="3234">
        <v>10</v>
      </c>
      <c r="C65" s="3235">
        <v>-107</v>
      </c>
      <c r="D65" s="3276" t="str">
        <f t="shared" si="0"/>
        <v>10--107</v>
      </c>
      <c r="E65" s="3235">
        <v>29.15</v>
      </c>
      <c r="F65" s="3277">
        <v>14.46</v>
      </c>
      <c r="G65" s="3239" t="s">
        <v>4437</v>
      </c>
      <c r="H65" s="3234">
        <v>262350</v>
      </c>
      <c r="I65" s="3255">
        <v>9000</v>
      </c>
      <c r="J65" s="3240" t="s">
        <v>4438</v>
      </c>
    </row>
    <row r="66" spans="1:10" ht="24.95" customHeight="1">
      <c r="A66" s="3234">
        <v>64</v>
      </c>
      <c r="B66" s="3234">
        <v>10</v>
      </c>
      <c r="C66" s="3235">
        <v>-108</v>
      </c>
      <c r="D66" s="3276" t="str">
        <f t="shared" si="0"/>
        <v>10--108</v>
      </c>
      <c r="E66" s="3235">
        <v>33.020000000000003</v>
      </c>
      <c r="F66" s="3277">
        <v>16.38</v>
      </c>
      <c r="G66" s="3239" t="s">
        <v>4437</v>
      </c>
      <c r="H66" s="3234">
        <v>297180</v>
      </c>
      <c r="I66" s="3255">
        <v>9000</v>
      </c>
      <c r="J66" s="3240" t="s">
        <v>4438</v>
      </c>
    </row>
    <row r="67" spans="1:10" ht="24.95" customHeight="1">
      <c r="A67" s="3234">
        <v>65</v>
      </c>
      <c r="B67" s="3234">
        <v>10</v>
      </c>
      <c r="C67" s="3235">
        <v>-109</v>
      </c>
      <c r="D67" s="3276" t="str">
        <f t="shared" si="0"/>
        <v>10--109</v>
      </c>
      <c r="E67" s="3235">
        <v>24.97</v>
      </c>
      <c r="F67" s="3277">
        <v>12.39</v>
      </c>
      <c r="G67" s="3239" t="s">
        <v>4437</v>
      </c>
      <c r="H67" s="3234">
        <v>224730</v>
      </c>
      <c r="I67" s="3255">
        <v>9000</v>
      </c>
      <c r="J67" s="3240" t="s">
        <v>4438</v>
      </c>
    </row>
    <row r="68" spans="1:10" ht="24.95" customHeight="1">
      <c r="A68" s="3234">
        <v>66</v>
      </c>
      <c r="B68" s="3234">
        <v>10</v>
      </c>
      <c r="C68" s="3235">
        <v>-110</v>
      </c>
      <c r="D68" s="3276" t="str">
        <f t="shared" ref="D68:D119" si="1">CONCATENATE(B68,"-",C68)</f>
        <v>10--110</v>
      </c>
      <c r="E68" s="3235">
        <v>22.29</v>
      </c>
      <c r="F68" s="3277">
        <v>11.06</v>
      </c>
      <c r="G68" s="3239" t="s">
        <v>4437</v>
      </c>
      <c r="H68" s="3234">
        <v>200610</v>
      </c>
      <c r="I68" s="3255">
        <v>9000</v>
      </c>
      <c r="J68" s="3240" t="s">
        <v>4438</v>
      </c>
    </row>
    <row r="69" spans="1:10" ht="24.95" customHeight="1">
      <c r="A69" s="3234">
        <v>67</v>
      </c>
      <c r="B69" s="3234">
        <v>11</v>
      </c>
      <c r="C69" s="3235">
        <v>-101</v>
      </c>
      <c r="D69" s="3276" t="str">
        <f t="shared" si="1"/>
        <v>11--101</v>
      </c>
      <c r="E69" s="3235">
        <v>16.100000000000001</v>
      </c>
      <c r="F69" s="3277">
        <v>8.4499999999999993</v>
      </c>
      <c r="G69" s="3239" t="s">
        <v>4437</v>
      </c>
      <c r="H69" s="3234">
        <v>144900</v>
      </c>
      <c r="I69" s="3255">
        <v>9000</v>
      </c>
      <c r="J69" s="3240" t="s">
        <v>4438</v>
      </c>
    </row>
    <row r="70" spans="1:10" ht="24.95" customHeight="1">
      <c r="A70" s="3234">
        <v>68</v>
      </c>
      <c r="B70" s="3234">
        <v>11</v>
      </c>
      <c r="C70" s="3235">
        <v>-102</v>
      </c>
      <c r="D70" s="3276" t="str">
        <f t="shared" si="1"/>
        <v>11--102</v>
      </c>
      <c r="E70" s="3235">
        <v>12.84</v>
      </c>
      <c r="F70" s="3277">
        <v>6.74</v>
      </c>
      <c r="G70" s="3239" t="s">
        <v>4437</v>
      </c>
      <c r="H70" s="3234">
        <v>115560</v>
      </c>
      <c r="I70" s="3255">
        <v>9000</v>
      </c>
      <c r="J70" s="3240" t="s">
        <v>4438</v>
      </c>
    </row>
    <row r="71" spans="1:10" ht="24.95" customHeight="1">
      <c r="A71" s="3234">
        <v>69</v>
      </c>
      <c r="B71" s="3234">
        <v>11</v>
      </c>
      <c r="C71" s="3235">
        <v>-103</v>
      </c>
      <c r="D71" s="3276" t="str">
        <f t="shared" si="1"/>
        <v>11--103</v>
      </c>
      <c r="E71" s="3235">
        <v>32.51</v>
      </c>
      <c r="F71" s="3277">
        <v>17.059999999999999</v>
      </c>
      <c r="G71" s="3239" t="s">
        <v>4437</v>
      </c>
      <c r="H71" s="3234">
        <v>292590</v>
      </c>
      <c r="I71" s="3255">
        <v>9000</v>
      </c>
      <c r="J71" s="3240" t="s">
        <v>4438</v>
      </c>
    </row>
    <row r="72" spans="1:10" ht="24.95" customHeight="1">
      <c r="A72" s="3234">
        <v>70</v>
      </c>
      <c r="B72" s="3234">
        <v>11</v>
      </c>
      <c r="C72" s="3235">
        <v>-104</v>
      </c>
      <c r="D72" s="3276" t="str">
        <f t="shared" si="1"/>
        <v>11--104</v>
      </c>
      <c r="E72" s="3235">
        <v>10.48</v>
      </c>
      <c r="F72" s="3277">
        <v>5.5</v>
      </c>
      <c r="G72" s="3239" t="s">
        <v>4437</v>
      </c>
      <c r="H72" s="3234">
        <v>94320</v>
      </c>
      <c r="I72" s="3255">
        <v>9000</v>
      </c>
      <c r="J72" s="3240" t="s">
        <v>4438</v>
      </c>
    </row>
    <row r="73" spans="1:10" ht="24.95" customHeight="1">
      <c r="A73" s="3234">
        <v>71</v>
      </c>
      <c r="B73" s="3234">
        <v>11</v>
      </c>
      <c r="C73" s="3235">
        <v>-105</v>
      </c>
      <c r="D73" s="3276" t="str">
        <f t="shared" si="1"/>
        <v>11--105</v>
      </c>
      <c r="E73" s="3235">
        <v>13.83</v>
      </c>
      <c r="F73" s="3277">
        <v>7.26</v>
      </c>
      <c r="G73" s="3239" t="s">
        <v>4437</v>
      </c>
      <c r="H73" s="3234">
        <v>124470</v>
      </c>
      <c r="I73" s="3255">
        <v>9000</v>
      </c>
      <c r="J73" s="3240" t="s">
        <v>4438</v>
      </c>
    </row>
    <row r="74" spans="1:10" ht="24.95" customHeight="1">
      <c r="A74" s="3234">
        <v>72</v>
      </c>
      <c r="B74" s="3234">
        <v>11</v>
      </c>
      <c r="C74" s="3235">
        <v>-106</v>
      </c>
      <c r="D74" s="3276" t="str">
        <f t="shared" si="1"/>
        <v>11--106</v>
      </c>
      <c r="E74" s="3235">
        <v>25.36</v>
      </c>
      <c r="F74" s="3277">
        <v>13.31</v>
      </c>
      <c r="G74" s="3239" t="s">
        <v>4437</v>
      </c>
      <c r="H74" s="3234">
        <v>228240</v>
      </c>
      <c r="I74" s="3255">
        <v>9000</v>
      </c>
      <c r="J74" s="3240" t="s">
        <v>4438</v>
      </c>
    </row>
    <row r="75" spans="1:10" ht="24.95" customHeight="1">
      <c r="A75" s="3234">
        <v>73</v>
      </c>
      <c r="B75" s="3234">
        <v>11</v>
      </c>
      <c r="C75" s="3235">
        <v>-107</v>
      </c>
      <c r="D75" s="3276" t="str">
        <f t="shared" si="1"/>
        <v>11--107</v>
      </c>
      <c r="E75" s="3235">
        <v>27.5</v>
      </c>
      <c r="F75" s="3277">
        <v>14.43</v>
      </c>
      <c r="G75" s="3239" t="s">
        <v>4437</v>
      </c>
      <c r="H75" s="3234">
        <v>247500</v>
      </c>
      <c r="I75" s="3255">
        <v>9000</v>
      </c>
      <c r="J75" s="3240" t="s">
        <v>4438</v>
      </c>
    </row>
    <row r="76" spans="1:10" ht="24.95" customHeight="1">
      <c r="A76" s="3234">
        <v>74</v>
      </c>
      <c r="B76" s="3234">
        <v>11</v>
      </c>
      <c r="C76" s="3235">
        <v>-108</v>
      </c>
      <c r="D76" s="3276" t="str">
        <f t="shared" si="1"/>
        <v>11--108</v>
      </c>
      <c r="E76" s="3235">
        <v>16.27</v>
      </c>
      <c r="F76" s="3277">
        <v>8.5399999999999991</v>
      </c>
      <c r="G76" s="3239" t="s">
        <v>4437</v>
      </c>
      <c r="H76" s="3234">
        <v>146430</v>
      </c>
      <c r="I76" s="3255">
        <v>9000</v>
      </c>
      <c r="J76" s="3240" t="s">
        <v>4438</v>
      </c>
    </row>
    <row r="77" spans="1:10" ht="24.95" customHeight="1">
      <c r="A77" s="3234">
        <v>75</v>
      </c>
      <c r="B77" s="3234">
        <v>11</v>
      </c>
      <c r="C77" s="3235">
        <v>-109</v>
      </c>
      <c r="D77" s="3276" t="str">
        <f t="shared" si="1"/>
        <v>11--109</v>
      </c>
      <c r="E77" s="3235">
        <v>16.2</v>
      </c>
      <c r="F77" s="3277">
        <v>8.5</v>
      </c>
      <c r="G77" s="3239" t="s">
        <v>4437</v>
      </c>
      <c r="H77" s="3234">
        <v>145800</v>
      </c>
      <c r="I77" s="3255">
        <v>9000</v>
      </c>
      <c r="J77" s="3240" t="s">
        <v>4438</v>
      </c>
    </row>
    <row r="78" spans="1:10" ht="24.95" customHeight="1">
      <c r="A78" s="3234">
        <v>76</v>
      </c>
      <c r="B78" s="3234">
        <v>11</v>
      </c>
      <c r="C78" s="3235">
        <v>-110</v>
      </c>
      <c r="D78" s="3276" t="str">
        <f t="shared" si="1"/>
        <v>11--110</v>
      </c>
      <c r="E78" s="3235">
        <v>38.47</v>
      </c>
      <c r="F78" s="3277">
        <v>20.190000000000001</v>
      </c>
      <c r="G78" s="3239" t="s">
        <v>4437</v>
      </c>
      <c r="H78" s="3234">
        <v>346230</v>
      </c>
      <c r="I78" s="3255">
        <v>9000</v>
      </c>
      <c r="J78" s="3240" t="s">
        <v>4438</v>
      </c>
    </row>
    <row r="79" spans="1:10" ht="24.95" customHeight="1">
      <c r="A79" s="3234">
        <v>77</v>
      </c>
      <c r="B79" s="3234">
        <v>11</v>
      </c>
      <c r="C79" s="3235">
        <v>-111</v>
      </c>
      <c r="D79" s="3276" t="str">
        <f t="shared" si="1"/>
        <v>11--111</v>
      </c>
      <c r="E79" s="3235">
        <v>12.63</v>
      </c>
      <c r="F79" s="3277">
        <v>6.63</v>
      </c>
      <c r="G79" s="3239" t="s">
        <v>4437</v>
      </c>
      <c r="H79" s="3234">
        <v>113670</v>
      </c>
      <c r="I79" s="3255">
        <v>9000</v>
      </c>
      <c r="J79" s="3240" t="s">
        <v>4438</v>
      </c>
    </row>
    <row r="80" spans="1:10" ht="24.95" customHeight="1">
      <c r="A80" s="3234">
        <v>78</v>
      </c>
      <c r="B80" s="3234">
        <v>11</v>
      </c>
      <c r="C80" s="3235">
        <v>-112</v>
      </c>
      <c r="D80" s="3276" t="str">
        <f t="shared" si="1"/>
        <v>11--112</v>
      </c>
      <c r="E80" s="3235">
        <v>16.29</v>
      </c>
      <c r="F80" s="3277">
        <v>8.5500000000000007</v>
      </c>
      <c r="G80" s="3239" t="s">
        <v>4437</v>
      </c>
      <c r="H80" s="3234">
        <v>146610</v>
      </c>
      <c r="I80" s="3255">
        <v>9000</v>
      </c>
      <c r="J80" s="3240" t="s">
        <v>4438</v>
      </c>
    </row>
    <row r="81" spans="1:10" ht="24.95" customHeight="1">
      <c r="A81" s="3234">
        <v>79</v>
      </c>
      <c r="B81" s="3234">
        <v>12</v>
      </c>
      <c r="C81" s="3235">
        <v>-101</v>
      </c>
      <c r="D81" s="3276" t="str">
        <f t="shared" si="1"/>
        <v>12--101</v>
      </c>
      <c r="E81" s="3235">
        <v>40.450000000000003</v>
      </c>
      <c r="F81" s="3277">
        <v>15.13</v>
      </c>
      <c r="G81" s="3239" t="s">
        <v>4437</v>
      </c>
      <c r="H81" s="3234">
        <v>364050</v>
      </c>
      <c r="I81" s="3255">
        <v>9000</v>
      </c>
      <c r="J81" s="3240" t="s">
        <v>4438</v>
      </c>
    </row>
    <row r="82" spans="1:10" ht="24.95" customHeight="1">
      <c r="A82" s="3234">
        <v>80</v>
      </c>
      <c r="B82" s="3234">
        <v>12</v>
      </c>
      <c r="C82" s="3235">
        <v>-102</v>
      </c>
      <c r="D82" s="3276" t="str">
        <f t="shared" si="1"/>
        <v>12--102</v>
      </c>
      <c r="E82" s="3235">
        <v>17.73</v>
      </c>
      <c r="F82" s="3277">
        <v>6.63</v>
      </c>
      <c r="G82" s="3239" t="s">
        <v>4437</v>
      </c>
      <c r="H82" s="3234">
        <v>159570</v>
      </c>
      <c r="I82" s="3255">
        <v>9000</v>
      </c>
      <c r="J82" s="3240" t="s">
        <v>4438</v>
      </c>
    </row>
    <row r="83" spans="1:10" ht="24.95" customHeight="1">
      <c r="A83" s="3234">
        <v>81</v>
      </c>
      <c r="B83" s="3234">
        <v>12</v>
      </c>
      <c r="C83" s="3235">
        <v>-103</v>
      </c>
      <c r="D83" s="3276" t="str">
        <f t="shared" si="1"/>
        <v>12--103</v>
      </c>
      <c r="E83" s="3235">
        <v>20.85</v>
      </c>
      <c r="F83" s="3277">
        <v>7.8</v>
      </c>
      <c r="G83" s="3239" t="s">
        <v>4437</v>
      </c>
      <c r="H83" s="3234">
        <v>187650</v>
      </c>
      <c r="I83" s="3255">
        <v>9000</v>
      </c>
      <c r="J83" s="3240" t="s">
        <v>4438</v>
      </c>
    </row>
    <row r="84" spans="1:10" ht="24.95" customHeight="1">
      <c r="A84" s="3234">
        <v>82</v>
      </c>
      <c r="B84" s="3234">
        <v>12</v>
      </c>
      <c r="C84" s="3235">
        <v>-104</v>
      </c>
      <c r="D84" s="3276" t="str">
        <f t="shared" si="1"/>
        <v>12--104</v>
      </c>
      <c r="E84" s="3235">
        <v>24.86</v>
      </c>
      <c r="F84" s="3277">
        <v>9.3000000000000007</v>
      </c>
      <c r="G84" s="3239" t="s">
        <v>4437</v>
      </c>
      <c r="H84" s="3234">
        <v>223740</v>
      </c>
      <c r="I84" s="3255">
        <v>9000</v>
      </c>
      <c r="J84" s="3240" t="s">
        <v>4438</v>
      </c>
    </row>
    <row r="85" spans="1:10" ht="24.95" customHeight="1">
      <c r="A85" s="3234">
        <v>83</v>
      </c>
      <c r="B85" s="3234">
        <v>12</v>
      </c>
      <c r="C85" s="3235">
        <v>-105</v>
      </c>
      <c r="D85" s="3276" t="str">
        <f t="shared" si="1"/>
        <v>12--105</v>
      </c>
      <c r="E85" s="3235">
        <v>22.38</v>
      </c>
      <c r="F85" s="3277">
        <v>8.3699999999999992</v>
      </c>
      <c r="G85" s="3239" t="s">
        <v>4437</v>
      </c>
      <c r="H85" s="3234">
        <v>201420</v>
      </c>
      <c r="I85" s="3255">
        <v>9000</v>
      </c>
      <c r="J85" s="3240" t="s">
        <v>4438</v>
      </c>
    </row>
    <row r="86" spans="1:10" ht="24.95" customHeight="1">
      <c r="A86" s="3234">
        <v>84</v>
      </c>
      <c r="B86" s="3234">
        <v>12</v>
      </c>
      <c r="C86" s="3235">
        <v>-106</v>
      </c>
      <c r="D86" s="3276" t="str">
        <f t="shared" si="1"/>
        <v>12--106</v>
      </c>
      <c r="E86" s="3235">
        <v>22.38</v>
      </c>
      <c r="F86" s="3277">
        <v>8.3699999999999992</v>
      </c>
      <c r="G86" s="3239" t="s">
        <v>4437</v>
      </c>
      <c r="H86" s="3234">
        <v>201420</v>
      </c>
      <c r="I86" s="3255">
        <v>9000</v>
      </c>
      <c r="J86" s="3240" t="s">
        <v>4438</v>
      </c>
    </row>
    <row r="87" spans="1:10" ht="24.95" customHeight="1">
      <c r="A87" s="3234">
        <v>85</v>
      </c>
      <c r="B87" s="3234">
        <v>12</v>
      </c>
      <c r="C87" s="3235">
        <v>-107</v>
      </c>
      <c r="D87" s="3276" t="str">
        <f t="shared" si="1"/>
        <v>12--107</v>
      </c>
      <c r="E87" s="3235">
        <v>24.86</v>
      </c>
      <c r="F87" s="3277">
        <v>9.3000000000000007</v>
      </c>
      <c r="G87" s="3239" t="s">
        <v>4437</v>
      </c>
      <c r="H87" s="3234">
        <v>223740</v>
      </c>
      <c r="I87" s="3255">
        <v>9000</v>
      </c>
      <c r="J87" s="3240" t="s">
        <v>4438</v>
      </c>
    </row>
    <row r="88" spans="1:10" ht="24.95" customHeight="1">
      <c r="A88" s="3234">
        <v>86</v>
      </c>
      <c r="B88" s="3234">
        <v>12</v>
      </c>
      <c r="C88" s="3235">
        <v>-108</v>
      </c>
      <c r="D88" s="3276" t="str">
        <f t="shared" si="1"/>
        <v>12--108</v>
      </c>
      <c r="E88" s="3235">
        <v>20.85</v>
      </c>
      <c r="F88" s="3277">
        <v>7.8</v>
      </c>
      <c r="G88" s="3239" t="s">
        <v>4437</v>
      </c>
      <c r="H88" s="3234">
        <v>187650</v>
      </c>
      <c r="I88" s="3255">
        <v>9000</v>
      </c>
      <c r="J88" s="3240" t="s">
        <v>4438</v>
      </c>
    </row>
    <row r="89" spans="1:10" ht="24.95" customHeight="1">
      <c r="A89" s="3234">
        <v>87</v>
      </c>
      <c r="B89" s="3234">
        <v>12</v>
      </c>
      <c r="C89" s="3235">
        <v>-109</v>
      </c>
      <c r="D89" s="3276" t="str">
        <f t="shared" si="1"/>
        <v>12--109</v>
      </c>
      <c r="E89" s="3235">
        <v>17.73</v>
      </c>
      <c r="F89" s="3277">
        <v>6.63</v>
      </c>
      <c r="G89" s="3239" t="s">
        <v>4437</v>
      </c>
      <c r="H89" s="3234">
        <v>159570</v>
      </c>
      <c r="I89" s="3255">
        <v>9000</v>
      </c>
      <c r="J89" s="3240" t="s">
        <v>4438</v>
      </c>
    </row>
    <row r="90" spans="1:10" ht="24.95" customHeight="1">
      <c r="A90" s="3234">
        <v>88</v>
      </c>
      <c r="B90" s="3234">
        <v>12</v>
      </c>
      <c r="C90" s="3235">
        <v>-110</v>
      </c>
      <c r="D90" s="3276" t="str">
        <f t="shared" si="1"/>
        <v>12--110</v>
      </c>
      <c r="E90" s="3235">
        <v>17.73</v>
      </c>
      <c r="F90" s="3277">
        <v>6.63</v>
      </c>
      <c r="G90" s="3239" t="s">
        <v>4437</v>
      </c>
      <c r="H90" s="3234">
        <v>159570</v>
      </c>
      <c r="I90" s="3255">
        <v>9000</v>
      </c>
      <c r="J90" s="3240" t="s">
        <v>4438</v>
      </c>
    </row>
    <row r="91" spans="1:10" ht="24.95" customHeight="1">
      <c r="A91" s="3234">
        <v>89</v>
      </c>
      <c r="B91" s="3234">
        <v>12</v>
      </c>
      <c r="C91" s="3235">
        <v>-111</v>
      </c>
      <c r="D91" s="3276" t="str">
        <f t="shared" si="1"/>
        <v>12--111</v>
      </c>
      <c r="E91" s="3235">
        <v>20.85</v>
      </c>
      <c r="F91" s="3277">
        <v>7.8</v>
      </c>
      <c r="G91" s="3239" t="s">
        <v>4437</v>
      </c>
      <c r="H91" s="3234">
        <v>187650</v>
      </c>
      <c r="I91" s="3255">
        <v>9000</v>
      </c>
      <c r="J91" s="3240" t="s">
        <v>4438</v>
      </c>
    </row>
    <row r="92" spans="1:10" ht="24.95" customHeight="1">
      <c r="A92" s="3234">
        <v>90</v>
      </c>
      <c r="B92" s="3234">
        <v>12</v>
      </c>
      <c r="C92" s="3235">
        <v>-112</v>
      </c>
      <c r="D92" s="3276" t="str">
        <f t="shared" si="1"/>
        <v>12--112</v>
      </c>
      <c r="E92" s="3235">
        <v>17.829999999999998</v>
      </c>
      <c r="F92" s="3277">
        <v>6.67</v>
      </c>
      <c r="G92" s="3239" t="s">
        <v>4437</v>
      </c>
      <c r="H92" s="3234">
        <v>160470</v>
      </c>
      <c r="I92" s="3255">
        <v>9000</v>
      </c>
      <c r="J92" s="3240" t="s">
        <v>4438</v>
      </c>
    </row>
    <row r="93" spans="1:10" ht="24.95" customHeight="1">
      <c r="A93" s="3234">
        <v>91</v>
      </c>
      <c r="B93" s="3234">
        <v>12</v>
      </c>
      <c r="C93" s="3235">
        <v>-113</v>
      </c>
      <c r="D93" s="3276" t="str">
        <f t="shared" si="1"/>
        <v>12--113</v>
      </c>
      <c r="E93" s="3235">
        <v>17</v>
      </c>
      <c r="F93" s="3277">
        <v>6.36</v>
      </c>
      <c r="G93" s="3239" t="s">
        <v>4437</v>
      </c>
      <c r="H93" s="3234">
        <v>153000</v>
      </c>
      <c r="I93" s="3255">
        <v>9000</v>
      </c>
      <c r="J93" s="3240" t="s">
        <v>4438</v>
      </c>
    </row>
    <row r="94" spans="1:10" ht="24.95" customHeight="1">
      <c r="A94" s="3234">
        <v>92</v>
      </c>
      <c r="B94" s="3234">
        <v>12</v>
      </c>
      <c r="C94" s="3235">
        <v>-114</v>
      </c>
      <c r="D94" s="3276" t="str">
        <f t="shared" si="1"/>
        <v>12--114</v>
      </c>
      <c r="E94" s="3235">
        <v>20.399999999999999</v>
      </c>
      <c r="F94" s="3277">
        <v>7.63</v>
      </c>
      <c r="G94" s="3239" t="s">
        <v>4437</v>
      </c>
      <c r="H94" s="3234">
        <v>183600</v>
      </c>
      <c r="I94" s="3255">
        <v>9000</v>
      </c>
      <c r="J94" s="3240" t="s">
        <v>4438</v>
      </c>
    </row>
    <row r="95" spans="1:10" ht="24.95" customHeight="1">
      <c r="A95" s="3234">
        <v>93</v>
      </c>
      <c r="B95" s="3234">
        <v>12</v>
      </c>
      <c r="C95" s="3235">
        <v>-115</v>
      </c>
      <c r="D95" s="3276" t="str">
        <f t="shared" si="1"/>
        <v>12--115</v>
      </c>
      <c r="E95" s="3235">
        <v>21.68</v>
      </c>
      <c r="F95" s="3277">
        <v>8.11</v>
      </c>
      <c r="G95" s="3239" t="s">
        <v>4437</v>
      </c>
      <c r="H95" s="3234">
        <v>195120</v>
      </c>
      <c r="I95" s="3255">
        <v>9000</v>
      </c>
      <c r="J95" s="3240" t="s">
        <v>4438</v>
      </c>
    </row>
    <row r="96" spans="1:10" ht="24.95" customHeight="1">
      <c r="A96" s="3234">
        <v>94</v>
      </c>
      <c r="B96" s="3234">
        <v>12</v>
      </c>
      <c r="C96" s="3235">
        <v>-116</v>
      </c>
      <c r="D96" s="3276" t="str">
        <f t="shared" si="1"/>
        <v>12--116</v>
      </c>
      <c r="E96" s="3235">
        <v>13.23</v>
      </c>
      <c r="F96" s="3277">
        <v>4.95</v>
      </c>
      <c r="G96" s="3239" t="s">
        <v>4437</v>
      </c>
      <c r="H96" s="3234">
        <v>119070</v>
      </c>
      <c r="I96" s="3255">
        <v>9000</v>
      </c>
      <c r="J96" s="3240" t="s">
        <v>4438</v>
      </c>
    </row>
    <row r="97" spans="1:10" ht="24.95" customHeight="1">
      <c r="A97" s="3234">
        <v>95</v>
      </c>
      <c r="B97" s="3234">
        <v>13</v>
      </c>
      <c r="C97" s="3235">
        <v>-101</v>
      </c>
      <c r="D97" s="3276" t="str">
        <f t="shared" si="1"/>
        <v>13--101</v>
      </c>
      <c r="E97" s="3235">
        <v>20.73</v>
      </c>
      <c r="F97" s="3277">
        <v>8.66</v>
      </c>
      <c r="G97" s="3239" t="s">
        <v>4437</v>
      </c>
      <c r="H97" s="3234">
        <v>186570</v>
      </c>
      <c r="I97" s="3255">
        <v>9000</v>
      </c>
      <c r="J97" s="3240" t="s">
        <v>4438</v>
      </c>
    </row>
    <row r="98" spans="1:10" ht="24.95" customHeight="1">
      <c r="A98" s="3234">
        <v>96</v>
      </c>
      <c r="B98" s="3234">
        <v>13</v>
      </c>
      <c r="C98" s="3235">
        <v>-102</v>
      </c>
      <c r="D98" s="3276" t="str">
        <f t="shared" si="1"/>
        <v>13--102</v>
      </c>
      <c r="E98" s="3235">
        <v>21.07</v>
      </c>
      <c r="F98" s="3277">
        <v>8.8000000000000007</v>
      </c>
      <c r="G98" s="3239" t="s">
        <v>4437</v>
      </c>
      <c r="H98" s="3234">
        <v>189630</v>
      </c>
      <c r="I98" s="3255">
        <v>9000</v>
      </c>
      <c r="J98" s="3240" t="s">
        <v>4438</v>
      </c>
    </row>
    <row r="99" spans="1:10" ht="24.95" customHeight="1">
      <c r="A99" s="3234">
        <v>97</v>
      </c>
      <c r="B99" s="3234">
        <v>13</v>
      </c>
      <c r="C99" s="3235">
        <v>-103</v>
      </c>
      <c r="D99" s="3276" t="str">
        <f t="shared" si="1"/>
        <v>13--103</v>
      </c>
      <c r="E99" s="3235">
        <v>24.69</v>
      </c>
      <c r="F99" s="3277">
        <v>10.31</v>
      </c>
      <c r="G99" s="3239" t="s">
        <v>4437</v>
      </c>
      <c r="H99" s="3234">
        <v>222210</v>
      </c>
      <c r="I99" s="3255">
        <v>9000</v>
      </c>
      <c r="J99" s="3240" t="s">
        <v>4438</v>
      </c>
    </row>
    <row r="100" spans="1:10" ht="24.95" customHeight="1">
      <c r="A100" s="3234">
        <v>98</v>
      </c>
      <c r="B100" s="3234">
        <v>13</v>
      </c>
      <c r="C100" s="3235">
        <v>-104</v>
      </c>
      <c r="D100" s="3276" t="str">
        <f t="shared" si="1"/>
        <v>13--104</v>
      </c>
      <c r="E100" s="3235">
        <v>18.27</v>
      </c>
      <c r="F100" s="3277">
        <v>7.63</v>
      </c>
      <c r="G100" s="3239" t="s">
        <v>4437</v>
      </c>
      <c r="H100" s="3234">
        <v>164430</v>
      </c>
      <c r="I100" s="3255">
        <v>9000</v>
      </c>
      <c r="J100" s="3240" t="s">
        <v>4438</v>
      </c>
    </row>
    <row r="101" spans="1:10" ht="24.95" customHeight="1">
      <c r="A101" s="3234">
        <v>99</v>
      </c>
      <c r="B101" s="3234">
        <v>13</v>
      </c>
      <c r="C101" s="3235">
        <v>-105</v>
      </c>
      <c r="D101" s="3276" t="str">
        <f t="shared" si="1"/>
        <v>13--105</v>
      </c>
      <c r="E101" s="3235">
        <v>15.97</v>
      </c>
      <c r="F101" s="3277">
        <v>6.67</v>
      </c>
      <c r="G101" s="3239" t="s">
        <v>4437</v>
      </c>
      <c r="H101" s="3234">
        <v>143730</v>
      </c>
      <c r="I101" s="3255">
        <v>9000</v>
      </c>
      <c r="J101" s="3240" t="s">
        <v>4438</v>
      </c>
    </row>
    <row r="102" spans="1:10" ht="24.95" customHeight="1">
      <c r="A102" s="3234">
        <v>100</v>
      </c>
      <c r="B102" s="3234">
        <v>13</v>
      </c>
      <c r="C102" s="3235">
        <v>-106</v>
      </c>
      <c r="D102" s="3276" t="str">
        <f t="shared" si="1"/>
        <v>13--106</v>
      </c>
      <c r="E102" s="3235">
        <v>15.23</v>
      </c>
      <c r="F102" s="3277">
        <v>6.36</v>
      </c>
      <c r="G102" s="3239" t="s">
        <v>4437</v>
      </c>
      <c r="H102" s="3234">
        <v>137070</v>
      </c>
      <c r="I102" s="3255">
        <v>9000</v>
      </c>
      <c r="J102" s="3240" t="s">
        <v>4438</v>
      </c>
    </row>
    <row r="103" spans="1:10" ht="24.95" customHeight="1">
      <c r="A103" s="3234">
        <v>101</v>
      </c>
      <c r="B103" s="3234">
        <v>13</v>
      </c>
      <c r="C103" s="3235">
        <v>-107</v>
      </c>
      <c r="D103" s="3276" t="str">
        <f t="shared" si="1"/>
        <v>13--107</v>
      </c>
      <c r="E103" s="3235">
        <v>15.87</v>
      </c>
      <c r="F103" s="3277">
        <v>6.63</v>
      </c>
      <c r="G103" s="3239" t="s">
        <v>4437</v>
      </c>
      <c r="H103" s="3234">
        <v>142830</v>
      </c>
      <c r="I103" s="3255">
        <v>9000</v>
      </c>
      <c r="J103" s="3240" t="s">
        <v>4438</v>
      </c>
    </row>
    <row r="104" spans="1:10" ht="24.95" customHeight="1">
      <c r="A104" s="3234">
        <v>102</v>
      </c>
      <c r="B104" s="3234">
        <v>13</v>
      </c>
      <c r="C104" s="3235">
        <v>-108</v>
      </c>
      <c r="D104" s="3276" t="str">
        <f t="shared" si="1"/>
        <v>13--108</v>
      </c>
      <c r="E104" s="3235">
        <v>18.68</v>
      </c>
      <c r="F104" s="3277">
        <v>7.8</v>
      </c>
      <c r="G104" s="3239" t="s">
        <v>4437</v>
      </c>
      <c r="H104" s="3234">
        <v>168120</v>
      </c>
      <c r="I104" s="3255">
        <v>9000</v>
      </c>
      <c r="J104" s="3240" t="s">
        <v>4438</v>
      </c>
    </row>
    <row r="105" spans="1:10" ht="24.95" customHeight="1">
      <c r="A105" s="3234">
        <v>103</v>
      </c>
      <c r="B105" s="3234">
        <v>13</v>
      </c>
      <c r="C105" s="3235">
        <v>-109</v>
      </c>
      <c r="D105" s="3276" t="str">
        <f t="shared" si="1"/>
        <v>13--109</v>
      </c>
      <c r="E105" s="3235">
        <v>18.68</v>
      </c>
      <c r="F105" s="3277">
        <v>7.8</v>
      </c>
      <c r="G105" s="3239" t="s">
        <v>4437</v>
      </c>
      <c r="H105" s="3234">
        <v>168120</v>
      </c>
      <c r="I105" s="3255">
        <v>9000</v>
      </c>
      <c r="J105" s="3240" t="s">
        <v>4438</v>
      </c>
    </row>
    <row r="106" spans="1:10" ht="24.95" customHeight="1">
      <c r="A106" s="3278">
        <v>104</v>
      </c>
      <c r="B106" s="3234">
        <v>13</v>
      </c>
      <c r="C106" s="3235">
        <v>-110</v>
      </c>
      <c r="D106" s="3276" t="str">
        <f t="shared" si="1"/>
        <v>13--110</v>
      </c>
      <c r="E106" s="3235">
        <v>15.87</v>
      </c>
      <c r="F106" s="3277">
        <v>6.63</v>
      </c>
      <c r="G106" s="3239" t="s">
        <v>4437</v>
      </c>
      <c r="H106" s="3234">
        <v>142830</v>
      </c>
      <c r="I106" s="3255">
        <v>9000</v>
      </c>
      <c r="J106" s="3240" t="s">
        <v>4438</v>
      </c>
    </row>
    <row r="107" spans="1:10" ht="24.95" customHeight="1">
      <c r="A107" s="3234">
        <v>105</v>
      </c>
      <c r="B107" s="3234">
        <v>13</v>
      </c>
      <c r="C107" s="3235">
        <v>-111</v>
      </c>
      <c r="D107" s="3276" t="str">
        <f t="shared" si="1"/>
        <v>13--111</v>
      </c>
      <c r="E107" s="3235">
        <v>20.04</v>
      </c>
      <c r="F107" s="3277">
        <v>8.3699999999999992</v>
      </c>
      <c r="G107" s="3239" t="s">
        <v>4437</v>
      </c>
      <c r="H107" s="3234">
        <v>180360</v>
      </c>
      <c r="I107" s="3255">
        <v>9000</v>
      </c>
      <c r="J107" s="3240" t="s">
        <v>4438</v>
      </c>
    </row>
    <row r="108" spans="1:10" ht="24.95" customHeight="1">
      <c r="A108" s="3234">
        <v>106</v>
      </c>
      <c r="B108" s="3234">
        <v>13</v>
      </c>
      <c r="C108" s="3235">
        <v>-112</v>
      </c>
      <c r="D108" s="3276" t="str">
        <f t="shared" si="1"/>
        <v>13--112</v>
      </c>
      <c r="E108" s="3235">
        <v>22.27</v>
      </c>
      <c r="F108" s="3277">
        <v>9.3000000000000007</v>
      </c>
      <c r="G108" s="3239" t="s">
        <v>4437</v>
      </c>
      <c r="H108" s="3234">
        <v>200430</v>
      </c>
      <c r="I108" s="3255">
        <v>9000</v>
      </c>
      <c r="J108" s="3240" t="s">
        <v>4438</v>
      </c>
    </row>
    <row r="109" spans="1:10" ht="24.95" customHeight="1">
      <c r="A109" s="3234">
        <v>107</v>
      </c>
      <c r="B109" s="3234">
        <v>13</v>
      </c>
      <c r="C109" s="3235">
        <v>-113</v>
      </c>
      <c r="D109" s="3276" t="str">
        <f t="shared" si="1"/>
        <v>13--113</v>
      </c>
      <c r="E109" s="3235">
        <v>22.27</v>
      </c>
      <c r="F109" s="3277">
        <v>9.3000000000000007</v>
      </c>
      <c r="G109" s="3239" t="s">
        <v>4437</v>
      </c>
      <c r="H109" s="3234">
        <v>200430</v>
      </c>
      <c r="I109" s="3255">
        <v>9000</v>
      </c>
      <c r="J109" s="3240" t="s">
        <v>4438</v>
      </c>
    </row>
    <row r="110" spans="1:10" ht="24.95" customHeight="1">
      <c r="A110" s="3234">
        <v>108</v>
      </c>
      <c r="B110" s="3234">
        <v>13</v>
      </c>
      <c r="C110" s="3235">
        <v>-114</v>
      </c>
      <c r="D110" s="3276" t="str">
        <f t="shared" si="1"/>
        <v>13--114</v>
      </c>
      <c r="E110" s="3235">
        <v>20.04</v>
      </c>
      <c r="F110" s="3277">
        <v>8.3699999999999992</v>
      </c>
      <c r="G110" s="3239" t="s">
        <v>4437</v>
      </c>
      <c r="H110" s="3234">
        <v>180360</v>
      </c>
      <c r="I110" s="3255">
        <v>9000</v>
      </c>
      <c r="J110" s="3240" t="s">
        <v>4438</v>
      </c>
    </row>
    <row r="111" spans="1:10" ht="24.95" customHeight="1">
      <c r="A111" s="3234">
        <v>109</v>
      </c>
      <c r="B111" s="3234">
        <v>13</v>
      </c>
      <c r="C111" s="3235">
        <v>-115</v>
      </c>
      <c r="D111" s="3276" t="str">
        <f t="shared" si="1"/>
        <v>13--115</v>
      </c>
      <c r="E111" s="3235">
        <v>15.87</v>
      </c>
      <c r="F111" s="3277">
        <v>6.63</v>
      </c>
      <c r="G111" s="3239" t="s">
        <v>4437</v>
      </c>
      <c r="H111" s="3234">
        <v>142830</v>
      </c>
      <c r="I111" s="3255">
        <v>9000</v>
      </c>
      <c r="J111" s="3240" t="s">
        <v>4438</v>
      </c>
    </row>
    <row r="112" spans="1:10" ht="24.95" customHeight="1">
      <c r="A112" s="3234">
        <v>110</v>
      </c>
      <c r="B112" s="3234">
        <v>13</v>
      </c>
      <c r="C112" s="3235">
        <v>-116</v>
      </c>
      <c r="D112" s="3276" t="str">
        <f t="shared" si="1"/>
        <v>13--116</v>
      </c>
      <c r="E112" s="3235">
        <v>18.68</v>
      </c>
      <c r="F112" s="3277">
        <v>7.8</v>
      </c>
      <c r="G112" s="3239" t="s">
        <v>4437</v>
      </c>
      <c r="H112" s="3234">
        <v>168120</v>
      </c>
      <c r="I112" s="3255">
        <v>9000</v>
      </c>
      <c r="J112" s="3240" t="s">
        <v>4438</v>
      </c>
    </row>
    <row r="113" spans="1:10" ht="24.95" customHeight="1">
      <c r="A113" s="3234">
        <v>111</v>
      </c>
      <c r="B113" s="3234">
        <v>13</v>
      </c>
      <c r="C113" s="3235">
        <v>-117</v>
      </c>
      <c r="D113" s="3276" t="str">
        <f t="shared" si="1"/>
        <v>13--117</v>
      </c>
      <c r="E113" s="3235">
        <v>18.68</v>
      </c>
      <c r="F113" s="3277">
        <v>7.8</v>
      </c>
      <c r="G113" s="3239" t="s">
        <v>4437</v>
      </c>
      <c r="H113" s="3234">
        <v>168120</v>
      </c>
      <c r="I113" s="3255">
        <v>9000</v>
      </c>
      <c r="J113" s="3240" t="s">
        <v>4438</v>
      </c>
    </row>
    <row r="114" spans="1:10" ht="24.95" customHeight="1">
      <c r="A114" s="3234">
        <v>112</v>
      </c>
      <c r="B114" s="3234">
        <v>13</v>
      </c>
      <c r="C114" s="3235">
        <v>-118</v>
      </c>
      <c r="D114" s="3276" t="str">
        <f t="shared" si="1"/>
        <v>13--118</v>
      </c>
      <c r="E114" s="3235">
        <v>15.87</v>
      </c>
      <c r="F114" s="3277">
        <v>6.63</v>
      </c>
      <c r="G114" s="3239" t="s">
        <v>4437</v>
      </c>
      <c r="H114" s="3234">
        <v>142830</v>
      </c>
      <c r="I114" s="3255">
        <v>9000</v>
      </c>
      <c r="J114" s="3240" t="s">
        <v>4438</v>
      </c>
    </row>
    <row r="115" spans="1:10" ht="24.95" customHeight="1">
      <c r="A115" s="3234">
        <v>113</v>
      </c>
      <c r="B115" s="3234">
        <v>13</v>
      </c>
      <c r="C115" s="3235">
        <v>-119</v>
      </c>
      <c r="D115" s="3276" t="str">
        <f t="shared" si="1"/>
        <v>13--119</v>
      </c>
      <c r="E115" s="3235">
        <v>15.23</v>
      </c>
      <c r="F115" s="3277">
        <v>6.36</v>
      </c>
      <c r="G115" s="3239" t="s">
        <v>4437</v>
      </c>
      <c r="H115" s="3234">
        <v>137070</v>
      </c>
      <c r="I115" s="3255">
        <v>9000</v>
      </c>
      <c r="J115" s="3240" t="s">
        <v>4438</v>
      </c>
    </row>
    <row r="116" spans="1:10" ht="24.95" customHeight="1">
      <c r="A116" s="3234">
        <v>114</v>
      </c>
      <c r="B116" s="3234">
        <v>13</v>
      </c>
      <c r="C116" s="3235">
        <v>-120</v>
      </c>
      <c r="D116" s="3276" t="str">
        <f t="shared" si="1"/>
        <v>13--120</v>
      </c>
      <c r="E116" s="3235">
        <v>15.97</v>
      </c>
      <c r="F116" s="3277">
        <v>6.67</v>
      </c>
      <c r="G116" s="3239" t="s">
        <v>4437</v>
      </c>
      <c r="H116" s="3234">
        <v>143730</v>
      </c>
      <c r="I116" s="3255">
        <v>9000</v>
      </c>
      <c r="J116" s="3240" t="s">
        <v>4438</v>
      </c>
    </row>
    <row r="117" spans="1:10" ht="24.95" customHeight="1">
      <c r="A117" s="3234">
        <v>115</v>
      </c>
      <c r="B117" s="3234">
        <v>13</v>
      </c>
      <c r="C117" s="3235">
        <v>-121</v>
      </c>
      <c r="D117" s="3276" t="str">
        <f t="shared" si="1"/>
        <v>13--121</v>
      </c>
      <c r="E117" s="3235">
        <v>18.27</v>
      </c>
      <c r="F117" s="3277">
        <v>7.63</v>
      </c>
      <c r="G117" s="3239" t="s">
        <v>4437</v>
      </c>
      <c r="H117" s="3234">
        <v>164430</v>
      </c>
      <c r="I117" s="3255">
        <v>9000</v>
      </c>
      <c r="J117" s="3240" t="s">
        <v>4438</v>
      </c>
    </row>
    <row r="118" spans="1:10" ht="24.95" customHeight="1">
      <c r="A118" s="3234">
        <v>116</v>
      </c>
      <c r="B118" s="3234">
        <v>13</v>
      </c>
      <c r="C118" s="3235">
        <v>-122</v>
      </c>
      <c r="D118" s="3276" t="str">
        <f t="shared" si="1"/>
        <v>13--122</v>
      </c>
      <c r="E118" s="3235">
        <v>19.420000000000002</v>
      </c>
      <c r="F118" s="3277">
        <v>8.11</v>
      </c>
      <c r="G118" s="3239" t="s">
        <v>4437</v>
      </c>
      <c r="H118" s="3234">
        <v>174780</v>
      </c>
      <c r="I118" s="3255">
        <v>9000</v>
      </c>
      <c r="J118" s="3240" t="s">
        <v>4438</v>
      </c>
    </row>
    <row r="119" spans="1:10" ht="24.95" customHeight="1">
      <c r="A119" s="3234">
        <v>117</v>
      </c>
      <c r="B119" s="3234">
        <v>13</v>
      </c>
      <c r="C119" s="3279">
        <v>-123</v>
      </c>
      <c r="D119" s="3276" t="str">
        <f t="shared" si="1"/>
        <v>13--123</v>
      </c>
      <c r="E119" s="3279">
        <v>11.85</v>
      </c>
      <c r="F119" s="3280">
        <v>4.95</v>
      </c>
      <c r="G119" s="3281" t="s">
        <v>4437</v>
      </c>
      <c r="H119" s="3278">
        <v>106650</v>
      </c>
      <c r="I119" s="3282">
        <v>9000</v>
      </c>
      <c r="J119" s="3240" t="s">
        <v>4438</v>
      </c>
    </row>
    <row r="120" spans="1:10" ht="24.95" customHeight="1">
      <c r="A120" s="3410" t="s">
        <v>3452</v>
      </c>
      <c r="B120" s="3410"/>
      <c r="C120" s="3410"/>
      <c r="D120" s="3410"/>
      <c r="E120" s="3270">
        <f>SUM(E3:E119)</f>
        <v>2354.3699999999985</v>
      </c>
      <c r="F120" s="3270"/>
      <c r="G120" s="3270"/>
      <c r="H120" s="3270">
        <f>SUM(H3:H119)</f>
        <v>21189330</v>
      </c>
      <c r="I120" s="3271"/>
      <c r="J120" s="3283" t="s">
        <v>4438</v>
      </c>
    </row>
  </sheetData>
  <autoFilter ref="A2:G120"/>
  <mergeCells count="2">
    <mergeCell ref="A1:I1"/>
    <mergeCell ref="A120:D120"/>
  </mergeCells>
  <phoneticPr fontId="135"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7"/>
  <sheetViews>
    <sheetView topLeftCell="A43" zoomScaleNormal="100"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26" t="s">
        <v>3430</v>
      </c>
      <c r="B10" s="3426"/>
      <c r="C10" s="3427"/>
      <c r="D10" s="3427"/>
      <c r="E10" s="3427"/>
      <c r="F10" s="3427"/>
      <c r="G10" s="3426"/>
      <c r="H10" s="3426"/>
      <c r="I10" s="3426"/>
      <c r="J10" s="3426"/>
      <c r="K10" s="3426"/>
      <c r="L10" s="3426"/>
      <c r="M10" s="3426"/>
      <c r="N10" s="3426"/>
      <c r="O10" s="3159"/>
      <c r="P10" s="3159"/>
      <c r="Q10" s="3159"/>
      <c r="R10" s="3159"/>
      <c r="S10" s="3159"/>
      <c r="T10" s="3158"/>
      <c r="U10" s="3158"/>
      <c r="V10" s="3158"/>
    </row>
    <row r="11" spans="1:31">
      <c r="A11" s="3160"/>
      <c r="B11" s="3161"/>
      <c r="C11" s="3416" t="s">
        <v>3431</v>
      </c>
      <c r="D11" s="3417"/>
      <c r="E11" s="3418"/>
      <c r="F11" s="3419"/>
      <c r="G11" s="3420" t="s">
        <v>3432</v>
      </c>
      <c r="H11" s="3421"/>
      <c r="I11" s="3421"/>
      <c r="J11" s="3421"/>
      <c r="K11" s="3421"/>
      <c r="L11" s="3421"/>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22" t="s">
        <v>3449</v>
      </c>
      <c r="Y13" s="3422"/>
      <c r="Z13" s="3422"/>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22"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22"/>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22"/>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23" t="s">
        <v>3434</v>
      </c>
      <c r="W18" s="3424"/>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22"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22"/>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23" t="s">
        <v>3434</v>
      </c>
      <c r="W21" s="3424"/>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23" t="s">
        <v>3452</v>
      </c>
      <c r="W22" s="3424"/>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25"/>
      <c r="W29" s="3425"/>
      <c r="X29" s="3425"/>
      <c r="Y29" s="3425"/>
      <c r="Z29" s="3425"/>
      <c r="AA29" s="3425"/>
      <c r="AB29" s="3425"/>
      <c r="AC29" s="3425"/>
      <c r="AD29" s="3425"/>
      <c r="AE29" s="3425"/>
      <c r="AF29" s="3425"/>
      <c r="AG29" s="3425"/>
      <c r="AH29" s="3425"/>
    </row>
    <row r="30" spans="1:34">
      <c r="V30" s="3425"/>
      <c r="W30" s="3184"/>
      <c r="X30" s="3425"/>
      <c r="Y30" s="3425"/>
      <c r="Z30" s="3425"/>
      <c r="AA30" s="3425"/>
      <c r="AB30" s="3425"/>
      <c r="AC30" s="3425"/>
      <c r="AD30" s="3425"/>
      <c r="AE30" s="3425"/>
      <c r="AF30" s="3425"/>
      <c r="AG30" s="3425"/>
      <c r="AH30" s="3425"/>
    </row>
    <row r="34" spans="1:31" ht="22.5" customHeight="1" thickBot="1">
      <c r="A34" s="3414" t="s">
        <v>3483</v>
      </c>
      <c r="B34" s="3414"/>
      <c r="C34" s="3415"/>
      <c r="D34" s="3415"/>
      <c r="E34" s="3415"/>
      <c r="F34" s="3415"/>
      <c r="G34" s="3414"/>
      <c r="H34" s="3414"/>
      <c r="I34" s="3414"/>
      <c r="J34" s="3414"/>
      <c r="K34" s="3414"/>
      <c r="L34" s="3414"/>
      <c r="M34" s="3414"/>
      <c r="N34" s="3414"/>
      <c r="O34" s="3185"/>
      <c r="P34" s="3185"/>
      <c r="Q34" s="3185"/>
      <c r="R34" s="3185"/>
      <c r="S34" s="3185"/>
      <c r="T34" s="3186"/>
      <c r="U34" s="3187"/>
    </row>
    <row r="35" spans="1:31" ht="12.75" thickBot="1">
      <c r="A35" s="3160"/>
      <c r="B35" s="3161"/>
      <c r="C35" s="3416" t="s">
        <v>3431</v>
      </c>
      <c r="D35" s="3417"/>
      <c r="E35" s="3418"/>
      <c r="F35" s="3419"/>
      <c r="G35" s="3420" t="s">
        <v>3432</v>
      </c>
      <c r="H35" s="3421"/>
      <c r="I35" s="3421"/>
      <c r="J35" s="3421"/>
      <c r="K35" s="3421"/>
      <c r="L35" s="3421"/>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11" t="s">
        <v>3449</v>
      </c>
      <c r="Y36" s="3411"/>
      <c r="Z36" s="3411"/>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11"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11"/>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11"/>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12" t="s">
        <v>3434</v>
      </c>
      <c r="W41" s="3413"/>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11"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11"/>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12" t="s">
        <v>3434</v>
      </c>
      <c r="W44" s="3413"/>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12" t="s">
        <v>3452</v>
      </c>
      <c r="W45" s="3413"/>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25">
        <v>104.07</v>
      </c>
      <c r="E50" s="3326">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25">
        <v>52.23</v>
      </c>
      <c r="J51" s="3325">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8">
        <f t="shared" ref="D52:L52" si="11">SUM(D37:D51)</f>
        <v>104.07</v>
      </c>
      <c r="E52" s="3328">
        <f t="shared" si="11"/>
        <v>206.11</v>
      </c>
      <c r="F52" s="3177">
        <f t="shared" si="11"/>
        <v>47.43</v>
      </c>
      <c r="G52" s="3178">
        <f t="shared" si="11"/>
        <v>10240.049999999999</v>
      </c>
      <c r="H52" s="3174">
        <f t="shared" si="11"/>
        <v>2354.37</v>
      </c>
      <c r="I52" s="3328">
        <f t="shared" si="11"/>
        <v>52.23</v>
      </c>
      <c r="J52" s="3328">
        <f t="shared" si="11"/>
        <v>518.42999999999995</v>
      </c>
      <c r="K52" s="3174">
        <f t="shared" si="11"/>
        <v>1653.91</v>
      </c>
      <c r="L52" s="3328">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7" t="s">
        <v>4854</v>
      </c>
      <c r="B58" s="3154">
        <f>A55-L51</f>
        <v>56655.159999999996</v>
      </c>
      <c r="I58" s="3154" t="s">
        <v>4855</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4856</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7">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4860</v>
      </c>
    </row>
    <row r="67" spans="9:13">
      <c r="I67" s="3160" t="s">
        <v>4857</v>
      </c>
      <c r="J67" s="3160">
        <v>880.84</v>
      </c>
      <c r="K67" s="3154">
        <f>D52+E52+I52+J52</f>
        <v>880.83999999999992</v>
      </c>
      <c r="L67" s="3154" t="s">
        <v>4864</v>
      </c>
      <c r="M67" s="3154">
        <f>'最终-住宅未正签'!F243</f>
        <v>991.82</v>
      </c>
    </row>
    <row r="68" spans="9:13">
      <c r="I68" s="3160" t="s">
        <v>4858</v>
      </c>
      <c r="J68" s="3160">
        <v>4003.89</v>
      </c>
      <c r="K68" s="3154">
        <f>L52</f>
        <v>4003.89</v>
      </c>
      <c r="L68" s="3154" t="s">
        <v>4855</v>
      </c>
      <c r="M68" s="3154">
        <f>C52</f>
        <v>40486.740000000005</v>
      </c>
    </row>
    <row r="69" spans="9:13">
      <c r="I69" s="3160" t="s">
        <v>4859</v>
      </c>
      <c r="J69" s="3160">
        <f>16116.02+35654.25</f>
        <v>51770.270000000004</v>
      </c>
      <c r="L69" s="3154" t="s">
        <v>4865</v>
      </c>
    </row>
    <row r="70" spans="9:13">
      <c r="I70" s="3160" t="s">
        <v>4863</v>
      </c>
      <c r="J70" s="3160"/>
      <c r="L70" s="3154" t="s">
        <v>4856</v>
      </c>
      <c r="M70" s="3154">
        <f>H52</f>
        <v>2354.37</v>
      </c>
    </row>
    <row r="71" spans="9:13">
      <c r="I71" s="3160"/>
      <c r="J71" s="3160"/>
      <c r="M71" s="3154">
        <f>M68+M70+G52</f>
        <v>53081.16</v>
      </c>
    </row>
    <row r="72" spans="9:13">
      <c r="I72" s="3160"/>
      <c r="J72" s="3160"/>
    </row>
    <row r="73" spans="9:13">
      <c r="I73" s="3160" t="s">
        <v>4861</v>
      </c>
      <c r="J73" s="3160"/>
    </row>
    <row r="74" spans="9:13">
      <c r="I74" s="3160" t="s">
        <v>4862</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18:W18"/>
    <mergeCell ref="A10:N10"/>
    <mergeCell ref="C11:F11"/>
    <mergeCell ref="G11:L11"/>
    <mergeCell ref="X13:Z13"/>
    <mergeCell ref="V15:V17"/>
    <mergeCell ref="X36:Z36"/>
    <mergeCell ref="V38:V40"/>
    <mergeCell ref="V41:W41"/>
    <mergeCell ref="V19:V20"/>
    <mergeCell ref="V21:W21"/>
    <mergeCell ref="V22:W22"/>
    <mergeCell ref="V29:V30"/>
    <mergeCell ref="W29:AH29"/>
    <mergeCell ref="X30:AA30"/>
    <mergeCell ref="AB30:AH30"/>
    <mergeCell ref="V42:V43"/>
    <mergeCell ref="V44:W44"/>
    <mergeCell ref="V45:W45"/>
    <mergeCell ref="A34:N34"/>
    <mergeCell ref="C35:F35"/>
    <mergeCell ref="G35:L35"/>
  </mergeCells>
  <phoneticPr fontId="135"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4"/>
  <sheetViews>
    <sheetView topLeftCell="C326" workbookViewId="0">
      <selection activeCell="D3" sqref="D3:D337"/>
    </sheetView>
  </sheetViews>
  <sheetFormatPr defaultColWidth="9" defaultRowHeight="13.5"/>
  <cols>
    <col min="1" max="1" width="9" style="3227"/>
    <col min="2" max="2" width="33.375" style="3227" customWidth="1"/>
    <col min="3" max="3" width="11.5" style="3227" customWidth="1"/>
    <col min="4" max="5" width="9" style="3227"/>
    <col min="6" max="6" width="13.5" style="3227" customWidth="1"/>
    <col min="7" max="7" width="9" style="3227"/>
    <col min="8" max="9" width="12.125" style="3227" customWidth="1"/>
    <col min="10" max="10" width="15.5" style="3227" customWidth="1"/>
    <col min="11" max="11" width="14.375" style="3227" customWidth="1"/>
    <col min="12" max="16384" width="9" style="3227"/>
  </cols>
  <sheetData>
    <row r="1" spans="1:15" ht="32.1" customHeight="1">
      <c r="A1" s="3428" t="s">
        <v>4818</v>
      </c>
      <c r="B1" s="3428"/>
      <c r="C1" s="3428"/>
      <c r="D1" s="3428"/>
      <c r="E1" s="3428"/>
      <c r="F1" s="3428"/>
      <c r="G1" s="3428"/>
      <c r="H1" s="3428"/>
      <c r="I1" s="3428"/>
      <c r="J1" s="3428"/>
      <c r="K1" s="3428"/>
    </row>
    <row r="2" spans="1:15" ht="39" customHeight="1">
      <c r="A2" s="3302" t="s">
        <v>3729</v>
      </c>
      <c r="B2" s="3302" t="s">
        <v>4817</v>
      </c>
      <c r="C2" s="3302" t="s">
        <v>4816</v>
      </c>
      <c r="D2" s="3302" t="s">
        <v>4393</v>
      </c>
      <c r="E2" s="3302" t="s">
        <v>3410</v>
      </c>
      <c r="F2" s="3302" t="s">
        <v>4815</v>
      </c>
      <c r="G2" s="3302" t="s">
        <v>4814</v>
      </c>
      <c r="H2" s="3302" t="s">
        <v>4813</v>
      </c>
      <c r="I2" s="3302" t="s">
        <v>4812</v>
      </c>
      <c r="J2" s="3302" t="s">
        <v>4811</v>
      </c>
      <c r="K2" s="3302" t="s">
        <v>3736</v>
      </c>
      <c r="M2" s="3226"/>
      <c r="N2" s="3226" t="s">
        <v>4810</v>
      </c>
      <c r="O2" s="3226" t="s">
        <v>4809</v>
      </c>
    </row>
    <row r="3" spans="1:15">
      <c r="A3" s="3301">
        <v>1</v>
      </c>
      <c r="B3" s="3301" t="s">
        <v>3737</v>
      </c>
      <c r="C3" s="3301" t="s">
        <v>3395</v>
      </c>
      <c r="D3" s="3301" t="s">
        <v>4808</v>
      </c>
      <c r="E3" s="3301">
        <v>91.2</v>
      </c>
      <c r="F3" s="3301">
        <v>74.95</v>
      </c>
      <c r="G3" s="3301" t="s">
        <v>3738</v>
      </c>
      <c r="H3" s="3301" t="s">
        <v>3738</v>
      </c>
      <c r="I3" s="3301"/>
      <c r="J3" s="3301"/>
      <c r="K3" s="3301"/>
      <c r="M3" s="3226" t="s">
        <v>4807</v>
      </c>
      <c r="N3" s="3226">
        <v>3402.6699999999978</v>
      </c>
      <c r="O3" s="3226">
        <v>3550.73</v>
      </c>
    </row>
    <row r="4" spans="1:15">
      <c r="A4" s="3301">
        <v>2</v>
      </c>
      <c r="B4" s="3301" t="s">
        <v>3737</v>
      </c>
      <c r="C4" s="3301" t="s">
        <v>3395</v>
      </c>
      <c r="D4" s="3301" t="s">
        <v>4806</v>
      </c>
      <c r="E4" s="3301">
        <v>109.72</v>
      </c>
      <c r="F4" s="3301">
        <v>90.17</v>
      </c>
      <c r="G4" s="3301" t="s">
        <v>3738</v>
      </c>
      <c r="H4" s="3301" t="s">
        <v>3738</v>
      </c>
      <c r="I4" s="3301"/>
      <c r="J4" s="3301"/>
      <c r="K4" s="3301"/>
      <c r="M4" s="3226" t="s">
        <v>4805</v>
      </c>
      <c r="N4" s="3226">
        <v>983.37999999999988</v>
      </c>
      <c r="O4" s="3226">
        <v>1263.18</v>
      </c>
    </row>
    <row r="5" spans="1:15">
      <c r="A5" s="3301">
        <v>3</v>
      </c>
      <c r="B5" s="3301" t="s">
        <v>3737</v>
      </c>
      <c r="C5" s="3301" t="s">
        <v>3395</v>
      </c>
      <c r="D5" s="3301" t="s">
        <v>4804</v>
      </c>
      <c r="E5" s="3301">
        <v>110.17</v>
      </c>
      <c r="F5" s="3301">
        <v>90.54</v>
      </c>
      <c r="G5" s="3301" t="s">
        <v>3738</v>
      </c>
      <c r="H5" s="3301" t="s">
        <v>3738</v>
      </c>
      <c r="I5" s="3301"/>
      <c r="J5" s="3301"/>
      <c r="K5" s="3301"/>
      <c r="M5" s="3226" t="s">
        <v>4803</v>
      </c>
      <c r="N5" s="3226">
        <v>1232.1500000000001</v>
      </c>
      <c r="O5" s="3226">
        <v>739.29</v>
      </c>
    </row>
    <row r="6" spans="1:15">
      <c r="A6" s="3301">
        <v>4</v>
      </c>
      <c r="B6" s="3301" t="s">
        <v>3737</v>
      </c>
      <c r="C6" s="3301" t="s">
        <v>3395</v>
      </c>
      <c r="D6" s="3301" t="s">
        <v>4802</v>
      </c>
      <c r="E6" s="3301">
        <v>109.72</v>
      </c>
      <c r="F6" s="3301">
        <v>90.17</v>
      </c>
      <c r="G6" s="3301" t="s">
        <v>3738</v>
      </c>
      <c r="H6" s="3301" t="s">
        <v>3738</v>
      </c>
      <c r="I6" s="3301"/>
      <c r="J6" s="3301"/>
      <c r="K6" s="3301"/>
      <c r="M6" s="3226" t="s">
        <v>4801</v>
      </c>
      <c r="N6" s="3226">
        <f>1670.57+110.18</f>
        <v>1780.75</v>
      </c>
      <c r="O6" s="3226">
        <f>1671.02-110.18</f>
        <v>1560.84</v>
      </c>
    </row>
    <row r="7" spans="1:15">
      <c r="A7" s="3301">
        <v>5</v>
      </c>
      <c r="B7" s="3301" t="s">
        <v>3737</v>
      </c>
      <c r="C7" s="3301" t="s">
        <v>3395</v>
      </c>
      <c r="D7" s="3301" t="s">
        <v>4800</v>
      </c>
      <c r="E7" s="3301">
        <v>110.17</v>
      </c>
      <c r="F7" s="3301">
        <v>90.54</v>
      </c>
      <c r="G7" s="3301" t="s">
        <v>3738</v>
      </c>
      <c r="H7" s="3301" t="s">
        <v>3738</v>
      </c>
      <c r="I7" s="3301"/>
      <c r="J7" s="3301"/>
      <c r="K7" s="3301"/>
      <c r="M7" s="3226" t="s">
        <v>3499</v>
      </c>
      <c r="N7" s="3226">
        <f>330.54+110.18</f>
        <v>440.72</v>
      </c>
      <c r="O7" s="3226">
        <f>2900.71-110.18</f>
        <v>2790.53</v>
      </c>
    </row>
    <row r="8" spans="1:15">
      <c r="A8" s="3301">
        <v>6</v>
      </c>
      <c r="B8" s="3301" t="s">
        <v>3737</v>
      </c>
      <c r="C8" s="3301" t="s">
        <v>3395</v>
      </c>
      <c r="D8" s="3301" t="s">
        <v>3765</v>
      </c>
      <c r="E8" s="3301">
        <v>109.72</v>
      </c>
      <c r="F8" s="3301">
        <v>90.17</v>
      </c>
      <c r="G8" s="3301" t="s">
        <v>3738</v>
      </c>
      <c r="H8" s="3301" t="s">
        <v>3738</v>
      </c>
      <c r="I8" s="3301" t="s">
        <v>3738</v>
      </c>
      <c r="J8" s="3301" t="s">
        <v>3738</v>
      </c>
      <c r="K8" s="3301" t="str">
        <f>VLOOKUP(D8,[4]已网签!$C$3:$I$138,7,0)</f>
        <v>Y2716814</v>
      </c>
      <c r="M8" s="3226" t="s">
        <v>4799</v>
      </c>
      <c r="N8" s="3226">
        <v>422.49</v>
      </c>
      <c r="O8" s="3226">
        <v>1828.0700000000004</v>
      </c>
    </row>
    <row r="9" spans="1:15">
      <c r="A9" s="3301">
        <v>7</v>
      </c>
      <c r="B9" s="3301" t="s">
        <v>3737</v>
      </c>
      <c r="C9" s="3301" t="s">
        <v>3395</v>
      </c>
      <c r="D9" s="3301" t="s">
        <v>3782</v>
      </c>
      <c r="E9" s="3301">
        <v>110.17</v>
      </c>
      <c r="F9" s="3301">
        <v>90.54</v>
      </c>
      <c r="G9" s="3301" t="s">
        <v>3738</v>
      </c>
      <c r="H9" s="3301" t="s">
        <v>3738</v>
      </c>
      <c r="I9" s="3301" t="s">
        <v>3738</v>
      </c>
      <c r="J9" s="3301" t="s">
        <v>3738</v>
      </c>
      <c r="K9" s="3301" t="str">
        <f>VLOOKUP(D9,[4]已网签!$C$3:$I$138,7,0)</f>
        <v>Y2760602</v>
      </c>
      <c r="M9" s="3226" t="s">
        <v>4798</v>
      </c>
      <c r="N9" s="3226">
        <v>527</v>
      </c>
      <c r="O9" s="3226">
        <v>1448.2000000000003</v>
      </c>
    </row>
    <row r="10" spans="1:15">
      <c r="A10" s="3301">
        <v>8</v>
      </c>
      <c r="B10" s="3301" t="s">
        <v>3737</v>
      </c>
      <c r="C10" s="3301" t="s">
        <v>3395</v>
      </c>
      <c r="D10" s="3301" t="s">
        <v>3775</v>
      </c>
      <c r="E10" s="3301">
        <v>109.72</v>
      </c>
      <c r="F10" s="3301">
        <v>90.17</v>
      </c>
      <c r="G10" s="3301" t="s">
        <v>3738</v>
      </c>
      <c r="H10" s="3301" t="s">
        <v>3738</v>
      </c>
      <c r="I10" s="3301" t="s">
        <v>3738</v>
      </c>
      <c r="J10" s="3301" t="s">
        <v>3738</v>
      </c>
      <c r="K10" s="3301" t="str">
        <f>VLOOKUP(D10,[4]已网签!$C$3:$I$138,7,0)</f>
        <v>Y2734090</v>
      </c>
      <c r="M10" s="3226" t="s">
        <v>4797</v>
      </c>
      <c r="N10" s="3226">
        <v>1916.94</v>
      </c>
      <c r="O10" s="3226">
        <v>1613.3799999999997</v>
      </c>
    </row>
    <row r="11" spans="1:15">
      <c r="A11" s="3301">
        <v>9</v>
      </c>
      <c r="B11" s="3301" t="s">
        <v>3737</v>
      </c>
      <c r="C11" s="3301" t="s">
        <v>3395</v>
      </c>
      <c r="D11" s="3301" t="s">
        <v>4796</v>
      </c>
      <c r="E11" s="3301">
        <v>110.17</v>
      </c>
      <c r="F11" s="3301">
        <v>90.54</v>
      </c>
      <c r="G11" s="3301" t="s">
        <v>3738</v>
      </c>
      <c r="H11" s="3301" t="s">
        <v>3738</v>
      </c>
      <c r="I11" s="3301" t="s">
        <v>3738</v>
      </c>
      <c r="J11" s="3301" t="s">
        <v>3983</v>
      </c>
      <c r="K11" s="3301"/>
      <c r="M11" s="3226" t="s">
        <v>4795</v>
      </c>
      <c r="N11" s="3226">
        <v>672.5200000000001</v>
      </c>
      <c r="O11" s="3226">
        <v>2854.1800000000003</v>
      </c>
    </row>
    <row r="12" spans="1:15">
      <c r="A12" s="3301">
        <v>10</v>
      </c>
      <c r="B12" s="3301" t="s">
        <v>3737</v>
      </c>
      <c r="C12" s="3301" t="s">
        <v>3395</v>
      </c>
      <c r="D12" s="3301" t="s">
        <v>4463</v>
      </c>
      <c r="E12" s="3301">
        <v>109.72</v>
      </c>
      <c r="F12" s="3301">
        <v>90.17</v>
      </c>
      <c r="G12" s="3301" t="s">
        <v>3738</v>
      </c>
      <c r="H12" s="3301" t="s">
        <v>3738</v>
      </c>
      <c r="I12" s="3301" t="s">
        <v>3738</v>
      </c>
      <c r="J12" s="3301" t="s">
        <v>3738</v>
      </c>
      <c r="K12" s="3301" t="str">
        <f>VLOOKUP(D12,[4]已网签!$C$3:$I$138,7,0)</f>
        <v>Y2697400</v>
      </c>
      <c r="M12" s="3226" t="s">
        <v>4794</v>
      </c>
      <c r="N12" s="3226">
        <v>702.62</v>
      </c>
      <c r="O12" s="3226">
        <v>1550.6599999999999</v>
      </c>
    </row>
    <row r="13" spans="1:15">
      <c r="A13" s="3301">
        <v>11</v>
      </c>
      <c r="B13" s="3301" t="s">
        <v>3737</v>
      </c>
      <c r="C13" s="3301" t="s">
        <v>3395</v>
      </c>
      <c r="D13" s="3301" t="s">
        <v>4469</v>
      </c>
      <c r="E13" s="3301">
        <v>110.17</v>
      </c>
      <c r="F13" s="3301">
        <v>90.54</v>
      </c>
      <c r="G13" s="3301" t="s">
        <v>3738</v>
      </c>
      <c r="H13" s="3301" t="s">
        <v>3738</v>
      </c>
      <c r="I13" s="3301" t="s">
        <v>3738</v>
      </c>
      <c r="J13" s="3301" t="s">
        <v>3738</v>
      </c>
      <c r="K13" s="3301" t="str">
        <f>VLOOKUP(D13,[4]已网签!$C$3:$I$138,7,0)</f>
        <v>Y2741915</v>
      </c>
      <c r="M13" s="3226" t="s">
        <v>4793</v>
      </c>
      <c r="N13" s="3226">
        <v>509.74</v>
      </c>
      <c r="O13" s="3226">
        <v>1462.9</v>
      </c>
    </row>
    <row r="14" spans="1:15">
      <c r="A14" s="3301">
        <v>12</v>
      </c>
      <c r="B14" s="3301" t="s">
        <v>3737</v>
      </c>
      <c r="C14" s="3301" t="s">
        <v>3395</v>
      </c>
      <c r="D14" s="3301" t="s">
        <v>4461</v>
      </c>
      <c r="E14" s="3301">
        <v>109.72</v>
      </c>
      <c r="F14" s="3301">
        <v>90.17</v>
      </c>
      <c r="G14" s="3301" t="s">
        <v>3738</v>
      </c>
      <c r="H14" s="3301" t="s">
        <v>3738</v>
      </c>
      <c r="I14" s="3301" t="s">
        <v>3738</v>
      </c>
      <c r="J14" s="3301" t="s">
        <v>3738</v>
      </c>
      <c r="K14" s="3301" t="str">
        <f>VLOOKUP(D14,[4]已网签!$C$3:$I$138,7,0)</f>
        <v>Y2693948</v>
      </c>
      <c r="M14" s="3226" t="s">
        <v>4792</v>
      </c>
      <c r="N14" s="3226">
        <v>2320.56</v>
      </c>
      <c r="O14" s="3226">
        <v>1804.8799999999997</v>
      </c>
    </row>
    <row r="15" spans="1:15">
      <c r="A15" s="3301">
        <v>13</v>
      </c>
      <c r="B15" s="3301" t="s">
        <v>3737</v>
      </c>
      <c r="C15" s="3301" t="s">
        <v>3395</v>
      </c>
      <c r="D15" s="3301" t="s">
        <v>3759</v>
      </c>
      <c r="E15" s="3301">
        <v>110.17</v>
      </c>
      <c r="F15" s="3301">
        <v>90.54</v>
      </c>
      <c r="G15" s="3301" t="s">
        <v>3738</v>
      </c>
      <c r="H15" s="3301" t="s">
        <v>3738</v>
      </c>
      <c r="I15" s="3301" t="s">
        <v>3738</v>
      </c>
      <c r="J15" s="3301" t="s">
        <v>3738</v>
      </c>
      <c r="K15" s="3301" t="str">
        <f>VLOOKUP(D15,[4]已网签!$C$3:$I$138,7,0)</f>
        <v>Y2711117</v>
      </c>
      <c r="M15" s="3226" t="s">
        <v>4791</v>
      </c>
      <c r="N15" s="3226">
        <v>1424.84</v>
      </c>
      <c r="O15" s="3226">
        <v>1683.52</v>
      </c>
    </row>
    <row r="16" spans="1:15">
      <c r="A16" s="3301">
        <v>14</v>
      </c>
      <c r="B16" s="3301" t="s">
        <v>3737</v>
      </c>
      <c r="C16" s="3301" t="s">
        <v>3395</v>
      </c>
      <c r="D16" s="3301" t="s">
        <v>4462</v>
      </c>
      <c r="E16" s="3301">
        <v>109.72</v>
      </c>
      <c r="F16" s="3301">
        <v>90.17</v>
      </c>
      <c r="G16" s="3301" t="s">
        <v>3738</v>
      </c>
      <c r="H16" s="3301" t="s">
        <v>3738</v>
      </c>
      <c r="I16" s="3301" t="s">
        <v>3738</v>
      </c>
      <c r="J16" s="3301" t="s">
        <v>3738</v>
      </c>
      <c r="K16" s="3301" t="str">
        <f>VLOOKUP(D16,[4]已网签!$C$3:$I$138,7,0)</f>
        <v>Y2695220</v>
      </c>
      <c r="M16" s="3226" t="s">
        <v>2582</v>
      </c>
      <c r="N16" s="3226">
        <f>SUM(N3:N15)</f>
        <v>16336.38</v>
      </c>
      <c r="O16" s="3226">
        <f>SUM(O3:O15)</f>
        <v>24150.360000000004</v>
      </c>
    </row>
    <row r="17" spans="1:15">
      <c r="A17" s="3301">
        <v>15</v>
      </c>
      <c r="B17" s="3301" t="s">
        <v>3737</v>
      </c>
      <c r="C17" s="3301" t="s">
        <v>3395</v>
      </c>
      <c r="D17" s="3301" t="s">
        <v>4790</v>
      </c>
      <c r="E17" s="3301">
        <v>110.17</v>
      </c>
      <c r="F17" s="3301">
        <v>90.54</v>
      </c>
      <c r="G17" s="3301" t="s">
        <v>3738</v>
      </c>
      <c r="H17" s="3301" t="s">
        <v>3738</v>
      </c>
      <c r="I17" s="3301"/>
      <c r="J17" s="3301"/>
      <c r="K17" s="3301"/>
      <c r="M17" s="3226" t="s">
        <v>4789</v>
      </c>
      <c r="N17" s="3226">
        <f>N16+O16</f>
        <v>40486.740000000005</v>
      </c>
      <c r="O17" s="3226"/>
    </row>
    <row r="18" spans="1:15">
      <c r="A18" s="3301">
        <v>16</v>
      </c>
      <c r="B18" s="3301" t="s">
        <v>3737</v>
      </c>
      <c r="C18" s="3301" t="s">
        <v>3395</v>
      </c>
      <c r="D18" s="3301" t="s">
        <v>4788</v>
      </c>
      <c r="E18" s="3301">
        <v>109.72</v>
      </c>
      <c r="F18" s="3301">
        <v>90.17</v>
      </c>
      <c r="G18" s="3301" t="s">
        <v>3738</v>
      </c>
      <c r="H18" s="3301" t="s">
        <v>3738</v>
      </c>
      <c r="I18" s="3301"/>
      <c r="J18" s="3301"/>
      <c r="K18" s="3301"/>
    </row>
    <row r="19" spans="1:15">
      <c r="A19" s="3301">
        <v>17</v>
      </c>
      <c r="B19" s="3301" t="s">
        <v>3737</v>
      </c>
      <c r="C19" s="3301" t="s">
        <v>3395</v>
      </c>
      <c r="D19" s="3301" t="s">
        <v>4787</v>
      </c>
      <c r="E19" s="3301">
        <v>90.75</v>
      </c>
      <c r="F19" s="3301">
        <v>74.58</v>
      </c>
      <c r="G19" s="3301" t="s">
        <v>3738</v>
      </c>
      <c r="H19" s="3301" t="s">
        <v>3738</v>
      </c>
      <c r="I19" s="3301"/>
      <c r="J19" s="3301"/>
      <c r="K19" s="3301"/>
    </row>
    <row r="20" spans="1:15">
      <c r="A20" s="3301">
        <v>18</v>
      </c>
      <c r="B20" s="3301" t="s">
        <v>3737</v>
      </c>
      <c r="C20" s="3301" t="s">
        <v>3395</v>
      </c>
      <c r="D20" s="3301" t="s">
        <v>4786</v>
      </c>
      <c r="E20" s="3301">
        <v>109.72</v>
      </c>
      <c r="F20" s="3301">
        <v>90.17</v>
      </c>
      <c r="G20" s="3301" t="s">
        <v>3738</v>
      </c>
      <c r="H20" s="3301" t="s">
        <v>3738</v>
      </c>
      <c r="I20" s="3301"/>
      <c r="J20" s="3301"/>
      <c r="K20" s="3301"/>
    </row>
    <row r="21" spans="1:15">
      <c r="A21" s="3301">
        <v>19</v>
      </c>
      <c r="B21" s="3301" t="s">
        <v>3737</v>
      </c>
      <c r="C21" s="3301" t="s">
        <v>3395</v>
      </c>
      <c r="D21" s="3301" t="s">
        <v>4785</v>
      </c>
      <c r="E21" s="3301">
        <v>109.72</v>
      </c>
      <c r="F21" s="3301">
        <v>90.17</v>
      </c>
      <c r="G21" s="3301" t="s">
        <v>3738</v>
      </c>
      <c r="H21" s="3301" t="s">
        <v>3738</v>
      </c>
      <c r="I21" s="3301"/>
      <c r="J21" s="3301"/>
      <c r="K21" s="3301"/>
      <c r="M21" s="3227" t="s">
        <v>2542</v>
      </c>
      <c r="N21" s="3227">
        <f>SUM(E3:E337)</f>
        <v>40486.739999999947</v>
      </c>
    </row>
    <row r="22" spans="1:15">
      <c r="A22" s="3301">
        <v>20</v>
      </c>
      <c r="B22" s="3301" t="s">
        <v>3737</v>
      </c>
      <c r="C22" s="3301" t="s">
        <v>3395</v>
      </c>
      <c r="D22" s="3301" t="s">
        <v>4784</v>
      </c>
      <c r="E22" s="3301">
        <v>109.72</v>
      </c>
      <c r="F22" s="3301">
        <v>90.17</v>
      </c>
      <c r="G22" s="3301" t="s">
        <v>3738</v>
      </c>
      <c r="H22" s="3301" t="s">
        <v>3738</v>
      </c>
      <c r="I22" s="3301"/>
      <c r="J22" s="3301"/>
      <c r="K22" s="3301"/>
      <c r="M22" s="3227" t="s">
        <v>3458</v>
      </c>
      <c r="N22" s="3227">
        <f>SUM(E338:E454)</f>
        <v>2354.3699999999985</v>
      </c>
    </row>
    <row r="23" spans="1:15">
      <c r="A23" s="3301">
        <v>21</v>
      </c>
      <c r="B23" s="3301" t="s">
        <v>3737</v>
      </c>
      <c r="C23" s="3301" t="s">
        <v>3395</v>
      </c>
      <c r="D23" s="3301" t="s">
        <v>4464</v>
      </c>
      <c r="E23" s="3301">
        <v>109.72</v>
      </c>
      <c r="F23" s="3301">
        <v>90.17</v>
      </c>
      <c r="G23" s="3301" t="s">
        <v>3738</v>
      </c>
      <c r="H23" s="3301" t="s">
        <v>3738</v>
      </c>
      <c r="I23" s="3301" t="s">
        <v>3738</v>
      </c>
      <c r="J23" s="3301" t="s">
        <v>3738</v>
      </c>
      <c r="K23" s="3301" t="str">
        <f>VLOOKUP(D23,[4]已网签!$C$3:$I$138,7,0)</f>
        <v>Y2699010</v>
      </c>
    </row>
    <row r="24" spans="1:15">
      <c r="A24" s="3301">
        <v>22</v>
      </c>
      <c r="B24" s="3301" t="s">
        <v>3737</v>
      </c>
      <c r="C24" s="3301" t="s">
        <v>3395</v>
      </c>
      <c r="D24" s="3301" t="s">
        <v>3771</v>
      </c>
      <c r="E24" s="3301">
        <v>109.72</v>
      </c>
      <c r="F24" s="3301">
        <v>90.17</v>
      </c>
      <c r="G24" s="3301" t="s">
        <v>3738</v>
      </c>
      <c r="H24" s="3301" t="s">
        <v>3738</v>
      </c>
      <c r="I24" s="3301" t="s">
        <v>3738</v>
      </c>
      <c r="J24" s="3301" t="s">
        <v>3738</v>
      </c>
      <c r="K24" s="3301" t="str">
        <f>VLOOKUP(D24,[4]已网签!$C$3:$I$138,7,0)</f>
        <v>Y2721735</v>
      </c>
    </row>
    <row r="25" spans="1:15">
      <c r="A25" s="3301">
        <v>23</v>
      </c>
      <c r="B25" s="3301" t="s">
        <v>3737</v>
      </c>
      <c r="C25" s="3301" t="s">
        <v>3395</v>
      </c>
      <c r="D25" s="3301" t="s">
        <v>4467</v>
      </c>
      <c r="E25" s="3301">
        <v>109.72</v>
      </c>
      <c r="F25" s="3301">
        <v>90.17</v>
      </c>
      <c r="G25" s="3301" t="s">
        <v>3738</v>
      </c>
      <c r="H25" s="3301" t="s">
        <v>3738</v>
      </c>
      <c r="I25" s="3301" t="s">
        <v>3738</v>
      </c>
      <c r="J25" s="3301" t="s">
        <v>3738</v>
      </c>
      <c r="K25" s="3301" t="str">
        <f>VLOOKUP(D25,[4]已网签!$C$3:$I$138,7,0)</f>
        <v>Y2707343</v>
      </c>
    </row>
    <row r="26" spans="1:15">
      <c r="A26" s="3301">
        <v>24</v>
      </c>
      <c r="B26" s="3301" t="s">
        <v>3737</v>
      </c>
      <c r="C26" s="3301" t="s">
        <v>3395</v>
      </c>
      <c r="D26" s="3301" t="s">
        <v>3767</v>
      </c>
      <c r="E26" s="3301">
        <v>109.72</v>
      </c>
      <c r="F26" s="3301">
        <v>90.17</v>
      </c>
      <c r="G26" s="3301" t="s">
        <v>3738</v>
      </c>
      <c r="H26" s="3301" t="s">
        <v>3738</v>
      </c>
      <c r="I26" s="3301" t="s">
        <v>3738</v>
      </c>
      <c r="J26" s="3301" t="s">
        <v>3738</v>
      </c>
      <c r="K26" s="3301" t="str">
        <f>VLOOKUP(D26,[4]已网签!$C$3:$I$138,7,0)</f>
        <v>Y2718115</v>
      </c>
    </row>
    <row r="27" spans="1:15">
      <c r="A27" s="3301">
        <v>25</v>
      </c>
      <c r="B27" s="3301" t="s">
        <v>3737</v>
      </c>
      <c r="C27" s="3301" t="s">
        <v>3395</v>
      </c>
      <c r="D27" s="3301" t="s">
        <v>3755</v>
      </c>
      <c r="E27" s="3301">
        <v>109.72</v>
      </c>
      <c r="F27" s="3301">
        <v>90.17</v>
      </c>
      <c r="G27" s="3301" t="s">
        <v>3738</v>
      </c>
      <c r="H27" s="3301" t="s">
        <v>3738</v>
      </c>
      <c r="I27" s="3301" t="s">
        <v>3738</v>
      </c>
      <c r="J27" s="3301" t="s">
        <v>3738</v>
      </c>
      <c r="K27" s="3301" t="str">
        <f>VLOOKUP(D27,[4]已网签!$C$3:$I$138,7,0)</f>
        <v>Y2708906</v>
      </c>
    </row>
    <row r="28" spans="1:15">
      <c r="A28" s="3301">
        <v>26</v>
      </c>
      <c r="B28" s="3301" t="s">
        <v>3737</v>
      </c>
      <c r="C28" s="3301" t="s">
        <v>3395</v>
      </c>
      <c r="D28" s="3301" t="s">
        <v>4457</v>
      </c>
      <c r="E28" s="3301">
        <v>109.72</v>
      </c>
      <c r="F28" s="3301">
        <v>90.17</v>
      </c>
      <c r="G28" s="3301" t="s">
        <v>3738</v>
      </c>
      <c r="H28" s="3301" t="s">
        <v>3738</v>
      </c>
      <c r="I28" s="3301" t="s">
        <v>3738</v>
      </c>
      <c r="J28" s="3301" t="s">
        <v>3738</v>
      </c>
      <c r="K28" s="3301" t="str">
        <f>VLOOKUP(D28,[4]已网签!$C$3:$I$138,7,0)</f>
        <v>Y2690437</v>
      </c>
    </row>
    <row r="29" spans="1:15">
      <c r="A29" s="3301">
        <v>27</v>
      </c>
      <c r="B29" s="3301" t="s">
        <v>3737</v>
      </c>
      <c r="C29" s="3301" t="s">
        <v>3395</v>
      </c>
      <c r="D29" s="3301" t="s">
        <v>4468</v>
      </c>
      <c r="E29" s="3301">
        <v>109.72</v>
      </c>
      <c r="F29" s="3301">
        <v>90.17</v>
      </c>
      <c r="G29" s="3301" t="s">
        <v>3738</v>
      </c>
      <c r="H29" s="3301" t="s">
        <v>3738</v>
      </c>
      <c r="I29" s="3301" t="s">
        <v>3738</v>
      </c>
      <c r="J29" s="3301" t="s">
        <v>3738</v>
      </c>
      <c r="K29" s="3301" t="str">
        <f>VLOOKUP(D29,[4]已网签!$C$3:$I$138,7,0)</f>
        <v>Y2706706</v>
      </c>
    </row>
    <row r="30" spans="1:15">
      <c r="A30" s="3301">
        <v>28</v>
      </c>
      <c r="B30" s="3301" t="s">
        <v>3737</v>
      </c>
      <c r="C30" s="3301" t="s">
        <v>3395</v>
      </c>
      <c r="D30" s="3301" t="s">
        <v>3763</v>
      </c>
      <c r="E30" s="3301">
        <v>109.72</v>
      </c>
      <c r="F30" s="3301">
        <v>90.17</v>
      </c>
      <c r="G30" s="3301" t="s">
        <v>3738</v>
      </c>
      <c r="H30" s="3301" t="s">
        <v>3738</v>
      </c>
      <c r="I30" s="3301" t="s">
        <v>3738</v>
      </c>
      <c r="J30" s="3301" t="s">
        <v>3738</v>
      </c>
      <c r="K30" s="3301" t="str">
        <f>VLOOKUP(D30,[4]已网签!$C$3:$I$138,7,0)</f>
        <v>Y2714271</v>
      </c>
    </row>
    <row r="31" spans="1:15">
      <c r="A31" s="3301">
        <v>29</v>
      </c>
      <c r="B31" s="3301" t="s">
        <v>3737</v>
      </c>
      <c r="C31" s="3301" t="s">
        <v>3395</v>
      </c>
      <c r="D31" s="3301" t="s">
        <v>4465</v>
      </c>
      <c r="E31" s="3301">
        <v>109.72</v>
      </c>
      <c r="F31" s="3301">
        <v>90.17</v>
      </c>
      <c r="G31" s="3301" t="s">
        <v>3738</v>
      </c>
      <c r="H31" s="3301" t="s">
        <v>3738</v>
      </c>
      <c r="I31" s="3301" t="s">
        <v>3738</v>
      </c>
      <c r="J31" s="3301" t="s">
        <v>3738</v>
      </c>
      <c r="K31" s="3301" t="str">
        <f>VLOOKUP(D31,[4]已网签!$C$3:$I$138,7,0)</f>
        <v>Y2697788</v>
      </c>
    </row>
    <row r="32" spans="1:15">
      <c r="A32" s="3301">
        <v>30</v>
      </c>
      <c r="B32" s="3301" t="s">
        <v>3737</v>
      </c>
      <c r="C32" s="3301" t="s">
        <v>3395</v>
      </c>
      <c r="D32" s="3301" t="s">
        <v>4453</v>
      </c>
      <c r="E32" s="3301">
        <v>109.72</v>
      </c>
      <c r="F32" s="3301">
        <v>90.17</v>
      </c>
      <c r="G32" s="3301" t="s">
        <v>3738</v>
      </c>
      <c r="H32" s="3301" t="s">
        <v>3738</v>
      </c>
      <c r="I32" s="3301" t="s">
        <v>3738</v>
      </c>
      <c r="J32" s="3301" t="s">
        <v>3738</v>
      </c>
      <c r="K32" s="3301" t="str">
        <f>VLOOKUP(D32,[4]已网签!$C$3:$I$138,7,0)</f>
        <v>Y2687591</v>
      </c>
    </row>
    <row r="33" spans="1:11">
      <c r="A33" s="3301">
        <v>31</v>
      </c>
      <c r="B33" s="3301" t="s">
        <v>3737</v>
      </c>
      <c r="C33" s="3301" t="s">
        <v>3395</v>
      </c>
      <c r="D33" s="3301" t="s">
        <v>4783</v>
      </c>
      <c r="E33" s="3301">
        <v>109.72</v>
      </c>
      <c r="F33" s="3301">
        <v>90.17</v>
      </c>
      <c r="G33" s="3301" t="s">
        <v>3738</v>
      </c>
      <c r="H33" s="3301" t="s">
        <v>3738</v>
      </c>
      <c r="I33" s="3301"/>
      <c r="J33" s="3301"/>
      <c r="K33" s="3301"/>
    </row>
    <row r="34" spans="1:11">
      <c r="A34" s="3301">
        <v>32</v>
      </c>
      <c r="B34" s="3301" t="s">
        <v>3737</v>
      </c>
      <c r="C34" s="3301" t="s">
        <v>3395</v>
      </c>
      <c r="D34" s="3301" t="s">
        <v>4782</v>
      </c>
      <c r="E34" s="3301">
        <v>109.72</v>
      </c>
      <c r="F34" s="3301">
        <v>90.17</v>
      </c>
      <c r="G34" s="3301" t="s">
        <v>3738</v>
      </c>
      <c r="H34" s="3301" t="s">
        <v>3738</v>
      </c>
      <c r="I34" s="3301"/>
      <c r="J34" s="3301"/>
      <c r="K34" s="3301"/>
    </row>
    <row r="35" spans="1:11">
      <c r="A35" s="3301">
        <v>33</v>
      </c>
      <c r="B35" s="3301" t="s">
        <v>3737</v>
      </c>
      <c r="C35" s="3301" t="s">
        <v>3395</v>
      </c>
      <c r="D35" s="3301" t="s">
        <v>4781</v>
      </c>
      <c r="E35" s="3301">
        <v>90.75</v>
      </c>
      <c r="F35" s="3301">
        <v>74.58</v>
      </c>
      <c r="G35" s="3301" t="s">
        <v>3738</v>
      </c>
      <c r="H35" s="3301" t="s">
        <v>3738</v>
      </c>
      <c r="I35" s="3301"/>
      <c r="J35" s="3301"/>
      <c r="K35" s="3301"/>
    </row>
    <row r="36" spans="1:11">
      <c r="A36" s="3301">
        <v>34</v>
      </c>
      <c r="B36" s="3301" t="s">
        <v>3737</v>
      </c>
      <c r="C36" s="3301" t="s">
        <v>3395</v>
      </c>
      <c r="D36" s="3301" t="s">
        <v>4780</v>
      </c>
      <c r="E36" s="3301">
        <v>109.72</v>
      </c>
      <c r="F36" s="3301">
        <v>90.17</v>
      </c>
      <c r="G36" s="3301" t="s">
        <v>3738</v>
      </c>
      <c r="H36" s="3301" t="s">
        <v>3738</v>
      </c>
      <c r="I36" s="3301"/>
      <c r="J36" s="3301"/>
      <c r="K36" s="3301"/>
    </row>
    <row r="37" spans="1:11">
      <c r="A37" s="3301">
        <v>35</v>
      </c>
      <c r="B37" s="3301" t="s">
        <v>3737</v>
      </c>
      <c r="C37" s="3301" t="s">
        <v>3395</v>
      </c>
      <c r="D37" s="3301" t="s">
        <v>4779</v>
      </c>
      <c r="E37" s="3301">
        <v>109.72</v>
      </c>
      <c r="F37" s="3301">
        <v>90.17</v>
      </c>
      <c r="G37" s="3301" t="s">
        <v>3738</v>
      </c>
      <c r="H37" s="3301" t="s">
        <v>3738</v>
      </c>
      <c r="I37" s="3301"/>
      <c r="J37" s="3301"/>
      <c r="K37" s="3301"/>
    </row>
    <row r="38" spans="1:11">
      <c r="A38" s="3301">
        <v>36</v>
      </c>
      <c r="B38" s="3301" t="s">
        <v>3737</v>
      </c>
      <c r="C38" s="3301" t="s">
        <v>3395</v>
      </c>
      <c r="D38" s="3301" t="s">
        <v>4778</v>
      </c>
      <c r="E38" s="3301">
        <v>109.72</v>
      </c>
      <c r="F38" s="3301">
        <v>90.17</v>
      </c>
      <c r="G38" s="3301" t="s">
        <v>3738</v>
      </c>
      <c r="H38" s="3301" t="s">
        <v>3738</v>
      </c>
      <c r="I38" s="3301"/>
      <c r="J38" s="3301"/>
      <c r="K38" s="3301"/>
    </row>
    <row r="39" spans="1:11" ht="16.5">
      <c r="A39" s="3301">
        <v>37</v>
      </c>
      <c r="B39" s="3301" t="s">
        <v>3737</v>
      </c>
      <c r="C39" s="3301" t="s">
        <v>3395</v>
      </c>
      <c r="D39" s="3301" t="s">
        <v>3769</v>
      </c>
      <c r="E39" s="3301">
        <v>109.72</v>
      </c>
      <c r="F39" s="3301">
        <v>90.17</v>
      </c>
      <c r="G39" s="3301" t="s">
        <v>3738</v>
      </c>
      <c r="H39" s="3301" t="s">
        <v>3738</v>
      </c>
      <c r="I39" s="3301" t="s">
        <v>3738</v>
      </c>
      <c r="J39" s="3301" t="s">
        <v>3738</v>
      </c>
      <c r="K39" s="3292" t="s">
        <v>4870</v>
      </c>
    </row>
    <row r="40" spans="1:11">
      <c r="A40" s="3301">
        <v>38</v>
      </c>
      <c r="B40" s="3301" t="s">
        <v>3737</v>
      </c>
      <c r="C40" s="3301" t="s">
        <v>3395</v>
      </c>
      <c r="D40" s="3301" t="s">
        <v>3780</v>
      </c>
      <c r="E40" s="3301">
        <v>109.72</v>
      </c>
      <c r="F40" s="3301">
        <v>90.17</v>
      </c>
      <c r="G40" s="3301" t="s">
        <v>3738</v>
      </c>
      <c r="H40" s="3301" t="s">
        <v>3738</v>
      </c>
      <c r="I40" s="3301" t="s">
        <v>3738</v>
      </c>
      <c r="J40" s="3301" t="s">
        <v>3738</v>
      </c>
      <c r="K40" s="3301" t="str">
        <f>VLOOKUP(D40,[4]已网签!$C$3:$I$138,7,0)</f>
        <v>Y2748994</v>
      </c>
    </row>
    <row r="41" spans="1:11">
      <c r="A41" s="3301">
        <v>39</v>
      </c>
      <c r="B41" s="3301" t="s">
        <v>3737</v>
      </c>
      <c r="C41" s="3301" t="s">
        <v>3395</v>
      </c>
      <c r="D41" s="3301" t="s">
        <v>3757</v>
      </c>
      <c r="E41" s="3301">
        <v>109.72</v>
      </c>
      <c r="F41" s="3301">
        <v>90.17</v>
      </c>
      <c r="G41" s="3301" t="s">
        <v>3738</v>
      </c>
      <c r="H41" s="3301" t="s">
        <v>3738</v>
      </c>
      <c r="I41" s="3301" t="s">
        <v>3738</v>
      </c>
      <c r="J41" s="3301" t="s">
        <v>3738</v>
      </c>
      <c r="K41" s="3301" t="str">
        <f>VLOOKUP(D41,[4]已网签!$C$3:$I$138,7,0)</f>
        <v>Y2708932</v>
      </c>
    </row>
    <row r="42" spans="1:11">
      <c r="A42" s="3301">
        <v>40</v>
      </c>
      <c r="B42" s="3301" t="s">
        <v>3737</v>
      </c>
      <c r="C42" s="3301" t="s">
        <v>3395</v>
      </c>
      <c r="D42" s="3301" t="s">
        <v>3777</v>
      </c>
      <c r="E42" s="3301">
        <v>109.72</v>
      </c>
      <c r="F42" s="3301">
        <v>90.17</v>
      </c>
      <c r="G42" s="3301" t="s">
        <v>3738</v>
      </c>
      <c r="H42" s="3301" t="s">
        <v>3738</v>
      </c>
      <c r="I42" s="3301" t="s">
        <v>3738</v>
      </c>
      <c r="J42" s="3301" t="s">
        <v>3738</v>
      </c>
      <c r="K42" s="3301" t="str">
        <f>VLOOKUP(D42,[4]已网签!$C$3:$I$138,7,0)</f>
        <v>Y2742558</v>
      </c>
    </row>
    <row r="43" spans="1:11">
      <c r="A43" s="3301">
        <v>41</v>
      </c>
      <c r="B43" s="3301" t="s">
        <v>3737</v>
      </c>
      <c r="C43" s="3301" t="s">
        <v>3395</v>
      </c>
      <c r="D43" s="3301" t="s">
        <v>4459</v>
      </c>
      <c r="E43" s="3301">
        <v>109.72</v>
      </c>
      <c r="F43" s="3301">
        <v>90.17</v>
      </c>
      <c r="G43" s="3301" t="s">
        <v>3738</v>
      </c>
      <c r="H43" s="3301" t="s">
        <v>3738</v>
      </c>
      <c r="I43" s="3301" t="s">
        <v>3738</v>
      </c>
      <c r="J43" s="3301" t="s">
        <v>3738</v>
      </c>
      <c r="K43" s="3301" t="str">
        <f>VLOOKUP(D43,[4]已网签!$C$3:$I$138,7,0)</f>
        <v>Y2690721</v>
      </c>
    </row>
    <row r="44" spans="1:11">
      <c r="A44" s="3301">
        <v>42</v>
      </c>
      <c r="B44" s="3301" t="s">
        <v>3737</v>
      </c>
      <c r="C44" s="3301" t="s">
        <v>3395</v>
      </c>
      <c r="D44" s="3301" t="s">
        <v>4456</v>
      </c>
      <c r="E44" s="3301">
        <v>109.72</v>
      </c>
      <c r="F44" s="3301">
        <v>90.17</v>
      </c>
      <c r="G44" s="3301" t="s">
        <v>3738</v>
      </c>
      <c r="H44" s="3301" t="s">
        <v>3738</v>
      </c>
      <c r="I44" s="3301" t="s">
        <v>3738</v>
      </c>
      <c r="J44" s="3301" t="s">
        <v>3738</v>
      </c>
      <c r="K44" s="3301" t="str">
        <f>VLOOKUP(D44,[4]已网签!$C$3:$I$138,7,0)</f>
        <v>Y2687234</v>
      </c>
    </row>
    <row r="45" spans="1:11">
      <c r="A45" s="3301">
        <v>43</v>
      </c>
      <c r="B45" s="3301" t="s">
        <v>3737</v>
      </c>
      <c r="C45" s="3301" t="s">
        <v>3395</v>
      </c>
      <c r="D45" s="3301" t="s">
        <v>3773</v>
      </c>
      <c r="E45" s="3301">
        <v>109.72</v>
      </c>
      <c r="F45" s="3301">
        <v>90.17</v>
      </c>
      <c r="G45" s="3301" t="s">
        <v>3738</v>
      </c>
      <c r="H45" s="3301" t="s">
        <v>3738</v>
      </c>
      <c r="I45" s="3301" t="s">
        <v>3738</v>
      </c>
      <c r="J45" s="3301" t="s">
        <v>3738</v>
      </c>
      <c r="K45" s="3301" t="str">
        <f>VLOOKUP(D45,[4]已网签!$C$3:$I$138,7,0)</f>
        <v>Y2722251</v>
      </c>
    </row>
    <row r="46" spans="1:11">
      <c r="A46" s="3301">
        <v>44</v>
      </c>
      <c r="B46" s="3301" t="s">
        <v>3737</v>
      </c>
      <c r="C46" s="3301" t="s">
        <v>3395</v>
      </c>
      <c r="D46" s="3301" t="s">
        <v>4454</v>
      </c>
      <c r="E46" s="3301">
        <v>109.72</v>
      </c>
      <c r="F46" s="3301">
        <v>90.17</v>
      </c>
      <c r="G46" s="3301" t="s">
        <v>3738</v>
      </c>
      <c r="H46" s="3301" t="s">
        <v>3738</v>
      </c>
      <c r="I46" s="3301" t="s">
        <v>3738</v>
      </c>
      <c r="J46" s="3301" t="s">
        <v>3738</v>
      </c>
      <c r="K46" s="3301" t="str">
        <f>VLOOKUP(D46,[4]已网签!$C$3:$I$138,7,0)</f>
        <v>Y2688150</v>
      </c>
    </row>
    <row r="47" spans="1:11">
      <c r="A47" s="3301">
        <v>45</v>
      </c>
      <c r="B47" s="3301" t="s">
        <v>3737</v>
      </c>
      <c r="C47" s="3301" t="s">
        <v>3395</v>
      </c>
      <c r="D47" s="3301" t="s">
        <v>4455</v>
      </c>
      <c r="E47" s="3301">
        <v>109.72</v>
      </c>
      <c r="F47" s="3301">
        <v>90.17</v>
      </c>
      <c r="G47" s="3301" t="s">
        <v>3738</v>
      </c>
      <c r="H47" s="3301" t="s">
        <v>3738</v>
      </c>
      <c r="I47" s="3301" t="s">
        <v>3738</v>
      </c>
      <c r="J47" s="3301" t="s">
        <v>3738</v>
      </c>
      <c r="K47" s="3301" t="str">
        <f>VLOOKUP(D47,[4]已网签!$C$3:$I$138,7,0)</f>
        <v>Y2687005</v>
      </c>
    </row>
    <row r="48" spans="1:11">
      <c r="A48" s="3301">
        <v>46</v>
      </c>
      <c r="B48" s="3301" t="s">
        <v>3737</v>
      </c>
      <c r="C48" s="3301" t="s">
        <v>3395</v>
      </c>
      <c r="D48" s="3301" t="s">
        <v>4460</v>
      </c>
      <c r="E48" s="3301">
        <v>109.72</v>
      </c>
      <c r="F48" s="3301">
        <v>90.17</v>
      </c>
      <c r="G48" s="3301" t="s">
        <v>3738</v>
      </c>
      <c r="H48" s="3301" t="s">
        <v>3738</v>
      </c>
      <c r="I48" s="3301" t="s">
        <v>3738</v>
      </c>
      <c r="J48" s="3301" t="s">
        <v>3738</v>
      </c>
      <c r="K48" s="3301" t="str">
        <f>VLOOKUP(D48,[4]已网签!$C$3:$I$138,7,0)</f>
        <v>Y2692197</v>
      </c>
    </row>
    <row r="49" spans="1:11">
      <c r="A49" s="3301">
        <v>47</v>
      </c>
      <c r="B49" s="3301" t="s">
        <v>3737</v>
      </c>
      <c r="C49" s="3301" t="s">
        <v>3395</v>
      </c>
      <c r="D49" s="3301" t="s">
        <v>4777</v>
      </c>
      <c r="E49" s="3301">
        <v>109.72</v>
      </c>
      <c r="F49" s="3301">
        <v>90.17</v>
      </c>
      <c r="G49" s="3301" t="s">
        <v>3738</v>
      </c>
      <c r="H49" s="3301" t="s">
        <v>3738</v>
      </c>
      <c r="I49" s="3301"/>
      <c r="J49" s="3301"/>
      <c r="K49" s="3301"/>
    </row>
    <row r="50" spans="1:11">
      <c r="A50" s="3301">
        <v>48</v>
      </c>
      <c r="B50" s="3301" t="s">
        <v>3737</v>
      </c>
      <c r="C50" s="3301" t="s">
        <v>3395</v>
      </c>
      <c r="D50" s="3301" t="s">
        <v>4776</v>
      </c>
      <c r="E50" s="3301">
        <v>109.72</v>
      </c>
      <c r="F50" s="3301">
        <v>90.17</v>
      </c>
      <c r="G50" s="3301" t="s">
        <v>3738</v>
      </c>
      <c r="H50" s="3301" t="s">
        <v>3738</v>
      </c>
      <c r="I50" s="3301"/>
      <c r="J50" s="3301"/>
      <c r="K50" s="3301"/>
    </row>
    <row r="51" spans="1:11">
      <c r="A51" s="3301">
        <v>49</v>
      </c>
      <c r="B51" s="3301" t="s">
        <v>3737</v>
      </c>
      <c r="C51" s="3301" t="s">
        <v>3395</v>
      </c>
      <c r="D51" s="3301" t="s">
        <v>4775</v>
      </c>
      <c r="E51" s="3301">
        <v>90.75</v>
      </c>
      <c r="F51" s="3301">
        <v>74.58</v>
      </c>
      <c r="G51" s="3301" t="s">
        <v>3738</v>
      </c>
      <c r="H51" s="3301" t="s">
        <v>3738</v>
      </c>
      <c r="I51" s="3301"/>
      <c r="J51" s="3301"/>
      <c r="K51" s="3301"/>
    </row>
    <row r="52" spans="1:11">
      <c r="A52" s="3301">
        <v>50</v>
      </c>
      <c r="B52" s="3301" t="s">
        <v>3737</v>
      </c>
      <c r="C52" s="3301" t="s">
        <v>3395</v>
      </c>
      <c r="D52" s="3301" t="s">
        <v>4774</v>
      </c>
      <c r="E52" s="3301">
        <v>110.17</v>
      </c>
      <c r="F52" s="3301">
        <v>90.54</v>
      </c>
      <c r="G52" s="3301" t="s">
        <v>3738</v>
      </c>
      <c r="H52" s="3301" t="s">
        <v>3738</v>
      </c>
      <c r="I52" s="3301"/>
      <c r="J52" s="3301"/>
      <c r="K52" s="3301"/>
    </row>
    <row r="53" spans="1:11">
      <c r="A53" s="3301">
        <v>51</v>
      </c>
      <c r="B53" s="3301" t="s">
        <v>3737</v>
      </c>
      <c r="C53" s="3301" t="s">
        <v>3395</v>
      </c>
      <c r="D53" s="3301" t="s">
        <v>4773</v>
      </c>
      <c r="E53" s="3301">
        <v>109.72</v>
      </c>
      <c r="F53" s="3301">
        <v>90.17</v>
      </c>
      <c r="G53" s="3301" t="s">
        <v>3738</v>
      </c>
      <c r="H53" s="3301" t="s">
        <v>3738</v>
      </c>
      <c r="I53" s="3301"/>
      <c r="J53" s="3301"/>
      <c r="K53" s="3301"/>
    </row>
    <row r="54" spans="1:11">
      <c r="A54" s="3301">
        <v>52</v>
      </c>
      <c r="B54" s="3301" t="s">
        <v>3737</v>
      </c>
      <c r="C54" s="3301" t="s">
        <v>3395</v>
      </c>
      <c r="D54" s="3301" t="s">
        <v>4772</v>
      </c>
      <c r="E54" s="3301">
        <v>110.17</v>
      </c>
      <c r="F54" s="3301">
        <v>90.54</v>
      </c>
      <c r="G54" s="3301" t="s">
        <v>3738</v>
      </c>
      <c r="H54" s="3301" t="s">
        <v>3738</v>
      </c>
      <c r="I54" s="3301"/>
      <c r="J54" s="3301"/>
      <c r="K54" s="3301"/>
    </row>
    <row r="55" spans="1:11">
      <c r="A55" s="3301">
        <v>53</v>
      </c>
      <c r="B55" s="3301" t="s">
        <v>3737</v>
      </c>
      <c r="C55" s="3301" t="s">
        <v>3395</v>
      </c>
      <c r="D55" s="3301" t="s">
        <v>4771</v>
      </c>
      <c r="E55" s="3301">
        <v>109.72</v>
      </c>
      <c r="F55" s="3301">
        <v>90.17</v>
      </c>
      <c r="G55" s="3301" t="s">
        <v>3738</v>
      </c>
      <c r="H55" s="3301" t="s">
        <v>3738</v>
      </c>
      <c r="I55" s="3301"/>
      <c r="J55" s="3301"/>
      <c r="K55" s="3301"/>
    </row>
    <row r="56" spans="1:11">
      <c r="A56" s="3301">
        <v>54</v>
      </c>
      <c r="B56" s="3301" t="s">
        <v>3737</v>
      </c>
      <c r="C56" s="3301" t="s">
        <v>3395</v>
      </c>
      <c r="D56" s="3301" t="s">
        <v>4770</v>
      </c>
      <c r="E56" s="3301">
        <v>110.17</v>
      </c>
      <c r="F56" s="3301">
        <v>90.54</v>
      </c>
      <c r="G56" s="3301" t="s">
        <v>3738</v>
      </c>
      <c r="H56" s="3301" t="s">
        <v>3738</v>
      </c>
      <c r="I56" s="3301"/>
      <c r="J56" s="3301"/>
      <c r="K56" s="3301"/>
    </row>
    <row r="57" spans="1:11">
      <c r="A57" s="3301">
        <v>55</v>
      </c>
      <c r="B57" s="3301" t="s">
        <v>3737</v>
      </c>
      <c r="C57" s="3301" t="s">
        <v>3395</v>
      </c>
      <c r="D57" s="3301" t="s">
        <v>4769</v>
      </c>
      <c r="E57" s="3301">
        <v>109.72</v>
      </c>
      <c r="F57" s="3301">
        <v>90.17</v>
      </c>
      <c r="G57" s="3301" t="s">
        <v>3738</v>
      </c>
      <c r="H57" s="3301" t="s">
        <v>3738</v>
      </c>
      <c r="I57" s="3301"/>
      <c r="J57" s="3301"/>
      <c r="K57" s="3301"/>
    </row>
    <row r="58" spans="1:11">
      <c r="A58" s="3301">
        <v>56</v>
      </c>
      <c r="B58" s="3301" t="s">
        <v>3737</v>
      </c>
      <c r="C58" s="3301" t="s">
        <v>3395</v>
      </c>
      <c r="D58" s="3301" t="s">
        <v>4768</v>
      </c>
      <c r="E58" s="3301">
        <v>110.17</v>
      </c>
      <c r="F58" s="3301">
        <v>90.54</v>
      </c>
      <c r="G58" s="3301" t="s">
        <v>3738</v>
      </c>
      <c r="H58" s="3301" t="s">
        <v>3738</v>
      </c>
      <c r="I58" s="3301"/>
      <c r="J58" s="3301"/>
      <c r="K58" s="3301"/>
    </row>
    <row r="59" spans="1:11">
      <c r="A59" s="3301">
        <v>57</v>
      </c>
      <c r="B59" s="3301" t="s">
        <v>3737</v>
      </c>
      <c r="C59" s="3301" t="s">
        <v>3395</v>
      </c>
      <c r="D59" s="3301" t="s">
        <v>4458</v>
      </c>
      <c r="E59" s="3301">
        <v>109.72</v>
      </c>
      <c r="F59" s="3301">
        <v>90.17</v>
      </c>
      <c r="G59" s="3301" t="s">
        <v>3738</v>
      </c>
      <c r="H59" s="3301" t="s">
        <v>3738</v>
      </c>
      <c r="I59" s="3301" t="s">
        <v>3738</v>
      </c>
      <c r="J59" s="3301" t="s">
        <v>3738</v>
      </c>
      <c r="K59" s="3301" t="str">
        <f>VLOOKUP(D59,[4]已网签!$C$3:$I$138,7,0)</f>
        <v>Y2690867</v>
      </c>
    </row>
    <row r="60" spans="1:11">
      <c r="A60" s="3301">
        <v>58</v>
      </c>
      <c r="B60" s="3301" t="s">
        <v>3737</v>
      </c>
      <c r="C60" s="3301" t="s">
        <v>3395</v>
      </c>
      <c r="D60" s="3301" t="s">
        <v>4767</v>
      </c>
      <c r="E60" s="3301">
        <v>110.17</v>
      </c>
      <c r="F60" s="3301">
        <v>90.54</v>
      </c>
      <c r="G60" s="3301" t="s">
        <v>3738</v>
      </c>
      <c r="H60" s="3301" t="s">
        <v>3738</v>
      </c>
      <c r="I60" s="3301"/>
      <c r="J60" s="3301"/>
      <c r="K60" s="3301"/>
    </row>
    <row r="61" spans="1:11">
      <c r="A61" s="3301">
        <v>59</v>
      </c>
      <c r="B61" s="3301" t="s">
        <v>3737</v>
      </c>
      <c r="C61" s="3301" t="s">
        <v>3395</v>
      </c>
      <c r="D61" s="3301" t="s">
        <v>3761</v>
      </c>
      <c r="E61" s="3301">
        <v>109.72</v>
      </c>
      <c r="F61" s="3301">
        <v>90.17</v>
      </c>
      <c r="G61" s="3301" t="s">
        <v>3738</v>
      </c>
      <c r="H61" s="3301" t="s">
        <v>3738</v>
      </c>
      <c r="I61" s="3301" t="s">
        <v>3738</v>
      </c>
      <c r="J61" s="3301" t="s">
        <v>3738</v>
      </c>
      <c r="K61" s="3301" t="str">
        <f>VLOOKUP(D61,[4]已网签!$C$3:$I$138,7,0)</f>
        <v>Y2711249</v>
      </c>
    </row>
    <row r="62" spans="1:11">
      <c r="A62" s="3301">
        <v>60</v>
      </c>
      <c r="B62" s="3301" t="s">
        <v>3737</v>
      </c>
      <c r="C62" s="3301" t="s">
        <v>3395</v>
      </c>
      <c r="D62" s="3301" t="s">
        <v>4766</v>
      </c>
      <c r="E62" s="3301">
        <v>110.17</v>
      </c>
      <c r="F62" s="3301">
        <v>90.54</v>
      </c>
      <c r="G62" s="3301" t="s">
        <v>3738</v>
      </c>
      <c r="H62" s="3301" t="s">
        <v>3738</v>
      </c>
      <c r="I62" s="3301"/>
      <c r="J62" s="3301"/>
      <c r="K62" s="3301"/>
    </row>
    <row r="63" spans="1:11">
      <c r="A63" s="3301">
        <v>61</v>
      </c>
      <c r="B63" s="3301" t="s">
        <v>3737</v>
      </c>
      <c r="C63" s="3301" t="s">
        <v>3395</v>
      </c>
      <c r="D63" s="3301" t="s">
        <v>4466</v>
      </c>
      <c r="E63" s="3301">
        <v>109.72</v>
      </c>
      <c r="F63" s="3301">
        <v>90.17</v>
      </c>
      <c r="G63" s="3301" t="s">
        <v>3738</v>
      </c>
      <c r="H63" s="3301" t="s">
        <v>3738</v>
      </c>
      <c r="I63" s="3301" t="s">
        <v>3738</v>
      </c>
      <c r="J63" s="3301" t="s">
        <v>3738</v>
      </c>
      <c r="K63" s="3301" t="str">
        <f>VLOOKUP(D63,[4]已网签!$C$3:$I$138,7,0)</f>
        <v>Y2702048</v>
      </c>
    </row>
    <row r="64" spans="1:11">
      <c r="A64" s="3301">
        <v>62</v>
      </c>
      <c r="B64" s="3301" t="s">
        <v>3737</v>
      </c>
      <c r="C64" s="3301" t="s">
        <v>3395</v>
      </c>
      <c r="D64" s="3301" t="s">
        <v>4765</v>
      </c>
      <c r="E64" s="3301">
        <v>110.17</v>
      </c>
      <c r="F64" s="3301">
        <v>90.54</v>
      </c>
      <c r="G64" s="3301" t="s">
        <v>3738</v>
      </c>
      <c r="H64" s="3301" t="s">
        <v>3738</v>
      </c>
      <c r="I64" s="3301"/>
      <c r="J64" s="3301"/>
      <c r="K64" s="3301"/>
    </row>
    <row r="65" spans="1:11">
      <c r="A65" s="3301">
        <v>63</v>
      </c>
      <c r="B65" s="3301" t="s">
        <v>3737</v>
      </c>
      <c r="C65" s="3301" t="s">
        <v>3395</v>
      </c>
      <c r="D65" s="3301" t="s">
        <v>4764</v>
      </c>
      <c r="E65" s="3301">
        <v>109.72</v>
      </c>
      <c r="F65" s="3301">
        <v>90.17</v>
      </c>
      <c r="G65" s="3301" t="s">
        <v>3738</v>
      </c>
      <c r="H65" s="3301" t="s">
        <v>3738</v>
      </c>
      <c r="I65" s="3301"/>
      <c r="J65" s="3301"/>
      <c r="K65" s="3301"/>
    </row>
    <row r="66" spans="1:11">
      <c r="A66" s="3301">
        <v>64</v>
      </c>
      <c r="B66" s="3301" t="s">
        <v>3737</v>
      </c>
      <c r="C66" s="3301" t="s">
        <v>3395</v>
      </c>
      <c r="D66" s="3301" t="s">
        <v>4763</v>
      </c>
      <c r="E66" s="3301">
        <v>110.17</v>
      </c>
      <c r="F66" s="3301">
        <v>90.54</v>
      </c>
      <c r="G66" s="3301" t="s">
        <v>3738</v>
      </c>
      <c r="H66" s="3301" t="s">
        <v>3738</v>
      </c>
      <c r="I66" s="3301"/>
      <c r="J66" s="3301"/>
      <c r="K66" s="3301"/>
    </row>
    <row r="67" spans="1:11">
      <c r="A67" s="3301">
        <v>65</v>
      </c>
      <c r="B67" s="3301" t="s">
        <v>3737</v>
      </c>
      <c r="C67" s="3301" t="s">
        <v>3395</v>
      </c>
      <c r="D67" s="3301" t="s">
        <v>4762</v>
      </c>
      <c r="E67" s="3301">
        <v>140.91999999999999</v>
      </c>
      <c r="F67" s="3301">
        <v>111.76</v>
      </c>
      <c r="G67" s="3301" t="s">
        <v>3738</v>
      </c>
      <c r="H67" s="3301" t="s">
        <v>3738</v>
      </c>
      <c r="I67" s="3301"/>
      <c r="J67" s="3301"/>
      <c r="K67" s="3301"/>
    </row>
    <row r="68" spans="1:11">
      <c r="A68" s="3301">
        <v>66</v>
      </c>
      <c r="B68" s="3301" t="s">
        <v>3737</v>
      </c>
      <c r="C68" s="3301" t="s">
        <v>3395</v>
      </c>
      <c r="D68" s="3301" t="s">
        <v>4761</v>
      </c>
      <c r="E68" s="3301">
        <v>139.9</v>
      </c>
      <c r="F68" s="3301">
        <v>110.95</v>
      </c>
      <c r="G68" s="3301" t="s">
        <v>3738</v>
      </c>
      <c r="H68" s="3301" t="s">
        <v>3738</v>
      </c>
      <c r="I68" s="3301"/>
      <c r="J68" s="3301"/>
      <c r="K68" s="3301"/>
    </row>
    <row r="69" spans="1:11">
      <c r="A69" s="3301">
        <v>67</v>
      </c>
      <c r="B69" s="3301" t="s">
        <v>3737</v>
      </c>
      <c r="C69" s="3301" t="s">
        <v>3395</v>
      </c>
      <c r="D69" s="3301" t="s">
        <v>4760</v>
      </c>
      <c r="E69" s="3301">
        <v>140.91999999999999</v>
      </c>
      <c r="F69" s="3301">
        <v>111.76</v>
      </c>
      <c r="G69" s="3301" t="s">
        <v>3738</v>
      </c>
      <c r="H69" s="3301" t="s">
        <v>3738</v>
      </c>
      <c r="I69" s="3301"/>
      <c r="J69" s="3301"/>
      <c r="K69" s="3301"/>
    </row>
    <row r="70" spans="1:11">
      <c r="A70" s="3301">
        <v>68</v>
      </c>
      <c r="B70" s="3301" t="s">
        <v>3737</v>
      </c>
      <c r="C70" s="3301" t="s">
        <v>3395</v>
      </c>
      <c r="D70" s="3301" t="s">
        <v>4759</v>
      </c>
      <c r="E70" s="3301">
        <v>139.9</v>
      </c>
      <c r="F70" s="3301">
        <v>110.95</v>
      </c>
      <c r="G70" s="3301" t="s">
        <v>3738</v>
      </c>
      <c r="H70" s="3301" t="s">
        <v>3738</v>
      </c>
      <c r="I70" s="3301"/>
      <c r="J70" s="3301"/>
      <c r="K70" s="3301"/>
    </row>
    <row r="71" spans="1:11">
      <c r="A71" s="3301">
        <v>69</v>
      </c>
      <c r="B71" s="3301" t="s">
        <v>3737</v>
      </c>
      <c r="C71" s="3301" t="s">
        <v>3395</v>
      </c>
      <c r="D71" s="3301" t="s">
        <v>4758</v>
      </c>
      <c r="E71" s="3301">
        <v>140.91999999999999</v>
      </c>
      <c r="F71" s="3301">
        <v>111.76</v>
      </c>
      <c r="G71" s="3301" t="s">
        <v>3738</v>
      </c>
      <c r="H71" s="3301" t="s">
        <v>3738</v>
      </c>
      <c r="I71" s="3301"/>
      <c r="J71" s="3301"/>
      <c r="K71" s="3301"/>
    </row>
    <row r="72" spans="1:11">
      <c r="A72" s="3301">
        <v>70</v>
      </c>
      <c r="B72" s="3301" t="s">
        <v>3737</v>
      </c>
      <c r="C72" s="3301" t="s">
        <v>3395</v>
      </c>
      <c r="D72" s="3301" t="s">
        <v>4757</v>
      </c>
      <c r="E72" s="3301">
        <v>139.9</v>
      </c>
      <c r="F72" s="3301">
        <v>110.95</v>
      </c>
      <c r="G72" s="3301" t="s">
        <v>3738</v>
      </c>
      <c r="H72" s="3301" t="s">
        <v>3738</v>
      </c>
      <c r="I72" s="3301"/>
      <c r="J72" s="3301"/>
      <c r="K72" s="3301"/>
    </row>
    <row r="73" spans="1:11">
      <c r="A73" s="3301">
        <v>71</v>
      </c>
      <c r="B73" s="3301" t="s">
        <v>3737</v>
      </c>
      <c r="C73" s="3301" t="s">
        <v>3395</v>
      </c>
      <c r="D73" s="3301" t="s">
        <v>4756</v>
      </c>
      <c r="E73" s="3301">
        <v>140.91999999999999</v>
      </c>
      <c r="F73" s="3301">
        <v>111.76</v>
      </c>
      <c r="G73" s="3301" t="s">
        <v>3738</v>
      </c>
      <c r="H73" s="3301" t="s">
        <v>3738</v>
      </c>
      <c r="I73" s="3301"/>
      <c r="J73" s="3301"/>
      <c r="K73" s="3301"/>
    </row>
    <row r="74" spans="1:11">
      <c r="A74" s="3301">
        <v>72</v>
      </c>
      <c r="B74" s="3301" t="s">
        <v>3737</v>
      </c>
      <c r="C74" s="3301" t="s">
        <v>3395</v>
      </c>
      <c r="D74" s="3301" t="s">
        <v>4755</v>
      </c>
      <c r="E74" s="3301">
        <v>139.9</v>
      </c>
      <c r="F74" s="3301">
        <v>110.95</v>
      </c>
      <c r="G74" s="3301" t="s">
        <v>3738</v>
      </c>
      <c r="H74" s="3301" t="s">
        <v>3738</v>
      </c>
      <c r="I74" s="3301"/>
      <c r="J74" s="3301"/>
      <c r="K74" s="3301"/>
    </row>
    <row r="75" spans="1:11">
      <c r="A75" s="3301">
        <v>73</v>
      </c>
      <c r="B75" s="3301" t="s">
        <v>3737</v>
      </c>
      <c r="C75" s="3301" t="s">
        <v>3395</v>
      </c>
      <c r="D75" s="3301" t="s">
        <v>3790</v>
      </c>
      <c r="E75" s="3301">
        <v>140.91999999999999</v>
      </c>
      <c r="F75" s="3301">
        <v>111.76</v>
      </c>
      <c r="G75" s="3301" t="s">
        <v>3738</v>
      </c>
      <c r="H75" s="3301" t="s">
        <v>3738</v>
      </c>
      <c r="I75" s="3301" t="s">
        <v>3738</v>
      </c>
      <c r="J75" s="3301" t="s">
        <v>3738</v>
      </c>
      <c r="K75" s="3301" t="str">
        <f>VLOOKUP(D75,[4]已网签!$C$3:$I$138,7,0)</f>
        <v>Y2720156</v>
      </c>
    </row>
    <row r="76" spans="1:11">
      <c r="A76" s="3301">
        <v>74</v>
      </c>
      <c r="B76" s="3301" t="s">
        <v>3737</v>
      </c>
      <c r="C76" s="3301" t="s">
        <v>3395</v>
      </c>
      <c r="D76" s="3301" t="s">
        <v>3792</v>
      </c>
      <c r="E76" s="3301">
        <v>139.9</v>
      </c>
      <c r="F76" s="3301">
        <v>110.95</v>
      </c>
      <c r="G76" s="3301" t="s">
        <v>3738</v>
      </c>
      <c r="H76" s="3301" t="s">
        <v>3738</v>
      </c>
      <c r="I76" s="3301" t="s">
        <v>3738</v>
      </c>
      <c r="J76" s="3301" t="s">
        <v>3738</v>
      </c>
      <c r="K76" s="3301" t="str">
        <f>VLOOKUP(D76,[4]已网签!$C$3:$I$138,7,0)</f>
        <v>Y2719310</v>
      </c>
    </row>
    <row r="77" spans="1:11">
      <c r="A77" s="3301">
        <v>75</v>
      </c>
      <c r="B77" s="3301" t="s">
        <v>3737</v>
      </c>
      <c r="C77" s="3301" t="s">
        <v>3395</v>
      </c>
      <c r="D77" s="3301" t="s">
        <v>3788</v>
      </c>
      <c r="E77" s="3301">
        <v>140.91999999999999</v>
      </c>
      <c r="F77" s="3301">
        <v>111.76</v>
      </c>
      <c r="G77" s="3301" t="s">
        <v>3738</v>
      </c>
      <c r="H77" s="3301" t="s">
        <v>3738</v>
      </c>
      <c r="I77" s="3301" t="s">
        <v>3738</v>
      </c>
      <c r="J77" s="3301" t="s">
        <v>3738</v>
      </c>
      <c r="K77" s="3301" t="str">
        <f>VLOOKUP(D77,[4]已网签!$C$3:$I$138,7,0)</f>
        <v>Y2718111</v>
      </c>
    </row>
    <row r="78" spans="1:11">
      <c r="A78" s="3301">
        <v>76</v>
      </c>
      <c r="B78" s="3301" t="s">
        <v>3737</v>
      </c>
      <c r="C78" s="3301" t="s">
        <v>3395</v>
      </c>
      <c r="D78" s="3301" t="s">
        <v>3786</v>
      </c>
      <c r="E78" s="3301">
        <v>139.9</v>
      </c>
      <c r="F78" s="3301">
        <v>110.95</v>
      </c>
      <c r="G78" s="3301" t="s">
        <v>3738</v>
      </c>
      <c r="H78" s="3301" t="s">
        <v>3738</v>
      </c>
      <c r="I78" s="3301" t="s">
        <v>3738</v>
      </c>
      <c r="J78" s="3301" t="s">
        <v>3738</v>
      </c>
      <c r="K78" s="3301" t="str">
        <f>VLOOKUP(D78,[4]已网签!$C$3:$I$138,7,0)</f>
        <v>Y2711214</v>
      </c>
    </row>
    <row r="79" spans="1:11">
      <c r="A79" s="3301">
        <v>77</v>
      </c>
      <c r="B79" s="3301" t="s">
        <v>3737</v>
      </c>
      <c r="C79" s="3301" t="s">
        <v>3395</v>
      </c>
      <c r="D79" s="3301" t="s">
        <v>3796</v>
      </c>
      <c r="E79" s="3301">
        <v>140.91999999999999</v>
      </c>
      <c r="F79" s="3301">
        <v>111.76</v>
      </c>
      <c r="G79" s="3301" t="s">
        <v>3738</v>
      </c>
      <c r="H79" s="3301" t="s">
        <v>3738</v>
      </c>
      <c r="I79" s="3301" t="s">
        <v>3738</v>
      </c>
      <c r="J79" s="3301" t="s">
        <v>3738</v>
      </c>
      <c r="K79" s="3301" t="str">
        <f>VLOOKUP(D79,[4]已网签!$C$3:$I$138,7,0)</f>
        <v>Y2749590</v>
      </c>
    </row>
    <row r="80" spans="1:11">
      <c r="A80" s="3301">
        <v>78</v>
      </c>
      <c r="B80" s="3301" t="s">
        <v>3737</v>
      </c>
      <c r="C80" s="3301" t="s">
        <v>3395</v>
      </c>
      <c r="D80" s="3301" t="s">
        <v>3784</v>
      </c>
      <c r="E80" s="3301">
        <v>139.9</v>
      </c>
      <c r="F80" s="3301">
        <v>110.95</v>
      </c>
      <c r="G80" s="3301" t="s">
        <v>3738</v>
      </c>
      <c r="H80" s="3301" t="s">
        <v>3738</v>
      </c>
      <c r="I80" s="3301" t="s">
        <v>3738</v>
      </c>
      <c r="J80" s="3301" t="s">
        <v>3738</v>
      </c>
      <c r="K80" s="3301" t="str">
        <f>VLOOKUP(D80,[4]已网签!$C$3:$I$138,7,0)</f>
        <v>Y2689769</v>
      </c>
    </row>
    <row r="81" spans="1:11">
      <c r="A81" s="3301">
        <v>79</v>
      </c>
      <c r="B81" s="3301" t="s">
        <v>3737</v>
      </c>
      <c r="C81" s="3301" t="s">
        <v>3395</v>
      </c>
      <c r="D81" s="3301" t="s">
        <v>3794</v>
      </c>
      <c r="E81" s="3301">
        <v>140.91999999999999</v>
      </c>
      <c r="F81" s="3301">
        <v>111.76</v>
      </c>
      <c r="G81" s="3301" t="s">
        <v>3738</v>
      </c>
      <c r="H81" s="3301" t="s">
        <v>3738</v>
      </c>
      <c r="I81" s="3301" t="s">
        <v>3738</v>
      </c>
      <c r="J81" s="3301" t="s">
        <v>3738</v>
      </c>
      <c r="K81" s="3301" t="str">
        <f>VLOOKUP(D81,[4]已网签!$C$3:$I$138,7,0)</f>
        <v>Y2722887</v>
      </c>
    </row>
    <row r="82" spans="1:11">
      <c r="A82" s="3301">
        <v>80</v>
      </c>
      <c r="B82" s="3301" t="s">
        <v>3737</v>
      </c>
      <c r="C82" s="3301" t="s">
        <v>3395</v>
      </c>
      <c r="D82" s="3301" t="s">
        <v>4754</v>
      </c>
      <c r="E82" s="3301">
        <v>139.9</v>
      </c>
      <c r="F82" s="3301">
        <v>110.95</v>
      </c>
      <c r="G82" s="3301" t="s">
        <v>3738</v>
      </c>
      <c r="H82" s="3301" t="s">
        <v>3738</v>
      </c>
      <c r="I82" s="3301"/>
      <c r="J82" s="3301"/>
      <c r="K82" s="3301"/>
    </row>
    <row r="83" spans="1:11">
      <c r="A83" s="3301">
        <v>81</v>
      </c>
      <c r="B83" s="3301" t="s">
        <v>3737</v>
      </c>
      <c r="C83" s="3301" t="s">
        <v>3395</v>
      </c>
      <c r="D83" s="3301" t="s">
        <v>4753</v>
      </c>
      <c r="E83" s="3301">
        <v>114.93</v>
      </c>
      <c r="F83" s="3301">
        <v>93.55</v>
      </c>
      <c r="G83" s="3301" t="s">
        <v>3738</v>
      </c>
      <c r="H83" s="3301" t="s">
        <v>3738</v>
      </c>
      <c r="I83" s="3301"/>
      <c r="J83" s="3301"/>
      <c r="K83" s="3301"/>
    </row>
    <row r="84" spans="1:11">
      <c r="A84" s="3301">
        <v>82</v>
      </c>
      <c r="B84" s="3301" t="s">
        <v>3737</v>
      </c>
      <c r="C84" s="3301" t="s">
        <v>3395</v>
      </c>
      <c r="D84" s="3301" t="s">
        <v>4752</v>
      </c>
      <c r="E84" s="3301">
        <v>131.5</v>
      </c>
      <c r="F84" s="3301">
        <v>107.04</v>
      </c>
      <c r="G84" s="3301" t="s">
        <v>3738</v>
      </c>
      <c r="H84" s="3301" t="s">
        <v>3738</v>
      </c>
      <c r="I84" s="3301"/>
      <c r="J84" s="3301"/>
      <c r="K84" s="3301"/>
    </row>
    <row r="85" spans="1:11">
      <c r="A85" s="3301">
        <v>83</v>
      </c>
      <c r="B85" s="3301" t="s">
        <v>3737</v>
      </c>
      <c r="C85" s="3301" t="s">
        <v>3395</v>
      </c>
      <c r="D85" s="3301" t="s">
        <v>3810</v>
      </c>
      <c r="E85" s="3301">
        <v>114.93</v>
      </c>
      <c r="F85" s="3301">
        <v>93.55</v>
      </c>
      <c r="G85" s="3301" t="s">
        <v>3738</v>
      </c>
      <c r="H85" s="3301" t="s">
        <v>3738</v>
      </c>
      <c r="I85" s="3301" t="s">
        <v>3738</v>
      </c>
      <c r="J85" s="3301" t="s">
        <v>3738</v>
      </c>
      <c r="K85" s="3301" t="str">
        <f>VLOOKUP(D85,[4]已网签!$C$3:$I$138,7,0)</f>
        <v>Y2727132</v>
      </c>
    </row>
    <row r="86" spans="1:11">
      <c r="A86" s="3301">
        <v>84</v>
      </c>
      <c r="B86" s="3301" t="s">
        <v>3737</v>
      </c>
      <c r="C86" s="3301" t="s">
        <v>3395</v>
      </c>
      <c r="D86" s="3301" t="s">
        <v>4751</v>
      </c>
      <c r="E86" s="3301">
        <v>131.5</v>
      </c>
      <c r="F86" s="3301">
        <v>107.04</v>
      </c>
      <c r="G86" s="3301" t="s">
        <v>3738</v>
      </c>
      <c r="H86" s="3301" t="s">
        <v>3738</v>
      </c>
      <c r="I86" s="3301"/>
      <c r="J86" s="3301"/>
      <c r="K86" s="3301"/>
    </row>
    <row r="87" spans="1:11">
      <c r="A87" s="3301">
        <v>85</v>
      </c>
      <c r="B87" s="3301" t="s">
        <v>3737</v>
      </c>
      <c r="C87" s="3301" t="s">
        <v>3395</v>
      </c>
      <c r="D87" s="3301" t="s">
        <v>3812</v>
      </c>
      <c r="E87" s="3301">
        <v>114.93</v>
      </c>
      <c r="F87" s="3301">
        <v>93.55</v>
      </c>
      <c r="G87" s="3301" t="s">
        <v>3738</v>
      </c>
      <c r="H87" s="3301" t="s">
        <v>3738</v>
      </c>
      <c r="I87" s="3301" t="s">
        <v>3738</v>
      </c>
      <c r="J87" s="3301" t="s">
        <v>3738</v>
      </c>
      <c r="K87" s="3301" t="str">
        <f>VLOOKUP(D87,[4]已网签!$C$3:$I$138,7,0)</f>
        <v>Y2733472</v>
      </c>
    </row>
    <row r="88" spans="1:11">
      <c r="A88" s="3301">
        <v>86</v>
      </c>
      <c r="B88" s="3301" t="s">
        <v>3737</v>
      </c>
      <c r="C88" s="3301" t="s">
        <v>3395</v>
      </c>
      <c r="D88" s="3301" t="s">
        <v>3814</v>
      </c>
      <c r="E88" s="3301">
        <v>131.5</v>
      </c>
      <c r="F88" s="3301">
        <v>107.04</v>
      </c>
      <c r="G88" s="3301" t="s">
        <v>3738</v>
      </c>
      <c r="H88" s="3301" t="s">
        <v>3738</v>
      </c>
      <c r="I88" s="3301" t="s">
        <v>3738</v>
      </c>
      <c r="J88" s="3301" t="s">
        <v>3738</v>
      </c>
      <c r="K88" s="3301" t="str">
        <f>VLOOKUP(D88,[4]已网签!$C$3:$I$138,7,0)</f>
        <v>Y2737460</v>
      </c>
    </row>
    <row r="89" spans="1:11">
      <c r="A89" s="3301">
        <v>87</v>
      </c>
      <c r="B89" s="3301" t="s">
        <v>3737</v>
      </c>
      <c r="C89" s="3301" t="s">
        <v>3395</v>
      </c>
      <c r="D89" s="3301" t="s">
        <v>3798</v>
      </c>
      <c r="E89" s="3301">
        <v>114.93</v>
      </c>
      <c r="F89" s="3301">
        <v>93.55</v>
      </c>
      <c r="G89" s="3301" t="s">
        <v>3738</v>
      </c>
      <c r="H89" s="3301" t="s">
        <v>3738</v>
      </c>
      <c r="I89" s="3301" t="s">
        <v>3738</v>
      </c>
      <c r="J89" s="3301" t="s">
        <v>3738</v>
      </c>
      <c r="K89" s="3301" t="str">
        <f>VLOOKUP(D89,[4]已网签!$C$3:$I$138,7,0)</f>
        <v>Y2689774</v>
      </c>
    </row>
    <row r="90" spans="1:11">
      <c r="A90" s="3301">
        <v>88</v>
      </c>
      <c r="B90" s="3301" t="s">
        <v>3737</v>
      </c>
      <c r="C90" s="3301" t="s">
        <v>3395</v>
      </c>
      <c r="D90" s="3301" t="s">
        <v>3806</v>
      </c>
      <c r="E90" s="3301">
        <v>131.5</v>
      </c>
      <c r="F90" s="3301">
        <v>107.04</v>
      </c>
      <c r="G90" s="3301" t="s">
        <v>3738</v>
      </c>
      <c r="H90" s="3301" t="s">
        <v>3738</v>
      </c>
      <c r="I90" s="3301" t="s">
        <v>3738</v>
      </c>
      <c r="J90" s="3301" t="s">
        <v>3738</v>
      </c>
      <c r="K90" s="3301" t="str">
        <f>VLOOKUP(D90,[4]已网签!$C$3:$I$138,7,0)</f>
        <v>Y2709725</v>
      </c>
    </row>
    <row r="91" spans="1:11">
      <c r="A91" s="3301">
        <v>89</v>
      </c>
      <c r="B91" s="3301" t="s">
        <v>3737</v>
      </c>
      <c r="C91" s="3301" t="s">
        <v>3395</v>
      </c>
      <c r="D91" s="3301" t="s">
        <v>3802</v>
      </c>
      <c r="E91" s="3301">
        <v>114.93</v>
      </c>
      <c r="F91" s="3301">
        <v>93.55</v>
      </c>
      <c r="G91" s="3301" t="s">
        <v>3738</v>
      </c>
      <c r="H91" s="3301" t="s">
        <v>3738</v>
      </c>
      <c r="I91" s="3301" t="s">
        <v>3738</v>
      </c>
      <c r="J91" s="3301" t="s">
        <v>3738</v>
      </c>
      <c r="K91" s="3301" t="str">
        <f>VLOOKUP(D91,[4]已网签!$C$3:$I$138,7,0)</f>
        <v>Y2699001</v>
      </c>
    </row>
    <row r="92" spans="1:11">
      <c r="A92" s="3301">
        <v>90</v>
      </c>
      <c r="B92" s="3301" t="s">
        <v>3737</v>
      </c>
      <c r="C92" s="3301" t="s">
        <v>3395</v>
      </c>
      <c r="D92" s="3301" t="s">
        <v>3804</v>
      </c>
      <c r="E92" s="3301">
        <v>131.5</v>
      </c>
      <c r="F92" s="3301">
        <v>107.04</v>
      </c>
      <c r="G92" s="3301" t="s">
        <v>3738</v>
      </c>
      <c r="H92" s="3301" t="s">
        <v>3738</v>
      </c>
      <c r="I92" s="3301" t="s">
        <v>3738</v>
      </c>
      <c r="J92" s="3301" t="s">
        <v>3738</v>
      </c>
      <c r="K92" s="3301" t="str">
        <f>VLOOKUP(D92,[4]已网签!$C$3:$I$138,7,0)</f>
        <v>Y2704072</v>
      </c>
    </row>
    <row r="93" spans="1:11">
      <c r="A93" s="3301">
        <v>91</v>
      </c>
      <c r="B93" s="3301" t="s">
        <v>3737</v>
      </c>
      <c r="C93" s="3301" t="s">
        <v>3395</v>
      </c>
      <c r="D93" s="3301" t="s">
        <v>4750</v>
      </c>
      <c r="E93" s="3301">
        <v>114.93</v>
      </c>
      <c r="F93" s="3301">
        <v>93.55</v>
      </c>
      <c r="G93" s="3301" t="s">
        <v>3738</v>
      </c>
      <c r="H93" s="3301" t="s">
        <v>3738</v>
      </c>
      <c r="I93" s="3301" t="s">
        <v>3738</v>
      </c>
      <c r="J93" s="3301" t="s">
        <v>3983</v>
      </c>
      <c r="K93" s="3301"/>
    </row>
    <row r="94" spans="1:11">
      <c r="A94" s="3301">
        <v>92</v>
      </c>
      <c r="B94" s="3301" t="s">
        <v>3737</v>
      </c>
      <c r="C94" s="3301" t="s">
        <v>3395</v>
      </c>
      <c r="D94" s="3301" t="s">
        <v>3816</v>
      </c>
      <c r="E94" s="3301">
        <v>131.5</v>
      </c>
      <c r="F94" s="3301">
        <v>107.04</v>
      </c>
      <c r="G94" s="3301" t="s">
        <v>3738</v>
      </c>
      <c r="H94" s="3301" t="s">
        <v>3738</v>
      </c>
      <c r="I94" s="3301" t="s">
        <v>3738</v>
      </c>
      <c r="J94" s="3301" t="s">
        <v>3738</v>
      </c>
      <c r="K94" s="3301" t="str">
        <f>VLOOKUP(D94,[4]已网签!$C$3:$I$138,7,0)</f>
        <v>Y2742844</v>
      </c>
    </row>
    <row r="95" spans="1:11">
      <c r="A95" s="3301">
        <v>93</v>
      </c>
      <c r="B95" s="3301" t="s">
        <v>3737</v>
      </c>
      <c r="C95" s="3301" t="s">
        <v>3395</v>
      </c>
      <c r="D95" s="3301" t="s">
        <v>3800</v>
      </c>
      <c r="E95" s="3301">
        <v>114.93</v>
      </c>
      <c r="F95" s="3301">
        <v>93.55</v>
      </c>
      <c r="G95" s="3301" t="s">
        <v>3738</v>
      </c>
      <c r="H95" s="3301" t="s">
        <v>3738</v>
      </c>
      <c r="I95" s="3301" t="s">
        <v>3738</v>
      </c>
      <c r="J95" s="3301" t="s">
        <v>3738</v>
      </c>
      <c r="K95" s="3301" t="str">
        <f>VLOOKUP(D95,[4]已网签!$C$3:$I$138,7,0)</f>
        <v>Y2694337</v>
      </c>
    </row>
    <row r="96" spans="1:11">
      <c r="A96" s="3301">
        <v>94</v>
      </c>
      <c r="B96" s="3301" t="s">
        <v>3737</v>
      </c>
      <c r="C96" s="3301" t="s">
        <v>3395</v>
      </c>
      <c r="D96" s="3301" t="s">
        <v>3808</v>
      </c>
      <c r="E96" s="3301">
        <v>131.5</v>
      </c>
      <c r="F96" s="3301">
        <v>107.04</v>
      </c>
      <c r="G96" s="3301" t="s">
        <v>3738</v>
      </c>
      <c r="H96" s="3301" t="s">
        <v>3738</v>
      </c>
      <c r="I96" s="3301" t="s">
        <v>3738</v>
      </c>
      <c r="J96" s="3301" t="s">
        <v>3738</v>
      </c>
      <c r="K96" s="3301" t="str">
        <f>VLOOKUP(D96,[4]已网签!$C$3:$I$138,7,0)</f>
        <v>Y2708928</v>
      </c>
    </row>
    <row r="97" spans="1:11">
      <c r="A97" s="3301">
        <v>95</v>
      </c>
      <c r="B97" s="3301" t="s">
        <v>3737</v>
      </c>
      <c r="C97" s="3301" t="s">
        <v>3395</v>
      </c>
      <c r="D97" s="3301" t="s">
        <v>4749</v>
      </c>
      <c r="E97" s="3301">
        <v>114.93</v>
      </c>
      <c r="F97" s="3301">
        <v>93.55</v>
      </c>
      <c r="G97" s="3301" t="s">
        <v>3738</v>
      </c>
      <c r="H97" s="3301" t="s">
        <v>3738</v>
      </c>
      <c r="I97" s="3301"/>
      <c r="J97" s="3301"/>
      <c r="K97" s="3301"/>
    </row>
    <row r="98" spans="1:11">
      <c r="A98" s="3301">
        <v>96</v>
      </c>
      <c r="B98" s="3301" t="s">
        <v>3737</v>
      </c>
      <c r="C98" s="3301" t="s">
        <v>3395</v>
      </c>
      <c r="D98" s="3301" t="s">
        <v>4748</v>
      </c>
      <c r="E98" s="3301">
        <v>131.5</v>
      </c>
      <c r="F98" s="3301">
        <v>107.04</v>
      </c>
      <c r="G98" s="3301" t="s">
        <v>3738</v>
      </c>
      <c r="H98" s="3301" t="s">
        <v>3738</v>
      </c>
      <c r="I98" s="3301" t="s">
        <v>3738</v>
      </c>
      <c r="J98" s="3301" t="s">
        <v>3983</v>
      </c>
      <c r="K98" s="3301"/>
    </row>
    <row r="99" spans="1:11">
      <c r="A99" s="3301">
        <v>97</v>
      </c>
      <c r="B99" s="3301" t="s">
        <v>3737</v>
      </c>
      <c r="C99" s="3301" t="s">
        <v>3395</v>
      </c>
      <c r="D99" s="3301" t="s">
        <v>4747</v>
      </c>
      <c r="E99" s="3301">
        <v>114.31</v>
      </c>
      <c r="F99" s="3301">
        <v>93.55</v>
      </c>
      <c r="G99" s="3301" t="s">
        <v>3738</v>
      </c>
      <c r="H99" s="3301" t="s">
        <v>3738</v>
      </c>
      <c r="I99" s="3301"/>
      <c r="J99" s="3301"/>
      <c r="K99" s="3301"/>
    </row>
    <row r="100" spans="1:11">
      <c r="A100" s="3301">
        <v>98</v>
      </c>
      <c r="B100" s="3301" t="s">
        <v>3737</v>
      </c>
      <c r="C100" s="3301" t="s">
        <v>3395</v>
      </c>
      <c r="D100" s="3301" t="s">
        <v>4746</v>
      </c>
      <c r="E100" s="3301">
        <v>110.18</v>
      </c>
      <c r="F100" s="3301">
        <v>90.17</v>
      </c>
      <c r="G100" s="3301" t="s">
        <v>3738</v>
      </c>
      <c r="H100" s="3301" t="s">
        <v>3738</v>
      </c>
      <c r="I100" s="3301"/>
      <c r="J100" s="3301"/>
      <c r="K100" s="3301"/>
    </row>
    <row r="101" spans="1:11">
      <c r="A101" s="3301">
        <v>99</v>
      </c>
      <c r="B101" s="3301" t="s">
        <v>3737</v>
      </c>
      <c r="C101" s="3301" t="s">
        <v>3395</v>
      </c>
      <c r="D101" s="3301" t="s">
        <v>4745</v>
      </c>
      <c r="E101" s="3301">
        <v>114.31</v>
      </c>
      <c r="F101" s="3301">
        <v>93.55</v>
      </c>
      <c r="G101" s="3301" t="s">
        <v>3738</v>
      </c>
      <c r="H101" s="3301" t="s">
        <v>3738</v>
      </c>
      <c r="I101" s="3301"/>
      <c r="J101" s="3301"/>
      <c r="K101" s="3301"/>
    </row>
    <row r="102" spans="1:11">
      <c r="A102" s="3301">
        <v>100</v>
      </c>
      <c r="B102" s="3301" t="s">
        <v>3737</v>
      </c>
      <c r="C102" s="3301" t="s">
        <v>3395</v>
      </c>
      <c r="D102" s="3301" t="s">
        <v>4744</v>
      </c>
      <c r="E102" s="3301">
        <v>110.18</v>
      </c>
      <c r="F102" s="3301">
        <v>90.17</v>
      </c>
      <c r="G102" s="3301" t="s">
        <v>3738</v>
      </c>
      <c r="H102" s="3301" t="s">
        <v>3738</v>
      </c>
      <c r="I102" s="3301"/>
      <c r="J102" s="3301"/>
      <c r="K102" s="3301"/>
    </row>
    <row r="103" spans="1:11">
      <c r="A103" s="3301">
        <v>101</v>
      </c>
      <c r="B103" s="3301" t="s">
        <v>3737</v>
      </c>
      <c r="C103" s="3301" t="s">
        <v>3395</v>
      </c>
      <c r="D103" s="3301" t="s">
        <v>4743</v>
      </c>
      <c r="E103" s="3301">
        <v>114.31</v>
      </c>
      <c r="F103" s="3301">
        <v>93.55</v>
      </c>
      <c r="G103" s="3301" t="s">
        <v>3738</v>
      </c>
      <c r="H103" s="3301" t="s">
        <v>3738</v>
      </c>
      <c r="I103" s="3301"/>
      <c r="J103" s="3301"/>
      <c r="K103" s="3301"/>
    </row>
    <row r="104" spans="1:11">
      <c r="A104" s="3301">
        <v>102</v>
      </c>
      <c r="B104" s="3301" t="s">
        <v>3737</v>
      </c>
      <c r="C104" s="3301" t="s">
        <v>3395</v>
      </c>
      <c r="D104" s="3301" t="s">
        <v>4742</v>
      </c>
      <c r="E104" s="3301">
        <v>110.18</v>
      </c>
      <c r="F104" s="3301">
        <v>90.17</v>
      </c>
      <c r="G104" s="3301" t="s">
        <v>3738</v>
      </c>
      <c r="H104" s="3301" t="s">
        <v>3738</v>
      </c>
      <c r="I104" s="3301"/>
      <c r="J104" s="3301"/>
      <c r="K104" s="3301"/>
    </row>
    <row r="105" spans="1:11">
      <c r="A105" s="3301">
        <v>103</v>
      </c>
      <c r="B105" s="3301" t="s">
        <v>3737</v>
      </c>
      <c r="C105" s="3301" t="s">
        <v>3395</v>
      </c>
      <c r="D105" s="3301" t="s">
        <v>3832</v>
      </c>
      <c r="E105" s="3301">
        <v>114.31</v>
      </c>
      <c r="F105" s="3301">
        <v>93.55</v>
      </c>
      <c r="G105" s="3301" t="s">
        <v>3738</v>
      </c>
      <c r="H105" s="3301" t="s">
        <v>3738</v>
      </c>
      <c r="I105" s="3301" t="s">
        <v>3738</v>
      </c>
      <c r="J105" s="3301" t="s">
        <v>3738</v>
      </c>
      <c r="K105" s="3301" t="str">
        <f>VLOOKUP(D105,[4]已网签!$C$3:$I$138,7,0)</f>
        <v>Y2719186</v>
      </c>
    </row>
    <row r="106" spans="1:11">
      <c r="A106" s="3301">
        <v>104</v>
      </c>
      <c r="B106" s="3301" t="s">
        <v>3737</v>
      </c>
      <c r="C106" s="3301" t="s">
        <v>3395</v>
      </c>
      <c r="D106" s="3301" t="s">
        <v>4741</v>
      </c>
      <c r="E106" s="3301">
        <v>110.18</v>
      </c>
      <c r="F106" s="3301">
        <v>90.17</v>
      </c>
      <c r="G106" s="3301" t="s">
        <v>3738</v>
      </c>
      <c r="H106" s="3301" t="s">
        <v>3738</v>
      </c>
      <c r="I106" s="3301" t="s">
        <v>3738</v>
      </c>
      <c r="J106" s="3301" t="s">
        <v>3738</v>
      </c>
      <c r="K106" s="3301" t="s">
        <v>4853</v>
      </c>
    </row>
    <row r="107" spans="1:11">
      <c r="A107" s="3301">
        <v>105</v>
      </c>
      <c r="B107" s="3301" t="s">
        <v>3737</v>
      </c>
      <c r="C107" s="3301" t="s">
        <v>3395</v>
      </c>
      <c r="D107" s="3301" t="s">
        <v>4470</v>
      </c>
      <c r="E107" s="3301">
        <v>114.31</v>
      </c>
      <c r="F107" s="3301">
        <v>93.55</v>
      </c>
      <c r="G107" s="3301" t="s">
        <v>3738</v>
      </c>
      <c r="H107" s="3301" t="s">
        <v>3738</v>
      </c>
      <c r="I107" s="3301" t="s">
        <v>3738</v>
      </c>
      <c r="J107" s="3301" t="s">
        <v>3738</v>
      </c>
      <c r="K107" s="3301" t="str">
        <f>VLOOKUP(D107,[4]已网签!$C$3:$I$138,7,0)</f>
        <v>Y2771487</v>
      </c>
    </row>
    <row r="108" spans="1:11">
      <c r="A108" s="3301">
        <v>106</v>
      </c>
      <c r="B108" s="3301" t="s">
        <v>3737</v>
      </c>
      <c r="C108" s="3301" t="s">
        <v>3395</v>
      </c>
      <c r="D108" s="3301" t="s">
        <v>3838</v>
      </c>
      <c r="E108" s="3301">
        <v>110.18</v>
      </c>
      <c r="F108" s="3301">
        <v>90.17</v>
      </c>
      <c r="G108" s="3301" t="s">
        <v>3738</v>
      </c>
      <c r="H108" s="3301" t="s">
        <v>3738</v>
      </c>
      <c r="I108" s="3301" t="s">
        <v>3738</v>
      </c>
      <c r="J108" s="3301" t="s">
        <v>3738</v>
      </c>
      <c r="K108" s="3301" t="str">
        <f>VLOOKUP(D108,[4]已网签!$C$3:$I$138,7,0)</f>
        <v>Y2722247</v>
      </c>
    </row>
    <row r="109" spans="1:11">
      <c r="A109" s="3301">
        <v>107</v>
      </c>
      <c r="B109" s="3301" t="s">
        <v>3737</v>
      </c>
      <c r="C109" s="3301" t="s">
        <v>3395</v>
      </c>
      <c r="D109" s="3301" t="s">
        <v>3840</v>
      </c>
      <c r="E109" s="3301">
        <v>114.31</v>
      </c>
      <c r="F109" s="3301">
        <v>93.55</v>
      </c>
      <c r="G109" s="3301" t="s">
        <v>3738</v>
      </c>
      <c r="H109" s="3301" t="s">
        <v>3738</v>
      </c>
      <c r="I109" s="3301" t="s">
        <v>3738</v>
      </c>
      <c r="J109" s="3301" t="s">
        <v>3738</v>
      </c>
      <c r="K109" s="3301" t="str">
        <f>VLOOKUP(D109,[4]已网签!$C$3:$I$138,7,0)</f>
        <v>Y2729617</v>
      </c>
    </row>
    <row r="110" spans="1:11">
      <c r="A110" s="3301">
        <v>108</v>
      </c>
      <c r="B110" s="3301" t="s">
        <v>3737</v>
      </c>
      <c r="C110" s="3301" t="s">
        <v>3395</v>
      </c>
      <c r="D110" s="3301" t="s">
        <v>4740</v>
      </c>
      <c r="E110" s="3301">
        <v>110.18</v>
      </c>
      <c r="F110" s="3301">
        <v>90.17</v>
      </c>
      <c r="G110" s="3301" t="s">
        <v>3738</v>
      </c>
      <c r="H110" s="3301" t="s">
        <v>3738</v>
      </c>
      <c r="I110" s="3301"/>
      <c r="J110" s="3301"/>
      <c r="K110" s="3301"/>
    </row>
    <row r="111" spans="1:11">
      <c r="A111" s="3301">
        <v>109</v>
      </c>
      <c r="B111" s="3301" t="s">
        <v>3737</v>
      </c>
      <c r="C111" s="3301" t="s">
        <v>3395</v>
      </c>
      <c r="D111" s="3301" t="s">
        <v>3834</v>
      </c>
      <c r="E111" s="3301">
        <v>114.31</v>
      </c>
      <c r="F111" s="3301">
        <v>93.55</v>
      </c>
      <c r="G111" s="3301" t="s">
        <v>3738</v>
      </c>
      <c r="H111" s="3301" t="s">
        <v>3738</v>
      </c>
      <c r="I111" s="3301" t="s">
        <v>3738</v>
      </c>
      <c r="J111" s="3301" t="s">
        <v>3738</v>
      </c>
      <c r="K111" s="3301" t="str">
        <f>VLOOKUP(D111,[4]已网签!$C$3:$I$138,7,0)</f>
        <v>Y2719865</v>
      </c>
    </row>
    <row r="112" spans="1:11">
      <c r="A112" s="3301">
        <v>110</v>
      </c>
      <c r="B112" s="3301" t="s">
        <v>3737</v>
      </c>
      <c r="C112" s="3301" t="s">
        <v>3395</v>
      </c>
      <c r="D112" s="3301" t="s">
        <v>3830</v>
      </c>
      <c r="E112" s="3301">
        <v>110.18</v>
      </c>
      <c r="F112" s="3301">
        <v>90.17</v>
      </c>
      <c r="G112" s="3301" t="s">
        <v>3738</v>
      </c>
      <c r="H112" s="3301" t="s">
        <v>3738</v>
      </c>
      <c r="I112" s="3301" t="s">
        <v>3738</v>
      </c>
      <c r="J112" s="3301" t="s">
        <v>3738</v>
      </c>
      <c r="K112" s="3301" t="str">
        <f>VLOOKUP(D112,[4]已网签!$C$3:$I$138,7,0)</f>
        <v>Y2712066</v>
      </c>
    </row>
    <row r="113" spans="1:11">
      <c r="A113" s="3301">
        <v>111</v>
      </c>
      <c r="B113" s="3301" t="s">
        <v>3737</v>
      </c>
      <c r="C113" s="3301" t="s">
        <v>3395</v>
      </c>
      <c r="D113" s="3301" t="s">
        <v>4739</v>
      </c>
      <c r="E113" s="3301">
        <v>114.31</v>
      </c>
      <c r="F113" s="3301">
        <v>93.55</v>
      </c>
      <c r="G113" s="3301" t="s">
        <v>3738</v>
      </c>
      <c r="H113" s="3301" t="s">
        <v>3738</v>
      </c>
      <c r="I113" s="3301"/>
      <c r="J113" s="3301"/>
      <c r="K113" s="3301"/>
    </row>
    <row r="114" spans="1:11">
      <c r="A114" s="3301">
        <v>112</v>
      </c>
      <c r="B114" s="3301" t="s">
        <v>3737</v>
      </c>
      <c r="C114" s="3301" t="s">
        <v>3395</v>
      </c>
      <c r="D114" s="3301" t="s">
        <v>3826</v>
      </c>
      <c r="E114" s="3301">
        <v>110.18</v>
      </c>
      <c r="F114" s="3301">
        <v>90.17</v>
      </c>
      <c r="G114" s="3301" t="s">
        <v>3738</v>
      </c>
      <c r="H114" s="3301" t="s">
        <v>3738</v>
      </c>
      <c r="I114" s="3301" t="s">
        <v>3738</v>
      </c>
      <c r="J114" s="3301" t="s">
        <v>3738</v>
      </c>
      <c r="K114" s="3301" t="str">
        <f>VLOOKUP(D114,[4]已网签!$C$3:$I$138,7,0)</f>
        <v>Y2709004</v>
      </c>
    </row>
    <row r="115" spans="1:11">
      <c r="A115" s="3301">
        <v>113</v>
      </c>
      <c r="B115" s="3301" t="s">
        <v>3737</v>
      </c>
      <c r="C115" s="3301" t="s">
        <v>3395</v>
      </c>
      <c r="D115" s="3301" t="s">
        <v>4738</v>
      </c>
      <c r="E115" s="3301">
        <v>110.18</v>
      </c>
      <c r="F115" s="3301">
        <v>90.17</v>
      </c>
      <c r="G115" s="3301" t="s">
        <v>3738</v>
      </c>
      <c r="H115" s="3301" t="s">
        <v>3738</v>
      </c>
      <c r="I115" s="3301"/>
      <c r="J115" s="3301"/>
      <c r="K115" s="3301"/>
    </row>
    <row r="116" spans="1:11">
      <c r="A116" s="3301">
        <v>114</v>
      </c>
      <c r="B116" s="3301" t="s">
        <v>3737</v>
      </c>
      <c r="C116" s="3301" t="s">
        <v>3395</v>
      </c>
      <c r="D116" s="3301" t="s">
        <v>4737</v>
      </c>
      <c r="E116" s="3301">
        <v>110.63</v>
      </c>
      <c r="F116" s="3301">
        <v>90.54</v>
      </c>
      <c r="G116" s="3301" t="s">
        <v>3738</v>
      </c>
      <c r="H116" s="3301" t="s">
        <v>3738</v>
      </c>
      <c r="I116" s="3301"/>
      <c r="J116" s="3301"/>
      <c r="K116" s="3301"/>
    </row>
    <row r="117" spans="1:11">
      <c r="A117" s="3301">
        <v>115</v>
      </c>
      <c r="B117" s="3301" t="s">
        <v>3737</v>
      </c>
      <c r="C117" s="3301" t="s">
        <v>3395</v>
      </c>
      <c r="D117" s="3301" t="s">
        <v>3836</v>
      </c>
      <c r="E117" s="3301">
        <v>110.18</v>
      </c>
      <c r="F117" s="3301">
        <v>90.17</v>
      </c>
      <c r="G117" s="3301" t="s">
        <v>3738</v>
      </c>
      <c r="H117" s="3301" t="s">
        <v>3738</v>
      </c>
      <c r="I117" s="3301" t="s">
        <v>3738</v>
      </c>
      <c r="J117" s="3301" t="s">
        <v>3738</v>
      </c>
      <c r="K117" s="3301" t="str">
        <f>VLOOKUP(D117,[4]已网签!$C$3:$I$138,7,0)</f>
        <v>Y2720741</v>
      </c>
    </row>
    <row r="118" spans="1:11">
      <c r="A118" s="3301">
        <v>116</v>
      </c>
      <c r="B118" s="3301" t="s">
        <v>3737</v>
      </c>
      <c r="C118" s="3301" t="s">
        <v>3395</v>
      </c>
      <c r="D118" s="3301" t="s">
        <v>4736</v>
      </c>
      <c r="E118" s="3301">
        <v>110.63</v>
      </c>
      <c r="F118" s="3301">
        <v>90.54</v>
      </c>
      <c r="G118" s="3301" t="s">
        <v>3738</v>
      </c>
      <c r="H118" s="3301" t="s">
        <v>3738</v>
      </c>
      <c r="I118" s="3301"/>
      <c r="J118" s="3301"/>
      <c r="K118" s="3301"/>
    </row>
    <row r="119" spans="1:11">
      <c r="A119" s="3301">
        <v>117</v>
      </c>
      <c r="B119" s="3301" t="s">
        <v>3737</v>
      </c>
      <c r="C119" s="3301" t="s">
        <v>3395</v>
      </c>
      <c r="D119" s="3301" t="s">
        <v>3842</v>
      </c>
      <c r="E119" s="3301">
        <v>110.18</v>
      </c>
      <c r="F119" s="3301">
        <v>90.17</v>
      </c>
      <c r="G119" s="3301" t="s">
        <v>3738</v>
      </c>
      <c r="H119" s="3301" t="s">
        <v>3738</v>
      </c>
      <c r="I119" s="3301" t="s">
        <v>3738</v>
      </c>
      <c r="J119" s="3301" t="s">
        <v>3738</v>
      </c>
      <c r="K119" s="3301" t="str">
        <f>VLOOKUP(D119,[4]已网签!$C$3:$I$138,7,0)</f>
        <v>Y2733329</v>
      </c>
    </row>
    <row r="120" spans="1:11">
      <c r="A120" s="3301">
        <v>118</v>
      </c>
      <c r="B120" s="3301" t="s">
        <v>3737</v>
      </c>
      <c r="C120" s="3301" t="s">
        <v>3395</v>
      </c>
      <c r="D120" s="3301" t="s">
        <v>4735</v>
      </c>
      <c r="E120" s="3301">
        <v>110.63</v>
      </c>
      <c r="F120" s="3301">
        <v>90.54</v>
      </c>
      <c r="G120" s="3301" t="s">
        <v>3738</v>
      </c>
      <c r="H120" s="3301" t="s">
        <v>3738</v>
      </c>
      <c r="I120" s="3301"/>
      <c r="J120" s="3301"/>
      <c r="K120" s="3301"/>
    </row>
    <row r="121" spans="1:11">
      <c r="A121" s="3301">
        <v>119</v>
      </c>
      <c r="B121" s="3301" t="s">
        <v>3737</v>
      </c>
      <c r="C121" s="3301" t="s">
        <v>3395</v>
      </c>
      <c r="D121" s="3301" t="s">
        <v>3818</v>
      </c>
      <c r="E121" s="3301">
        <v>110.18</v>
      </c>
      <c r="F121" s="3301">
        <v>90.17</v>
      </c>
      <c r="G121" s="3301" t="s">
        <v>3738</v>
      </c>
      <c r="H121" s="3301" t="s">
        <v>3738</v>
      </c>
      <c r="I121" s="3301" t="s">
        <v>3738</v>
      </c>
      <c r="J121" s="3301" t="s">
        <v>3738</v>
      </c>
      <c r="K121" s="3301" t="str">
        <f>VLOOKUP(D121,[4]已网签!$C$3:$I$138,7,0)</f>
        <v>Y2697595</v>
      </c>
    </row>
    <row r="122" spans="1:11">
      <c r="A122" s="3301">
        <v>120</v>
      </c>
      <c r="B122" s="3301" t="s">
        <v>3737</v>
      </c>
      <c r="C122" s="3301" t="s">
        <v>3395</v>
      </c>
      <c r="D122" s="3301" t="s">
        <v>3828</v>
      </c>
      <c r="E122" s="3301">
        <v>110.63</v>
      </c>
      <c r="F122" s="3301">
        <v>90.54</v>
      </c>
      <c r="G122" s="3301" t="s">
        <v>3738</v>
      </c>
      <c r="H122" s="3301" t="s">
        <v>3738</v>
      </c>
      <c r="I122" s="3301" t="s">
        <v>3738</v>
      </c>
      <c r="J122" s="3301" t="s">
        <v>3738</v>
      </c>
      <c r="K122" s="3301" t="str">
        <f>VLOOKUP(D122,[4]已网签!$C$3:$I$138,7,0)</f>
        <v>Y2710506</v>
      </c>
    </row>
    <row r="123" spans="1:11">
      <c r="A123" s="3301">
        <v>121</v>
      </c>
      <c r="B123" s="3301" t="s">
        <v>3737</v>
      </c>
      <c r="C123" s="3301" t="s">
        <v>3395</v>
      </c>
      <c r="D123" s="3301" t="s">
        <v>3824</v>
      </c>
      <c r="E123" s="3301">
        <v>110.18</v>
      </c>
      <c r="F123" s="3301">
        <v>90.17</v>
      </c>
      <c r="G123" s="3301" t="s">
        <v>3738</v>
      </c>
      <c r="H123" s="3301" t="s">
        <v>3738</v>
      </c>
      <c r="I123" s="3301" t="s">
        <v>3738</v>
      </c>
      <c r="J123" s="3301" t="s">
        <v>3738</v>
      </c>
      <c r="K123" s="3301" t="str">
        <f>VLOOKUP(D123,[4]已网签!$C$3:$I$138,7,0)</f>
        <v>Y2690708</v>
      </c>
    </row>
    <row r="124" spans="1:11">
      <c r="A124" s="3301">
        <v>122</v>
      </c>
      <c r="B124" s="3301" t="s">
        <v>3737</v>
      </c>
      <c r="C124" s="3301" t="s">
        <v>3395</v>
      </c>
      <c r="D124" s="3301" t="s">
        <v>3820</v>
      </c>
      <c r="E124" s="3301">
        <v>110.63</v>
      </c>
      <c r="F124" s="3301">
        <v>90.54</v>
      </c>
      <c r="G124" s="3301" t="s">
        <v>3738</v>
      </c>
      <c r="H124" s="3301" t="s">
        <v>3738</v>
      </c>
      <c r="I124" s="3301" t="s">
        <v>3738</v>
      </c>
      <c r="J124" s="3301" t="s">
        <v>3738</v>
      </c>
      <c r="K124" s="3301" t="str">
        <f>VLOOKUP(D124,[4]已网签!$C$3:$I$138,7,0)</f>
        <v>Y2702052</v>
      </c>
    </row>
    <row r="125" spans="1:11">
      <c r="A125" s="3301">
        <v>123</v>
      </c>
      <c r="B125" s="3301" t="s">
        <v>3737</v>
      </c>
      <c r="C125" s="3301" t="s">
        <v>3395</v>
      </c>
      <c r="D125" s="3301" t="s">
        <v>4734</v>
      </c>
      <c r="E125" s="3301">
        <v>110.18</v>
      </c>
      <c r="F125" s="3301">
        <v>90.17</v>
      </c>
      <c r="G125" s="3301" t="s">
        <v>3738</v>
      </c>
      <c r="H125" s="3301" t="s">
        <v>3738</v>
      </c>
      <c r="I125" s="3301"/>
      <c r="J125" s="3301"/>
      <c r="K125" s="3301"/>
    </row>
    <row r="126" spans="1:11">
      <c r="A126" s="3301">
        <v>124</v>
      </c>
      <c r="B126" s="3301" t="s">
        <v>3737</v>
      </c>
      <c r="C126" s="3301" t="s">
        <v>3395</v>
      </c>
      <c r="D126" s="3301" t="s">
        <v>4472</v>
      </c>
      <c r="E126" s="3301">
        <v>110.63</v>
      </c>
      <c r="F126" s="3301">
        <v>90.54</v>
      </c>
      <c r="G126" s="3301" t="s">
        <v>3738</v>
      </c>
      <c r="H126" s="3301" t="s">
        <v>3738</v>
      </c>
      <c r="I126" s="3301" t="s">
        <v>3738</v>
      </c>
      <c r="J126" s="3301" t="s">
        <v>3738</v>
      </c>
      <c r="K126" s="3301" t="str">
        <f>VLOOKUP(D126,[4]已网签!$C$3:$I$138,7,0)</f>
        <v>Y2772093</v>
      </c>
    </row>
    <row r="127" spans="1:11">
      <c r="A127" s="3301">
        <v>125</v>
      </c>
      <c r="B127" s="3301" t="s">
        <v>3737</v>
      </c>
      <c r="C127" s="3301" t="s">
        <v>3395</v>
      </c>
      <c r="D127" s="3301" t="s">
        <v>3822</v>
      </c>
      <c r="E127" s="3301">
        <v>110.18</v>
      </c>
      <c r="F127" s="3301">
        <v>90.17</v>
      </c>
      <c r="G127" s="3301" t="s">
        <v>3738</v>
      </c>
      <c r="H127" s="3301" t="s">
        <v>3738</v>
      </c>
      <c r="I127" s="3301" t="s">
        <v>3738</v>
      </c>
      <c r="J127" s="3301" t="s">
        <v>3738</v>
      </c>
      <c r="K127" s="3301" t="str">
        <f>VLOOKUP(D127,[4]已网签!$C$3:$I$138,7,0)</f>
        <v>Y2702582</v>
      </c>
    </row>
    <row r="128" spans="1:11">
      <c r="A128" s="3301">
        <v>126</v>
      </c>
      <c r="B128" s="3301" t="s">
        <v>3737</v>
      </c>
      <c r="C128" s="3301" t="s">
        <v>3395</v>
      </c>
      <c r="D128" s="3301" t="s">
        <v>4733</v>
      </c>
      <c r="E128" s="3301">
        <v>110.63</v>
      </c>
      <c r="F128" s="3301">
        <v>90.54</v>
      </c>
      <c r="G128" s="3301" t="s">
        <v>3738</v>
      </c>
      <c r="H128" s="3301" t="s">
        <v>3738</v>
      </c>
      <c r="I128" s="3301"/>
      <c r="J128" s="3301"/>
      <c r="K128" s="3301"/>
    </row>
    <row r="129" spans="1:11">
      <c r="A129" s="3301">
        <v>127</v>
      </c>
      <c r="B129" s="3301" t="s">
        <v>3737</v>
      </c>
      <c r="C129" s="3301" t="s">
        <v>3395</v>
      </c>
      <c r="D129" s="3301" t="s">
        <v>4732</v>
      </c>
      <c r="E129" s="3301">
        <v>110.63</v>
      </c>
      <c r="F129" s="3301">
        <v>90.54</v>
      </c>
      <c r="G129" s="3301" t="s">
        <v>3738</v>
      </c>
      <c r="H129" s="3301" t="s">
        <v>3738</v>
      </c>
      <c r="I129" s="3301"/>
      <c r="J129" s="3301"/>
      <c r="K129" s="3301"/>
    </row>
    <row r="130" spans="1:11">
      <c r="A130" s="3301">
        <v>128</v>
      </c>
      <c r="B130" s="3301" t="s">
        <v>3737</v>
      </c>
      <c r="C130" s="3301" t="s">
        <v>3395</v>
      </c>
      <c r="D130" s="3301" t="s">
        <v>4731</v>
      </c>
      <c r="E130" s="3301">
        <v>110.18</v>
      </c>
      <c r="F130" s="3301">
        <v>90.17</v>
      </c>
      <c r="G130" s="3301" t="s">
        <v>3738</v>
      </c>
      <c r="H130" s="3301" t="s">
        <v>3738</v>
      </c>
      <c r="I130" s="3301"/>
      <c r="J130" s="3301"/>
      <c r="K130" s="3301"/>
    </row>
    <row r="131" spans="1:11">
      <c r="A131" s="3301">
        <v>129</v>
      </c>
      <c r="B131" s="3301" t="s">
        <v>3737</v>
      </c>
      <c r="C131" s="3301" t="s">
        <v>3395</v>
      </c>
      <c r="D131" s="3301" t="s">
        <v>4730</v>
      </c>
      <c r="E131" s="3301">
        <v>110.63</v>
      </c>
      <c r="F131" s="3301">
        <v>90.54</v>
      </c>
      <c r="G131" s="3301" t="s">
        <v>3738</v>
      </c>
      <c r="H131" s="3301" t="s">
        <v>3738</v>
      </c>
      <c r="I131" s="3301"/>
      <c r="J131" s="3301"/>
      <c r="K131" s="3301"/>
    </row>
    <row r="132" spans="1:11">
      <c r="A132" s="3301">
        <v>130</v>
      </c>
      <c r="B132" s="3301" t="s">
        <v>3737</v>
      </c>
      <c r="C132" s="3301" t="s">
        <v>3395</v>
      </c>
      <c r="D132" s="3301" t="s">
        <v>4474</v>
      </c>
      <c r="E132" s="3301">
        <v>110.18</v>
      </c>
      <c r="F132" s="3301">
        <v>90.17</v>
      </c>
      <c r="G132" s="3301" t="s">
        <v>3738</v>
      </c>
      <c r="H132" s="3301" t="s">
        <v>3738</v>
      </c>
      <c r="I132" s="3301" t="s">
        <v>3738</v>
      </c>
      <c r="J132" s="3301" t="s">
        <v>3738</v>
      </c>
      <c r="K132" s="3301" t="str">
        <f>VLOOKUP(D132,[4]已网签!$C$3:$I$138,7,0)</f>
        <v>Y2772089</v>
      </c>
    </row>
    <row r="133" spans="1:11">
      <c r="A133" s="3301">
        <v>131</v>
      </c>
      <c r="B133" s="3301" t="s">
        <v>3737</v>
      </c>
      <c r="C133" s="3301" t="s">
        <v>3395</v>
      </c>
      <c r="D133" s="3301" t="s">
        <v>4729</v>
      </c>
      <c r="E133" s="3301">
        <v>110.63</v>
      </c>
      <c r="F133" s="3301">
        <v>90.54</v>
      </c>
      <c r="G133" s="3301" t="s">
        <v>3738</v>
      </c>
      <c r="H133" s="3301" t="s">
        <v>3738</v>
      </c>
      <c r="I133" s="3301"/>
      <c r="J133" s="3301"/>
      <c r="K133" s="3301"/>
    </row>
    <row r="134" spans="1:11">
      <c r="A134" s="3301">
        <v>132</v>
      </c>
      <c r="B134" s="3301" t="s">
        <v>3737</v>
      </c>
      <c r="C134" s="3301" t="s">
        <v>3395</v>
      </c>
      <c r="D134" s="3301" t="s">
        <v>4728</v>
      </c>
      <c r="E134" s="3301">
        <v>110.18</v>
      </c>
      <c r="F134" s="3301">
        <v>90.17</v>
      </c>
      <c r="G134" s="3301" t="s">
        <v>3738</v>
      </c>
      <c r="H134" s="3301" t="s">
        <v>3738</v>
      </c>
      <c r="I134" s="3301"/>
      <c r="J134" s="3301"/>
      <c r="K134" s="3301"/>
    </row>
    <row r="135" spans="1:11">
      <c r="A135" s="3301">
        <v>133</v>
      </c>
      <c r="B135" s="3301" t="s">
        <v>3737</v>
      </c>
      <c r="C135" s="3301" t="s">
        <v>3395</v>
      </c>
      <c r="D135" s="3301" t="s">
        <v>4727</v>
      </c>
      <c r="E135" s="3301">
        <v>110.63</v>
      </c>
      <c r="F135" s="3301">
        <v>90.54</v>
      </c>
      <c r="G135" s="3301" t="s">
        <v>3738</v>
      </c>
      <c r="H135" s="3301" t="s">
        <v>3738</v>
      </c>
      <c r="I135" s="3301"/>
      <c r="J135" s="3301"/>
      <c r="K135" s="3301"/>
    </row>
    <row r="136" spans="1:11">
      <c r="A136" s="3301">
        <v>134</v>
      </c>
      <c r="B136" s="3301" t="s">
        <v>3737</v>
      </c>
      <c r="C136" s="3301" t="s">
        <v>3395</v>
      </c>
      <c r="D136" s="3301" t="s">
        <v>3846</v>
      </c>
      <c r="E136" s="3301">
        <v>110.18</v>
      </c>
      <c r="F136" s="3301">
        <v>90.17</v>
      </c>
      <c r="G136" s="3301" t="s">
        <v>3738</v>
      </c>
      <c r="H136" s="3301" t="s">
        <v>3738</v>
      </c>
      <c r="I136" s="3301" t="s">
        <v>3738</v>
      </c>
      <c r="J136" s="3301" t="s">
        <v>3738</v>
      </c>
      <c r="K136" s="3301" t="str">
        <f>VLOOKUP(D136,[4]已网签!$C$3:$I$138,7,0)</f>
        <v>Y2719296</v>
      </c>
    </row>
    <row r="137" spans="1:11">
      <c r="A137" s="3301">
        <v>135</v>
      </c>
      <c r="B137" s="3301" t="s">
        <v>3737</v>
      </c>
      <c r="C137" s="3301" t="s">
        <v>3395</v>
      </c>
      <c r="D137" s="3301" t="s">
        <v>4726</v>
      </c>
      <c r="E137" s="3301">
        <v>110.63</v>
      </c>
      <c r="F137" s="3301">
        <v>90.54</v>
      </c>
      <c r="G137" s="3301" t="s">
        <v>3738</v>
      </c>
      <c r="H137" s="3301" t="s">
        <v>3738</v>
      </c>
      <c r="I137" s="3301"/>
      <c r="J137" s="3301"/>
      <c r="K137" s="3301"/>
    </row>
    <row r="138" spans="1:11">
      <c r="A138" s="3301">
        <v>136</v>
      </c>
      <c r="B138" s="3301" t="s">
        <v>3737</v>
      </c>
      <c r="C138" s="3301" t="s">
        <v>3395</v>
      </c>
      <c r="D138" s="3301" t="s">
        <v>3844</v>
      </c>
      <c r="E138" s="3301">
        <v>110.18</v>
      </c>
      <c r="F138" s="3301">
        <v>90.17</v>
      </c>
      <c r="G138" s="3301" t="s">
        <v>3738</v>
      </c>
      <c r="H138" s="3301" t="s">
        <v>3738</v>
      </c>
      <c r="I138" s="3301" t="s">
        <v>3738</v>
      </c>
      <c r="J138" s="3301" t="s">
        <v>3738</v>
      </c>
      <c r="K138" s="3301" t="str">
        <f>VLOOKUP(D138,[4]已网签!$C$3:$I$138,7,0)</f>
        <v>Y2710311</v>
      </c>
    </row>
    <row r="139" spans="1:11">
      <c r="A139" s="3301">
        <v>137</v>
      </c>
      <c r="B139" s="3301" t="s">
        <v>3737</v>
      </c>
      <c r="C139" s="3301" t="s">
        <v>3395</v>
      </c>
      <c r="D139" s="3301" t="s">
        <v>4725</v>
      </c>
      <c r="E139" s="3301">
        <v>110.63</v>
      </c>
      <c r="F139" s="3301">
        <v>90.54</v>
      </c>
      <c r="G139" s="3301" t="s">
        <v>3738</v>
      </c>
      <c r="H139" s="3301" t="s">
        <v>3738</v>
      </c>
      <c r="I139" s="3301"/>
      <c r="J139" s="3301"/>
      <c r="K139" s="3301"/>
    </row>
    <row r="140" spans="1:11">
      <c r="A140" s="3301">
        <v>138</v>
      </c>
      <c r="B140" s="3301" t="s">
        <v>3737</v>
      </c>
      <c r="C140" s="3301" t="s">
        <v>3395</v>
      </c>
      <c r="D140" s="3301" t="s">
        <v>4724</v>
      </c>
      <c r="E140" s="3301">
        <v>110.18</v>
      </c>
      <c r="F140" s="3301">
        <v>90.17</v>
      </c>
      <c r="G140" s="3301" t="s">
        <v>3738</v>
      </c>
      <c r="H140" s="3301" t="s">
        <v>3738</v>
      </c>
      <c r="I140" s="3301"/>
      <c r="J140" s="3301"/>
      <c r="K140" s="3301"/>
    </row>
    <row r="141" spans="1:11">
      <c r="A141" s="3301">
        <v>139</v>
      </c>
      <c r="B141" s="3301" t="s">
        <v>3737</v>
      </c>
      <c r="C141" s="3301" t="s">
        <v>3395</v>
      </c>
      <c r="D141" s="3301" t="s">
        <v>4723</v>
      </c>
      <c r="E141" s="3301">
        <v>110.63</v>
      </c>
      <c r="F141" s="3301">
        <v>90.54</v>
      </c>
      <c r="G141" s="3301" t="s">
        <v>3738</v>
      </c>
      <c r="H141" s="3301" t="s">
        <v>3738</v>
      </c>
      <c r="I141" s="3301"/>
      <c r="J141" s="3301"/>
      <c r="K141" s="3301"/>
    </row>
    <row r="142" spans="1:11">
      <c r="A142" s="3301">
        <v>140</v>
      </c>
      <c r="B142" s="3301" t="s">
        <v>3737</v>
      </c>
      <c r="C142" s="3301" t="s">
        <v>3395</v>
      </c>
      <c r="D142" s="3301" t="s">
        <v>4722</v>
      </c>
      <c r="E142" s="3301">
        <v>110.18</v>
      </c>
      <c r="F142" s="3301">
        <v>90.17</v>
      </c>
      <c r="G142" s="3301" t="s">
        <v>3738</v>
      </c>
      <c r="H142" s="3301" t="s">
        <v>3738</v>
      </c>
      <c r="I142" s="3301"/>
      <c r="J142" s="3301"/>
      <c r="K142" s="3301"/>
    </row>
    <row r="143" spans="1:11">
      <c r="A143" s="3301">
        <v>141</v>
      </c>
      <c r="B143" s="3301" t="s">
        <v>3737</v>
      </c>
      <c r="C143" s="3301" t="s">
        <v>3395</v>
      </c>
      <c r="D143" s="3301" t="s">
        <v>4721</v>
      </c>
      <c r="E143" s="3301">
        <v>114.15</v>
      </c>
      <c r="F143" s="3301">
        <v>93.42</v>
      </c>
      <c r="G143" s="3301" t="s">
        <v>3738</v>
      </c>
      <c r="H143" s="3301" t="s">
        <v>3738</v>
      </c>
      <c r="I143" s="3301"/>
      <c r="J143" s="3301"/>
      <c r="K143" s="3301"/>
    </row>
    <row r="144" spans="1:11">
      <c r="A144" s="3301">
        <v>142</v>
      </c>
      <c r="B144" s="3301" t="s">
        <v>3737</v>
      </c>
      <c r="C144" s="3301" t="s">
        <v>3395</v>
      </c>
      <c r="D144" s="3301" t="s">
        <v>4720</v>
      </c>
      <c r="E144" s="3301">
        <v>110.18</v>
      </c>
      <c r="F144" s="3301">
        <v>90.17</v>
      </c>
      <c r="G144" s="3301" t="s">
        <v>3738</v>
      </c>
      <c r="H144" s="3301" t="s">
        <v>3738</v>
      </c>
      <c r="I144" s="3301"/>
      <c r="J144" s="3301"/>
      <c r="K144" s="3301"/>
    </row>
    <row r="145" spans="1:11">
      <c r="A145" s="3301">
        <v>143</v>
      </c>
      <c r="B145" s="3301" t="s">
        <v>3737</v>
      </c>
      <c r="C145" s="3301" t="s">
        <v>3395</v>
      </c>
      <c r="D145" s="3301" t="s">
        <v>4719</v>
      </c>
      <c r="E145" s="3301">
        <v>114.31</v>
      </c>
      <c r="F145" s="3301">
        <v>93.55</v>
      </c>
      <c r="G145" s="3301" t="s">
        <v>3738</v>
      </c>
      <c r="H145" s="3301" t="s">
        <v>3738</v>
      </c>
      <c r="I145" s="3301"/>
      <c r="J145" s="3301"/>
      <c r="K145" s="3301"/>
    </row>
    <row r="146" spans="1:11">
      <c r="A146" s="3301">
        <v>144</v>
      </c>
      <c r="B146" s="3301" t="s">
        <v>3737</v>
      </c>
      <c r="C146" s="3301" t="s">
        <v>3395</v>
      </c>
      <c r="D146" s="3301" t="s">
        <v>4718</v>
      </c>
      <c r="E146" s="3301">
        <v>110.18</v>
      </c>
      <c r="F146" s="3301">
        <v>90.17</v>
      </c>
      <c r="G146" s="3301" t="s">
        <v>3738</v>
      </c>
      <c r="H146" s="3301" t="s">
        <v>3738</v>
      </c>
      <c r="I146" s="3301"/>
      <c r="J146" s="3301"/>
      <c r="K146" s="3301"/>
    </row>
    <row r="147" spans="1:11">
      <c r="A147" s="3301">
        <v>145</v>
      </c>
      <c r="B147" s="3301" t="s">
        <v>3737</v>
      </c>
      <c r="C147" s="3301" t="s">
        <v>3395</v>
      </c>
      <c r="D147" s="3301" t="s">
        <v>4717</v>
      </c>
      <c r="E147" s="3301">
        <v>114.31</v>
      </c>
      <c r="F147" s="3301">
        <v>93.55</v>
      </c>
      <c r="G147" s="3301" t="s">
        <v>3738</v>
      </c>
      <c r="H147" s="3301" t="s">
        <v>3738</v>
      </c>
      <c r="I147" s="3301"/>
      <c r="J147" s="3301"/>
      <c r="K147" s="3301"/>
    </row>
    <row r="148" spans="1:11">
      <c r="A148" s="3301">
        <v>146</v>
      </c>
      <c r="B148" s="3301" t="s">
        <v>3737</v>
      </c>
      <c r="C148" s="3301" t="s">
        <v>3395</v>
      </c>
      <c r="D148" s="3301" t="s">
        <v>4716</v>
      </c>
      <c r="E148" s="3301">
        <v>110.18</v>
      </c>
      <c r="F148" s="3301">
        <v>90.17</v>
      </c>
      <c r="G148" s="3301" t="s">
        <v>3738</v>
      </c>
      <c r="H148" s="3301" t="s">
        <v>3738</v>
      </c>
      <c r="I148" s="3301"/>
      <c r="J148" s="3301"/>
      <c r="K148" s="3301"/>
    </row>
    <row r="149" spans="1:11">
      <c r="A149" s="3301">
        <v>147</v>
      </c>
      <c r="B149" s="3301" t="s">
        <v>3737</v>
      </c>
      <c r="C149" s="3301" t="s">
        <v>3395</v>
      </c>
      <c r="D149" s="3301" t="s">
        <v>4715</v>
      </c>
      <c r="E149" s="3301">
        <v>114.31</v>
      </c>
      <c r="F149" s="3301">
        <v>93.55</v>
      </c>
      <c r="G149" s="3301" t="s">
        <v>3738</v>
      </c>
      <c r="H149" s="3301" t="s">
        <v>3738</v>
      </c>
      <c r="I149" s="3301"/>
      <c r="J149" s="3301"/>
      <c r="K149" s="3301"/>
    </row>
    <row r="150" spans="1:11">
      <c r="A150" s="3301">
        <v>148</v>
      </c>
      <c r="B150" s="3301" t="s">
        <v>3737</v>
      </c>
      <c r="C150" s="3301" t="s">
        <v>3395</v>
      </c>
      <c r="D150" s="3301" t="s">
        <v>4714</v>
      </c>
      <c r="E150" s="3301">
        <v>110.18</v>
      </c>
      <c r="F150" s="3301">
        <v>90.17</v>
      </c>
      <c r="G150" s="3301" t="s">
        <v>3738</v>
      </c>
      <c r="H150" s="3301" t="s">
        <v>3738</v>
      </c>
      <c r="I150" s="3301"/>
      <c r="J150" s="3301"/>
      <c r="K150" s="3301"/>
    </row>
    <row r="151" spans="1:11">
      <c r="A151" s="3301">
        <v>149</v>
      </c>
      <c r="B151" s="3301" t="s">
        <v>3737</v>
      </c>
      <c r="C151" s="3301" t="s">
        <v>3395</v>
      </c>
      <c r="D151" s="3301" t="s">
        <v>4713</v>
      </c>
      <c r="E151" s="3301">
        <v>114.31</v>
      </c>
      <c r="F151" s="3301">
        <v>93.55</v>
      </c>
      <c r="G151" s="3301" t="s">
        <v>3738</v>
      </c>
      <c r="H151" s="3301" t="s">
        <v>3738</v>
      </c>
      <c r="I151" s="3301"/>
      <c r="J151" s="3301"/>
      <c r="K151" s="3301"/>
    </row>
    <row r="152" spans="1:11">
      <c r="A152" s="3301">
        <v>150</v>
      </c>
      <c r="B152" s="3301" t="s">
        <v>3737</v>
      </c>
      <c r="C152" s="3301" t="s">
        <v>3395</v>
      </c>
      <c r="D152" s="3301" t="s">
        <v>4712</v>
      </c>
      <c r="E152" s="3301">
        <v>110.18</v>
      </c>
      <c r="F152" s="3301">
        <v>90.17</v>
      </c>
      <c r="G152" s="3301" t="s">
        <v>3738</v>
      </c>
      <c r="H152" s="3301" t="s">
        <v>3738</v>
      </c>
      <c r="I152" s="3301" t="s">
        <v>3738</v>
      </c>
      <c r="J152" s="3301" t="s">
        <v>3738</v>
      </c>
      <c r="K152" s="3301" t="s">
        <v>4869</v>
      </c>
    </row>
    <row r="153" spans="1:11">
      <c r="A153" s="3301">
        <v>151</v>
      </c>
      <c r="B153" s="3301" t="s">
        <v>3737</v>
      </c>
      <c r="C153" s="3301" t="s">
        <v>3395</v>
      </c>
      <c r="D153" s="3301" t="s">
        <v>4711</v>
      </c>
      <c r="E153" s="3301">
        <v>114.31</v>
      </c>
      <c r="F153" s="3301">
        <v>93.55</v>
      </c>
      <c r="G153" s="3301" t="s">
        <v>3738</v>
      </c>
      <c r="H153" s="3301" t="s">
        <v>3738</v>
      </c>
      <c r="I153" s="3301"/>
      <c r="J153" s="3301"/>
      <c r="K153" s="3301"/>
    </row>
    <row r="154" spans="1:11">
      <c r="A154" s="3301">
        <v>152</v>
      </c>
      <c r="B154" s="3301" t="s">
        <v>3737</v>
      </c>
      <c r="C154" s="3301" t="s">
        <v>3395</v>
      </c>
      <c r="D154" s="3301" t="s">
        <v>4710</v>
      </c>
      <c r="E154" s="3301">
        <v>110.18</v>
      </c>
      <c r="F154" s="3301">
        <v>90.17</v>
      </c>
      <c r="G154" s="3301" t="s">
        <v>3738</v>
      </c>
      <c r="H154" s="3301" t="s">
        <v>3738</v>
      </c>
      <c r="I154" s="3301"/>
      <c r="J154" s="3301"/>
      <c r="K154" s="3301"/>
    </row>
    <row r="155" spans="1:11">
      <c r="A155" s="3301">
        <v>153</v>
      </c>
      <c r="B155" s="3301" t="s">
        <v>3737</v>
      </c>
      <c r="C155" s="3301" t="s">
        <v>3395</v>
      </c>
      <c r="D155" s="3301" t="s">
        <v>4709</v>
      </c>
      <c r="E155" s="3301">
        <v>114.31</v>
      </c>
      <c r="F155" s="3301">
        <v>93.55</v>
      </c>
      <c r="G155" s="3301" t="s">
        <v>3738</v>
      </c>
      <c r="H155" s="3301" t="s">
        <v>3738</v>
      </c>
      <c r="I155" s="3301"/>
      <c r="J155" s="3301"/>
      <c r="K155" s="3301"/>
    </row>
    <row r="156" spans="1:11">
      <c r="A156" s="3301">
        <v>154</v>
      </c>
      <c r="B156" s="3301" t="s">
        <v>3737</v>
      </c>
      <c r="C156" s="3301" t="s">
        <v>3395</v>
      </c>
      <c r="D156" s="3301" t="s">
        <v>4708</v>
      </c>
      <c r="E156" s="3301">
        <v>110.18</v>
      </c>
      <c r="F156" s="3301">
        <v>90.17</v>
      </c>
      <c r="G156" s="3301" t="s">
        <v>3738</v>
      </c>
      <c r="H156" s="3301" t="s">
        <v>3738</v>
      </c>
      <c r="I156" s="3301"/>
      <c r="J156" s="3301"/>
      <c r="K156" s="3301"/>
    </row>
    <row r="157" spans="1:11">
      <c r="A157" s="3301">
        <v>155</v>
      </c>
      <c r="B157" s="3301" t="s">
        <v>3737</v>
      </c>
      <c r="C157" s="3301" t="s">
        <v>3395</v>
      </c>
      <c r="D157" s="3301" t="s">
        <v>4707</v>
      </c>
      <c r="E157" s="3301">
        <v>114.31</v>
      </c>
      <c r="F157" s="3301">
        <v>93.55</v>
      </c>
      <c r="G157" s="3301" t="s">
        <v>3738</v>
      </c>
      <c r="H157" s="3301" t="s">
        <v>3738</v>
      </c>
      <c r="I157" s="3301"/>
      <c r="J157" s="3301"/>
      <c r="K157" s="3301"/>
    </row>
    <row r="158" spans="1:11">
      <c r="A158" s="3301">
        <v>156</v>
      </c>
      <c r="B158" s="3301" t="s">
        <v>3737</v>
      </c>
      <c r="C158" s="3301" t="s">
        <v>3395</v>
      </c>
      <c r="D158" s="3301" t="s">
        <v>4706</v>
      </c>
      <c r="E158" s="3301">
        <v>141.16999999999999</v>
      </c>
      <c r="F158" s="3301">
        <v>111.76</v>
      </c>
      <c r="G158" s="3301" t="s">
        <v>3738</v>
      </c>
      <c r="H158" s="3301" t="s">
        <v>3738</v>
      </c>
      <c r="I158" s="3301"/>
      <c r="J158" s="3301"/>
      <c r="K158" s="3301"/>
    </row>
    <row r="159" spans="1:11">
      <c r="A159" s="3301">
        <v>157</v>
      </c>
      <c r="B159" s="3301" t="s">
        <v>3737</v>
      </c>
      <c r="C159" s="3301" t="s">
        <v>3395</v>
      </c>
      <c r="D159" s="3301" t="s">
        <v>4705</v>
      </c>
      <c r="E159" s="3301">
        <v>140.15</v>
      </c>
      <c r="F159" s="3301">
        <v>110.95</v>
      </c>
      <c r="G159" s="3301" t="s">
        <v>3738</v>
      </c>
      <c r="H159" s="3301" t="s">
        <v>3738</v>
      </c>
      <c r="I159" s="3301"/>
      <c r="J159" s="3301"/>
      <c r="K159" s="3301"/>
    </row>
    <row r="160" spans="1:11">
      <c r="A160" s="3301">
        <v>158</v>
      </c>
      <c r="B160" s="3301" t="s">
        <v>3737</v>
      </c>
      <c r="C160" s="3301" t="s">
        <v>3395</v>
      </c>
      <c r="D160" s="3301" t="s">
        <v>4704</v>
      </c>
      <c r="E160" s="3301">
        <v>141.16999999999999</v>
      </c>
      <c r="F160" s="3301">
        <v>111.76</v>
      </c>
      <c r="G160" s="3301" t="s">
        <v>3738</v>
      </c>
      <c r="H160" s="3301" t="s">
        <v>3738</v>
      </c>
      <c r="I160" s="3301"/>
      <c r="J160" s="3301"/>
      <c r="K160" s="3301"/>
    </row>
    <row r="161" spans="1:11">
      <c r="A161" s="3301">
        <v>159</v>
      </c>
      <c r="B161" s="3301" t="s">
        <v>3737</v>
      </c>
      <c r="C161" s="3301" t="s">
        <v>3395</v>
      </c>
      <c r="D161" s="3301" t="s">
        <v>4703</v>
      </c>
      <c r="E161" s="3301">
        <v>140.15</v>
      </c>
      <c r="F161" s="3301">
        <v>110.95</v>
      </c>
      <c r="G161" s="3301" t="s">
        <v>3738</v>
      </c>
      <c r="H161" s="3301" t="s">
        <v>3738</v>
      </c>
      <c r="I161" s="3301"/>
      <c r="J161" s="3301"/>
      <c r="K161" s="3301"/>
    </row>
    <row r="162" spans="1:11">
      <c r="A162" s="3301">
        <v>160</v>
      </c>
      <c r="B162" s="3301" t="s">
        <v>3737</v>
      </c>
      <c r="C162" s="3301" t="s">
        <v>3395</v>
      </c>
      <c r="D162" s="3301" t="s">
        <v>4702</v>
      </c>
      <c r="E162" s="3301">
        <v>141.16999999999999</v>
      </c>
      <c r="F162" s="3301">
        <v>111.76</v>
      </c>
      <c r="G162" s="3301" t="s">
        <v>3738</v>
      </c>
      <c r="H162" s="3301" t="s">
        <v>3738</v>
      </c>
      <c r="I162" s="3301"/>
      <c r="J162" s="3301"/>
      <c r="K162" s="3301"/>
    </row>
    <row r="163" spans="1:11">
      <c r="A163" s="3301">
        <v>161</v>
      </c>
      <c r="B163" s="3301" t="s">
        <v>3737</v>
      </c>
      <c r="C163" s="3301" t="s">
        <v>3395</v>
      </c>
      <c r="D163" s="3301" t="s">
        <v>4701</v>
      </c>
      <c r="E163" s="3301">
        <v>140.15</v>
      </c>
      <c r="F163" s="3301">
        <v>110.95</v>
      </c>
      <c r="G163" s="3301" t="s">
        <v>3738</v>
      </c>
      <c r="H163" s="3301" t="s">
        <v>3738</v>
      </c>
      <c r="I163" s="3301"/>
      <c r="J163" s="3301"/>
      <c r="K163" s="3301"/>
    </row>
    <row r="164" spans="1:11">
      <c r="A164" s="3301">
        <v>162</v>
      </c>
      <c r="B164" s="3301" t="s">
        <v>3737</v>
      </c>
      <c r="C164" s="3301" t="s">
        <v>3395</v>
      </c>
      <c r="D164" s="3301" t="s">
        <v>4700</v>
      </c>
      <c r="E164" s="3301">
        <v>141.16999999999999</v>
      </c>
      <c r="F164" s="3301">
        <v>111.76</v>
      </c>
      <c r="G164" s="3301" t="s">
        <v>3738</v>
      </c>
      <c r="H164" s="3301" t="s">
        <v>3738</v>
      </c>
      <c r="I164" s="3301"/>
      <c r="J164" s="3301"/>
      <c r="K164" s="3301"/>
    </row>
    <row r="165" spans="1:11">
      <c r="A165" s="3301">
        <v>163</v>
      </c>
      <c r="B165" s="3301" t="s">
        <v>3737</v>
      </c>
      <c r="C165" s="3301" t="s">
        <v>3395</v>
      </c>
      <c r="D165" s="3301" t="s">
        <v>4699</v>
      </c>
      <c r="E165" s="3301">
        <v>140.15</v>
      </c>
      <c r="F165" s="3301">
        <v>110.95</v>
      </c>
      <c r="G165" s="3301" t="s">
        <v>3738</v>
      </c>
      <c r="H165" s="3301" t="s">
        <v>3738</v>
      </c>
      <c r="I165" s="3301"/>
      <c r="J165" s="3301"/>
      <c r="K165" s="3301"/>
    </row>
    <row r="166" spans="1:11">
      <c r="A166" s="3301">
        <v>164</v>
      </c>
      <c r="B166" s="3301" t="s">
        <v>3737</v>
      </c>
      <c r="C166" s="3301" t="s">
        <v>3395</v>
      </c>
      <c r="D166" s="3301" t="s">
        <v>3848</v>
      </c>
      <c r="E166" s="3301">
        <v>141.16999999999999</v>
      </c>
      <c r="F166" s="3301">
        <v>111.76</v>
      </c>
      <c r="G166" s="3301" t="s">
        <v>3738</v>
      </c>
      <c r="H166" s="3301" t="s">
        <v>3738</v>
      </c>
      <c r="I166" s="3301" t="s">
        <v>3738</v>
      </c>
      <c r="J166" s="3301" t="s">
        <v>3738</v>
      </c>
      <c r="K166" s="3301" t="str">
        <f>VLOOKUP(D166,[4]已网签!$C$3:$I$138,7,0)</f>
        <v>Y2705990</v>
      </c>
    </row>
    <row r="167" spans="1:11">
      <c r="A167" s="3301">
        <v>165</v>
      </c>
      <c r="B167" s="3301" t="s">
        <v>3737</v>
      </c>
      <c r="C167" s="3301" t="s">
        <v>3395</v>
      </c>
      <c r="D167" s="3301" t="s">
        <v>3849</v>
      </c>
      <c r="E167" s="3301">
        <v>140.15</v>
      </c>
      <c r="F167" s="3301">
        <v>110.95</v>
      </c>
      <c r="G167" s="3301" t="s">
        <v>3738</v>
      </c>
      <c r="H167" s="3301" t="s">
        <v>3738</v>
      </c>
      <c r="I167" s="3301" t="s">
        <v>3738</v>
      </c>
      <c r="J167" s="3301" t="s">
        <v>3738</v>
      </c>
      <c r="K167" s="3301" t="str">
        <f>VLOOKUP(D167,[4]已网签!$C$3:$I$138,7,0)</f>
        <v>Y2718928</v>
      </c>
    </row>
    <row r="168" spans="1:11">
      <c r="A168" s="3301">
        <v>166</v>
      </c>
      <c r="B168" s="3301" t="s">
        <v>3737</v>
      </c>
      <c r="C168" s="3301" t="s">
        <v>3395</v>
      </c>
      <c r="D168" s="3301" t="s">
        <v>4698</v>
      </c>
      <c r="E168" s="3301">
        <v>141.16999999999999</v>
      </c>
      <c r="F168" s="3301">
        <v>111.76</v>
      </c>
      <c r="G168" s="3301" t="s">
        <v>3738</v>
      </c>
      <c r="H168" s="3301" t="s">
        <v>3738</v>
      </c>
      <c r="I168" s="3301" t="s">
        <v>3738</v>
      </c>
      <c r="J168" s="3301" t="s">
        <v>3983</v>
      </c>
      <c r="K168" s="3301"/>
    </row>
    <row r="169" spans="1:11">
      <c r="A169" s="3301">
        <v>167</v>
      </c>
      <c r="B169" s="3301" t="s">
        <v>3737</v>
      </c>
      <c r="C169" s="3301" t="s">
        <v>3395</v>
      </c>
      <c r="D169" s="3301" t="s">
        <v>4697</v>
      </c>
      <c r="E169" s="3301">
        <v>140.15</v>
      </c>
      <c r="F169" s="3301">
        <v>110.95</v>
      </c>
      <c r="G169" s="3301" t="s">
        <v>3738</v>
      </c>
      <c r="H169" s="3301" t="s">
        <v>3738</v>
      </c>
      <c r="I169" s="3301"/>
      <c r="J169" s="3301"/>
      <c r="K169" s="3301"/>
    </row>
    <row r="170" spans="1:11">
      <c r="A170" s="3301">
        <v>168</v>
      </c>
      <c r="B170" s="3301" t="s">
        <v>3737</v>
      </c>
      <c r="C170" s="3301" t="s">
        <v>3395</v>
      </c>
      <c r="D170" s="3301" t="s">
        <v>3851</v>
      </c>
      <c r="E170" s="3301">
        <v>141.16999999999999</v>
      </c>
      <c r="F170" s="3301">
        <v>111.76</v>
      </c>
      <c r="G170" s="3301" t="s">
        <v>3738</v>
      </c>
      <c r="H170" s="3301" t="s">
        <v>3738</v>
      </c>
      <c r="I170" s="3301" t="s">
        <v>3738</v>
      </c>
      <c r="J170" s="3301" t="s">
        <v>3738</v>
      </c>
      <c r="K170" s="3301" t="str">
        <f>VLOOKUP(D170,[4]已网签!$C$3:$I$138,7,0)</f>
        <v>Y2724051</v>
      </c>
    </row>
    <row r="171" spans="1:11">
      <c r="A171" s="3301">
        <v>169</v>
      </c>
      <c r="B171" s="3301" t="s">
        <v>3737</v>
      </c>
      <c r="C171" s="3301" t="s">
        <v>3395</v>
      </c>
      <c r="D171" s="3301" t="s">
        <v>4696</v>
      </c>
      <c r="E171" s="3301">
        <v>140.15</v>
      </c>
      <c r="F171" s="3301">
        <v>110.95</v>
      </c>
      <c r="G171" s="3301" t="s">
        <v>3738</v>
      </c>
      <c r="H171" s="3301" t="s">
        <v>3738</v>
      </c>
      <c r="I171" s="3301"/>
      <c r="J171" s="3301"/>
      <c r="K171" s="3301"/>
    </row>
    <row r="172" spans="1:11">
      <c r="A172" s="3301">
        <v>170</v>
      </c>
      <c r="B172" s="3301" t="s">
        <v>3737</v>
      </c>
      <c r="C172" s="3301" t="s">
        <v>3395</v>
      </c>
      <c r="D172" s="3301" t="s">
        <v>4695</v>
      </c>
      <c r="E172" s="3301">
        <v>141.16999999999999</v>
      </c>
      <c r="F172" s="3301">
        <v>111.76</v>
      </c>
      <c r="G172" s="3301" t="s">
        <v>3738</v>
      </c>
      <c r="H172" s="3301" t="s">
        <v>3738</v>
      </c>
      <c r="I172" s="3301"/>
      <c r="J172" s="3301"/>
      <c r="K172" s="3301"/>
    </row>
    <row r="173" spans="1:11">
      <c r="A173" s="3301">
        <v>171</v>
      </c>
      <c r="B173" s="3301" t="s">
        <v>3737</v>
      </c>
      <c r="C173" s="3301" t="s">
        <v>3395</v>
      </c>
      <c r="D173" s="3301" t="s">
        <v>4694</v>
      </c>
      <c r="E173" s="3301">
        <v>140.15</v>
      </c>
      <c r="F173" s="3301">
        <v>110.95</v>
      </c>
      <c r="G173" s="3301" t="s">
        <v>3738</v>
      </c>
      <c r="H173" s="3301" t="s">
        <v>3738</v>
      </c>
      <c r="I173" s="3301" t="s">
        <v>3738</v>
      </c>
      <c r="J173" s="3301" t="s">
        <v>3983</v>
      </c>
      <c r="K173" s="3301"/>
    </row>
    <row r="174" spans="1:11">
      <c r="A174" s="3301">
        <v>172</v>
      </c>
      <c r="B174" s="3301" t="s">
        <v>3737</v>
      </c>
      <c r="C174" s="3301" t="s">
        <v>3395</v>
      </c>
      <c r="D174" s="3301" t="s">
        <v>4693</v>
      </c>
      <c r="E174" s="3301">
        <v>115.15</v>
      </c>
      <c r="F174" s="3301">
        <v>93.55</v>
      </c>
      <c r="G174" s="3301" t="s">
        <v>3738</v>
      </c>
      <c r="H174" s="3301" t="s">
        <v>3738</v>
      </c>
      <c r="I174" s="3301"/>
      <c r="J174" s="3301"/>
      <c r="K174" s="3301"/>
    </row>
    <row r="175" spans="1:11">
      <c r="A175" s="3301">
        <v>173</v>
      </c>
      <c r="B175" s="3301" t="s">
        <v>3737</v>
      </c>
      <c r="C175" s="3301" t="s">
        <v>3395</v>
      </c>
      <c r="D175" s="3301" t="s">
        <v>4692</v>
      </c>
      <c r="E175" s="3301">
        <v>131.75</v>
      </c>
      <c r="F175" s="3301">
        <v>107.04</v>
      </c>
      <c r="G175" s="3301" t="s">
        <v>3738</v>
      </c>
      <c r="H175" s="3301" t="s">
        <v>3738</v>
      </c>
      <c r="I175" s="3301"/>
      <c r="J175" s="3301"/>
      <c r="K175" s="3301"/>
    </row>
    <row r="176" spans="1:11">
      <c r="A176" s="3301">
        <v>174</v>
      </c>
      <c r="B176" s="3301" t="s">
        <v>3737</v>
      </c>
      <c r="C176" s="3301" t="s">
        <v>3395</v>
      </c>
      <c r="D176" s="3301" t="s">
        <v>4691</v>
      </c>
      <c r="E176" s="3301">
        <v>115.15</v>
      </c>
      <c r="F176" s="3301">
        <v>93.55</v>
      </c>
      <c r="G176" s="3301" t="s">
        <v>3738</v>
      </c>
      <c r="H176" s="3301" t="s">
        <v>3738</v>
      </c>
      <c r="I176" s="3301"/>
      <c r="J176" s="3301"/>
      <c r="K176" s="3301"/>
    </row>
    <row r="177" spans="1:11">
      <c r="A177" s="3301">
        <v>175</v>
      </c>
      <c r="B177" s="3301" t="s">
        <v>3737</v>
      </c>
      <c r="C177" s="3301" t="s">
        <v>3395</v>
      </c>
      <c r="D177" s="3301" t="s">
        <v>4690</v>
      </c>
      <c r="E177" s="3301">
        <v>131.75</v>
      </c>
      <c r="F177" s="3301">
        <v>107.04</v>
      </c>
      <c r="G177" s="3301" t="s">
        <v>3738</v>
      </c>
      <c r="H177" s="3301" t="s">
        <v>3738</v>
      </c>
      <c r="I177" s="3301"/>
      <c r="J177" s="3301"/>
      <c r="K177" s="3301"/>
    </row>
    <row r="178" spans="1:11">
      <c r="A178" s="3301">
        <v>176</v>
      </c>
      <c r="B178" s="3301" t="s">
        <v>3737</v>
      </c>
      <c r="C178" s="3301" t="s">
        <v>3395</v>
      </c>
      <c r="D178" s="3301" t="s">
        <v>4689</v>
      </c>
      <c r="E178" s="3301">
        <v>115.15</v>
      </c>
      <c r="F178" s="3301">
        <v>93.55</v>
      </c>
      <c r="G178" s="3301" t="s">
        <v>3738</v>
      </c>
      <c r="H178" s="3301" t="s">
        <v>3738</v>
      </c>
      <c r="I178" s="3301"/>
      <c r="J178" s="3301"/>
      <c r="K178" s="3301"/>
    </row>
    <row r="179" spans="1:11">
      <c r="A179" s="3301">
        <v>177</v>
      </c>
      <c r="B179" s="3301" t="s">
        <v>3737</v>
      </c>
      <c r="C179" s="3301" t="s">
        <v>3395</v>
      </c>
      <c r="D179" s="3301" t="s">
        <v>4688</v>
      </c>
      <c r="E179" s="3301">
        <v>131.75</v>
      </c>
      <c r="F179" s="3301">
        <v>107.04</v>
      </c>
      <c r="G179" s="3301" t="s">
        <v>3738</v>
      </c>
      <c r="H179" s="3301" t="s">
        <v>3738</v>
      </c>
      <c r="I179" s="3301"/>
      <c r="J179" s="3301"/>
      <c r="K179" s="3301"/>
    </row>
    <row r="180" spans="1:11">
      <c r="A180" s="3301">
        <v>178</v>
      </c>
      <c r="B180" s="3301" t="s">
        <v>3737</v>
      </c>
      <c r="C180" s="3301" t="s">
        <v>3395</v>
      </c>
      <c r="D180" s="3301" t="s">
        <v>4687</v>
      </c>
      <c r="E180" s="3301">
        <v>115.15</v>
      </c>
      <c r="F180" s="3301">
        <v>93.55</v>
      </c>
      <c r="G180" s="3301" t="s">
        <v>3738</v>
      </c>
      <c r="H180" s="3301" t="s">
        <v>3738</v>
      </c>
      <c r="I180" s="3301"/>
      <c r="J180" s="3301"/>
      <c r="K180" s="3301"/>
    </row>
    <row r="181" spans="1:11">
      <c r="A181" s="3301">
        <v>179</v>
      </c>
      <c r="B181" s="3301" t="s">
        <v>3737</v>
      </c>
      <c r="C181" s="3301" t="s">
        <v>3395</v>
      </c>
      <c r="D181" s="3301" t="s">
        <v>4686</v>
      </c>
      <c r="E181" s="3301">
        <v>131.75</v>
      </c>
      <c r="F181" s="3301">
        <v>107.04</v>
      </c>
      <c r="G181" s="3301" t="s">
        <v>3738</v>
      </c>
      <c r="H181" s="3301" t="s">
        <v>3738</v>
      </c>
      <c r="I181" s="3301"/>
      <c r="J181" s="3301"/>
      <c r="K181" s="3301"/>
    </row>
    <row r="182" spans="1:11">
      <c r="A182" s="3301">
        <v>180</v>
      </c>
      <c r="B182" s="3301" t="s">
        <v>3737</v>
      </c>
      <c r="C182" s="3301" t="s">
        <v>3395</v>
      </c>
      <c r="D182" s="3301" t="s">
        <v>4685</v>
      </c>
      <c r="E182" s="3301">
        <v>115.15</v>
      </c>
      <c r="F182" s="3301">
        <v>93.55</v>
      </c>
      <c r="G182" s="3301" t="s">
        <v>3738</v>
      </c>
      <c r="H182" s="3301" t="s">
        <v>3738</v>
      </c>
      <c r="I182" s="3301"/>
      <c r="J182" s="3301"/>
      <c r="K182" s="3301"/>
    </row>
    <row r="183" spans="1:11">
      <c r="A183" s="3301">
        <v>181</v>
      </c>
      <c r="B183" s="3301" t="s">
        <v>3737</v>
      </c>
      <c r="C183" s="3301" t="s">
        <v>3395</v>
      </c>
      <c r="D183" s="3301" t="s">
        <v>3857</v>
      </c>
      <c r="E183" s="3301">
        <v>131.75</v>
      </c>
      <c r="F183" s="3301">
        <v>107.04</v>
      </c>
      <c r="G183" s="3301" t="s">
        <v>3738</v>
      </c>
      <c r="H183" s="3301" t="s">
        <v>3738</v>
      </c>
      <c r="I183" s="3301" t="s">
        <v>3738</v>
      </c>
      <c r="J183" s="3301" t="s">
        <v>3738</v>
      </c>
      <c r="K183" s="3301" t="str">
        <f>VLOOKUP(D183,[4]已网签!$C$3:$I$138,7,0)</f>
        <v>Y2713480</v>
      </c>
    </row>
    <row r="184" spans="1:11">
      <c r="A184" s="3301">
        <v>182</v>
      </c>
      <c r="B184" s="3301" t="s">
        <v>3737</v>
      </c>
      <c r="C184" s="3301" t="s">
        <v>3395</v>
      </c>
      <c r="D184" s="3301" t="s">
        <v>4684</v>
      </c>
      <c r="E184" s="3301">
        <v>115.15</v>
      </c>
      <c r="F184" s="3301">
        <v>93.55</v>
      </c>
      <c r="G184" s="3301" t="s">
        <v>3738</v>
      </c>
      <c r="H184" s="3301" t="s">
        <v>3738</v>
      </c>
      <c r="I184" s="3301"/>
      <c r="J184" s="3301"/>
      <c r="K184" s="3301"/>
    </row>
    <row r="185" spans="1:11">
      <c r="A185" s="3301">
        <v>183</v>
      </c>
      <c r="B185" s="3301" t="s">
        <v>3737</v>
      </c>
      <c r="C185" s="3301" t="s">
        <v>3395</v>
      </c>
      <c r="D185" s="3301" t="s">
        <v>3853</v>
      </c>
      <c r="E185" s="3301">
        <v>131.75</v>
      </c>
      <c r="F185" s="3301">
        <v>107.04</v>
      </c>
      <c r="G185" s="3301" t="s">
        <v>3738</v>
      </c>
      <c r="H185" s="3301" t="s">
        <v>3738</v>
      </c>
      <c r="I185" s="3301" t="s">
        <v>3738</v>
      </c>
      <c r="J185" s="3301" t="s">
        <v>3738</v>
      </c>
      <c r="K185" s="3301" t="str">
        <f>VLOOKUP(D185,[4]已网签!$C$3:$I$138,7,0)</f>
        <v>Y2710189</v>
      </c>
    </row>
    <row r="186" spans="1:11">
      <c r="A186" s="3301">
        <v>184</v>
      </c>
      <c r="B186" s="3301" t="s">
        <v>3737</v>
      </c>
      <c r="C186" s="3301" t="s">
        <v>3395</v>
      </c>
      <c r="D186" s="3301" t="s">
        <v>4683</v>
      </c>
      <c r="E186" s="3301">
        <v>115.15</v>
      </c>
      <c r="F186" s="3301">
        <v>93.55</v>
      </c>
      <c r="G186" s="3301" t="s">
        <v>3738</v>
      </c>
      <c r="H186" s="3301" t="s">
        <v>3738</v>
      </c>
      <c r="I186" s="3301"/>
      <c r="J186" s="3301"/>
      <c r="K186" s="3301"/>
    </row>
    <row r="187" spans="1:11">
      <c r="A187" s="3301">
        <v>185</v>
      </c>
      <c r="B187" s="3301" t="s">
        <v>3737</v>
      </c>
      <c r="C187" s="3301" t="s">
        <v>3395</v>
      </c>
      <c r="D187" s="3301" t="s">
        <v>3855</v>
      </c>
      <c r="E187" s="3301">
        <v>131.75</v>
      </c>
      <c r="F187" s="3301">
        <v>107.04</v>
      </c>
      <c r="G187" s="3301" t="s">
        <v>3738</v>
      </c>
      <c r="H187" s="3301" t="s">
        <v>3738</v>
      </c>
      <c r="I187" s="3301" t="s">
        <v>3738</v>
      </c>
      <c r="J187" s="3301" t="s">
        <v>3738</v>
      </c>
      <c r="K187" s="3301" t="str">
        <f>VLOOKUP(D187,[4]已网签!$C$3:$I$138,7,0)</f>
        <v>Y2710184</v>
      </c>
    </row>
    <row r="188" spans="1:11">
      <c r="A188" s="3301">
        <v>186</v>
      </c>
      <c r="B188" s="3301" t="s">
        <v>3737</v>
      </c>
      <c r="C188" s="3301" t="s">
        <v>3395</v>
      </c>
      <c r="D188" s="3301" t="s">
        <v>4682</v>
      </c>
      <c r="E188" s="3301">
        <v>115.15</v>
      </c>
      <c r="F188" s="3301">
        <v>93.55</v>
      </c>
      <c r="G188" s="3301" t="s">
        <v>3738</v>
      </c>
      <c r="H188" s="3301" t="s">
        <v>3738</v>
      </c>
      <c r="I188" s="3301"/>
      <c r="J188" s="3301"/>
      <c r="K188" s="3301"/>
    </row>
    <row r="189" spans="1:11">
      <c r="A189" s="3301">
        <v>187</v>
      </c>
      <c r="B189" s="3301" t="s">
        <v>3737</v>
      </c>
      <c r="C189" s="3301" t="s">
        <v>3395</v>
      </c>
      <c r="D189" s="3301" t="s">
        <v>3859</v>
      </c>
      <c r="E189" s="3301">
        <v>131.75</v>
      </c>
      <c r="F189" s="3301">
        <v>107.04</v>
      </c>
      <c r="G189" s="3301" t="s">
        <v>3738</v>
      </c>
      <c r="H189" s="3301" t="s">
        <v>3738</v>
      </c>
      <c r="I189" s="3301" t="s">
        <v>3738</v>
      </c>
      <c r="J189" s="3301" t="s">
        <v>3738</v>
      </c>
      <c r="K189" s="3301" t="str">
        <f>VLOOKUP(D189,[4]已网签!$C$3:$I$138,7,0)</f>
        <v>Y2718256</v>
      </c>
    </row>
    <row r="190" spans="1:11">
      <c r="A190" s="3301">
        <v>188</v>
      </c>
      <c r="B190" s="3301" t="s">
        <v>3737</v>
      </c>
      <c r="C190" s="3301" t="s">
        <v>3395</v>
      </c>
      <c r="D190" s="3301" t="s">
        <v>4681</v>
      </c>
      <c r="E190" s="3301">
        <v>134.37</v>
      </c>
      <c r="F190" s="3301">
        <v>109.98</v>
      </c>
      <c r="G190" s="3301" t="s">
        <v>3738</v>
      </c>
      <c r="H190" s="3301" t="s">
        <v>3738</v>
      </c>
      <c r="I190" s="3301"/>
      <c r="J190" s="3301"/>
      <c r="K190" s="3301"/>
    </row>
    <row r="191" spans="1:11">
      <c r="A191" s="3301">
        <v>189</v>
      </c>
      <c r="B191" s="3301" t="s">
        <v>3737</v>
      </c>
      <c r="C191" s="3301" t="s">
        <v>3395</v>
      </c>
      <c r="D191" s="3301" t="s">
        <v>4680</v>
      </c>
      <c r="E191" s="3301">
        <v>134.37</v>
      </c>
      <c r="F191" s="3301">
        <v>109.98</v>
      </c>
      <c r="G191" s="3301" t="s">
        <v>3738</v>
      </c>
      <c r="H191" s="3301" t="s">
        <v>3738</v>
      </c>
      <c r="I191" s="3301"/>
      <c r="J191" s="3301"/>
      <c r="K191" s="3301"/>
    </row>
    <row r="192" spans="1:11">
      <c r="A192" s="3301">
        <v>190</v>
      </c>
      <c r="B192" s="3301" t="s">
        <v>3737</v>
      </c>
      <c r="C192" s="3301" t="s">
        <v>3395</v>
      </c>
      <c r="D192" s="3301" t="s">
        <v>4679</v>
      </c>
      <c r="E192" s="3301">
        <v>109.95</v>
      </c>
      <c r="F192" s="3301">
        <v>89.99</v>
      </c>
      <c r="G192" s="3301" t="s">
        <v>3738</v>
      </c>
      <c r="H192" s="3301" t="s">
        <v>3738</v>
      </c>
      <c r="I192" s="3301"/>
      <c r="J192" s="3301"/>
      <c r="K192" s="3301"/>
    </row>
    <row r="193" spans="1:11">
      <c r="A193" s="3301">
        <v>191</v>
      </c>
      <c r="B193" s="3301" t="s">
        <v>3737</v>
      </c>
      <c r="C193" s="3301" t="s">
        <v>3395</v>
      </c>
      <c r="D193" s="3301" t="s">
        <v>4678</v>
      </c>
      <c r="E193" s="3301">
        <v>134.37</v>
      </c>
      <c r="F193" s="3301">
        <v>109.98</v>
      </c>
      <c r="G193" s="3301" t="s">
        <v>3738</v>
      </c>
      <c r="H193" s="3301" t="s">
        <v>3738</v>
      </c>
      <c r="I193" s="3301"/>
      <c r="J193" s="3301"/>
      <c r="K193" s="3301"/>
    </row>
    <row r="194" spans="1:11">
      <c r="A194" s="3301">
        <v>192</v>
      </c>
      <c r="B194" s="3301" t="s">
        <v>3737</v>
      </c>
      <c r="C194" s="3301" t="s">
        <v>3395</v>
      </c>
      <c r="D194" s="3301" t="s">
        <v>3881</v>
      </c>
      <c r="E194" s="3301">
        <v>109.97</v>
      </c>
      <c r="F194" s="3301">
        <v>90.01</v>
      </c>
      <c r="G194" s="3301" t="s">
        <v>3738</v>
      </c>
      <c r="H194" s="3301" t="s">
        <v>3738</v>
      </c>
      <c r="I194" s="3301" t="s">
        <v>3738</v>
      </c>
      <c r="J194" s="3301" t="s">
        <v>3738</v>
      </c>
      <c r="K194" s="3301" t="str">
        <f>VLOOKUP(D194,[4]已网签!$C$3:$I$138,7,0)</f>
        <v>Y2713001</v>
      </c>
    </row>
    <row r="195" spans="1:11">
      <c r="A195" s="3301">
        <v>193</v>
      </c>
      <c r="B195" s="3301" t="s">
        <v>3737</v>
      </c>
      <c r="C195" s="3301" t="s">
        <v>3395</v>
      </c>
      <c r="D195" s="3301" t="s">
        <v>4677</v>
      </c>
      <c r="E195" s="3301">
        <v>134.37</v>
      </c>
      <c r="F195" s="3301">
        <v>109.98</v>
      </c>
      <c r="G195" s="3301" t="s">
        <v>3738</v>
      </c>
      <c r="H195" s="3301" t="s">
        <v>3738</v>
      </c>
      <c r="I195" s="3301"/>
      <c r="J195" s="3301"/>
      <c r="K195" s="3301"/>
    </row>
    <row r="196" spans="1:11">
      <c r="A196" s="3301">
        <v>194</v>
      </c>
      <c r="B196" s="3301" t="s">
        <v>3737</v>
      </c>
      <c r="C196" s="3301" t="s">
        <v>3395</v>
      </c>
      <c r="D196" s="3301" t="s">
        <v>3865</v>
      </c>
      <c r="E196" s="3301">
        <v>109.97</v>
      </c>
      <c r="F196" s="3301">
        <v>90.01</v>
      </c>
      <c r="G196" s="3301" t="s">
        <v>3738</v>
      </c>
      <c r="H196" s="3301" t="s">
        <v>3738</v>
      </c>
      <c r="I196" s="3301" t="s">
        <v>3738</v>
      </c>
      <c r="J196" s="3301" t="s">
        <v>3738</v>
      </c>
      <c r="K196" s="3301" t="str">
        <f>VLOOKUP(D196,[4]已网签!$C$3:$I$138,7,0)</f>
        <v>Y2691881</v>
      </c>
    </row>
    <row r="197" spans="1:11">
      <c r="A197" s="3301">
        <v>195</v>
      </c>
      <c r="B197" s="3301" t="s">
        <v>3737</v>
      </c>
      <c r="C197" s="3301" t="s">
        <v>3395</v>
      </c>
      <c r="D197" s="3301" t="s">
        <v>4676</v>
      </c>
      <c r="E197" s="3301">
        <v>134.37</v>
      </c>
      <c r="F197" s="3301">
        <v>109.98</v>
      </c>
      <c r="G197" s="3301" t="s">
        <v>3738</v>
      </c>
      <c r="H197" s="3301" t="s">
        <v>3738</v>
      </c>
      <c r="I197" s="3301"/>
      <c r="J197" s="3301"/>
      <c r="K197" s="3301"/>
    </row>
    <row r="198" spans="1:11">
      <c r="A198" s="3301">
        <v>196</v>
      </c>
      <c r="B198" s="3301" t="s">
        <v>3737</v>
      </c>
      <c r="C198" s="3301" t="s">
        <v>3395</v>
      </c>
      <c r="D198" s="3301" t="s">
        <v>3883</v>
      </c>
      <c r="E198" s="3301">
        <v>109.97</v>
      </c>
      <c r="F198" s="3301">
        <v>90.01</v>
      </c>
      <c r="G198" s="3301" t="s">
        <v>3738</v>
      </c>
      <c r="H198" s="3301" t="s">
        <v>3738</v>
      </c>
      <c r="I198" s="3301" t="s">
        <v>3738</v>
      </c>
      <c r="J198" s="3301" t="s">
        <v>3738</v>
      </c>
      <c r="K198" s="3301" t="str">
        <f>VLOOKUP(D198,[4]已网签!$C$3:$I$138,7,0)</f>
        <v>Y2717259</v>
      </c>
    </row>
    <row r="199" spans="1:11">
      <c r="A199" s="3301">
        <v>197</v>
      </c>
      <c r="B199" s="3301" t="s">
        <v>3737</v>
      </c>
      <c r="C199" s="3301" t="s">
        <v>3395</v>
      </c>
      <c r="D199" s="3301" t="s">
        <v>3889</v>
      </c>
      <c r="E199" s="3301">
        <v>134.37</v>
      </c>
      <c r="F199" s="3301">
        <v>109.98</v>
      </c>
      <c r="G199" s="3301" t="s">
        <v>3738</v>
      </c>
      <c r="H199" s="3301" t="s">
        <v>3738</v>
      </c>
      <c r="I199" s="3301" t="s">
        <v>3738</v>
      </c>
      <c r="J199" s="3301" t="s">
        <v>3738</v>
      </c>
      <c r="K199" s="3301" t="str">
        <f>VLOOKUP(D199,[4]已网签!$C$3:$I$138,7,0)</f>
        <v>Y2729418</v>
      </c>
    </row>
    <row r="200" spans="1:11">
      <c r="A200" s="3301">
        <v>198</v>
      </c>
      <c r="B200" s="3301" t="s">
        <v>3737</v>
      </c>
      <c r="C200" s="3301" t="s">
        <v>3395</v>
      </c>
      <c r="D200" s="3301" t="s">
        <v>4675</v>
      </c>
      <c r="E200" s="3301">
        <v>109.97</v>
      </c>
      <c r="F200" s="3301">
        <v>90.01</v>
      </c>
      <c r="G200" s="3301" t="s">
        <v>3738</v>
      </c>
      <c r="H200" s="3301" t="s">
        <v>3738</v>
      </c>
      <c r="I200" s="3301" t="s">
        <v>3738</v>
      </c>
      <c r="J200" s="3301" t="s">
        <v>3983</v>
      </c>
      <c r="K200" s="3301"/>
    </row>
    <row r="201" spans="1:11">
      <c r="A201" s="3301">
        <v>199</v>
      </c>
      <c r="B201" s="3301" t="s">
        <v>3737</v>
      </c>
      <c r="C201" s="3301" t="s">
        <v>3395</v>
      </c>
      <c r="D201" s="3301" t="s">
        <v>4674</v>
      </c>
      <c r="E201" s="3301">
        <v>134.37</v>
      </c>
      <c r="F201" s="3301">
        <v>109.98</v>
      </c>
      <c r="G201" s="3301" t="s">
        <v>3738</v>
      </c>
      <c r="H201" s="3301" t="s">
        <v>3738</v>
      </c>
      <c r="I201" s="3301"/>
      <c r="J201" s="3301"/>
      <c r="K201" s="3301"/>
    </row>
    <row r="202" spans="1:11">
      <c r="A202" s="3301">
        <v>200</v>
      </c>
      <c r="B202" s="3301" t="s">
        <v>3737</v>
      </c>
      <c r="C202" s="3301" t="s">
        <v>3395</v>
      </c>
      <c r="D202" s="3301" t="s">
        <v>3869</v>
      </c>
      <c r="E202" s="3301">
        <v>109.97</v>
      </c>
      <c r="F202" s="3301">
        <v>90.01</v>
      </c>
      <c r="G202" s="3301" t="s">
        <v>3738</v>
      </c>
      <c r="H202" s="3301" t="s">
        <v>3738</v>
      </c>
      <c r="I202" s="3301" t="s">
        <v>3738</v>
      </c>
      <c r="J202" s="3301" t="s">
        <v>3738</v>
      </c>
      <c r="K202" s="3301" t="str">
        <f>VLOOKUP(D202,[4]已网签!$C$3:$I$138,7,0)</f>
        <v>Y2690735</v>
      </c>
    </row>
    <row r="203" spans="1:11">
      <c r="A203" s="3301">
        <v>201</v>
      </c>
      <c r="B203" s="3301" t="s">
        <v>3737</v>
      </c>
      <c r="C203" s="3301" t="s">
        <v>3395</v>
      </c>
      <c r="D203" s="3301" t="s">
        <v>4673</v>
      </c>
      <c r="E203" s="3301">
        <v>134.37</v>
      </c>
      <c r="F203" s="3301">
        <v>109.98</v>
      </c>
      <c r="G203" s="3301" t="s">
        <v>3738</v>
      </c>
      <c r="H203" s="3301" t="s">
        <v>3738</v>
      </c>
      <c r="I203" s="3301"/>
      <c r="J203" s="3301"/>
      <c r="K203" s="3301"/>
    </row>
    <row r="204" spans="1:11">
      <c r="A204" s="3301">
        <v>202</v>
      </c>
      <c r="B204" s="3301" t="s">
        <v>3737</v>
      </c>
      <c r="C204" s="3301" t="s">
        <v>3395</v>
      </c>
      <c r="D204" s="3301" t="s">
        <v>4672</v>
      </c>
      <c r="E204" s="3301">
        <v>109.97</v>
      </c>
      <c r="F204" s="3301">
        <v>90.01</v>
      </c>
      <c r="G204" s="3301" t="s">
        <v>3738</v>
      </c>
      <c r="H204" s="3301" t="s">
        <v>3738</v>
      </c>
      <c r="I204" s="3301"/>
      <c r="J204" s="3301"/>
      <c r="K204" s="3301"/>
    </row>
    <row r="205" spans="1:11">
      <c r="A205" s="3301">
        <v>203</v>
      </c>
      <c r="B205" s="3301" t="s">
        <v>3737</v>
      </c>
      <c r="C205" s="3301" t="s">
        <v>3395</v>
      </c>
      <c r="D205" s="3301" t="s">
        <v>4671</v>
      </c>
      <c r="E205" s="3301">
        <v>114.3</v>
      </c>
      <c r="F205" s="3301">
        <v>93.55</v>
      </c>
      <c r="G205" s="3301" t="s">
        <v>3738</v>
      </c>
      <c r="H205" s="3301" t="s">
        <v>3738</v>
      </c>
      <c r="I205" s="3301"/>
      <c r="J205" s="3301"/>
      <c r="K205" s="3301"/>
    </row>
    <row r="206" spans="1:11">
      <c r="A206" s="3301">
        <v>204</v>
      </c>
      <c r="B206" s="3301" t="s">
        <v>3737</v>
      </c>
      <c r="C206" s="3301" t="s">
        <v>3395</v>
      </c>
      <c r="D206" s="3301" t="s">
        <v>3875</v>
      </c>
      <c r="E206" s="3301">
        <v>110.17</v>
      </c>
      <c r="F206" s="3301">
        <v>90.17</v>
      </c>
      <c r="G206" s="3301" t="s">
        <v>3738</v>
      </c>
      <c r="H206" s="3301" t="s">
        <v>3738</v>
      </c>
      <c r="I206" s="3301" t="s">
        <v>3738</v>
      </c>
      <c r="J206" s="3301" t="s">
        <v>3738</v>
      </c>
      <c r="K206" s="3301" t="str">
        <f>VLOOKUP(D206,[4]已网签!$C$3:$I$138,7,0)</f>
        <v>Y2707597</v>
      </c>
    </row>
    <row r="207" spans="1:11">
      <c r="A207" s="3301">
        <v>205</v>
      </c>
      <c r="B207" s="3301" t="s">
        <v>3737</v>
      </c>
      <c r="C207" s="3301" t="s">
        <v>3395</v>
      </c>
      <c r="D207" s="3301" t="s">
        <v>4670</v>
      </c>
      <c r="E207" s="3301">
        <v>114.3</v>
      </c>
      <c r="F207" s="3301">
        <v>93.55</v>
      </c>
      <c r="G207" s="3301" t="s">
        <v>3738</v>
      </c>
      <c r="H207" s="3301" t="s">
        <v>3738</v>
      </c>
      <c r="I207" s="3301"/>
      <c r="J207" s="3301"/>
      <c r="K207" s="3301"/>
    </row>
    <row r="208" spans="1:11">
      <c r="A208" s="3301">
        <v>206</v>
      </c>
      <c r="B208" s="3301" t="s">
        <v>3737</v>
      </c>
      <c r="C208" s="3301" t="s">
        <v>3395</v>
      </c>
      <c r="D208" s="3301" t="s">
        <v>3873</v>
      </c>
      <c r="E208" s="3301">
        <v>110.17</v>
      </c>
      <c r="F208" s="3301">
        <v>90.17</v>
      </c>
      <c r="G208" s="3301" t="s">
        <v>3738</v>
      </c>
      <c r="H208" s="3301" t="s">
        <v>3738</v>
      </c>
      <c r="I208" s="3301" t="s">
        <v>3738</v>
      </c>
      <c r="J208" s="3301" t="s">
        <v>3738</v>
      </c>
      <c r="K208" s="3301" t="str">
        <f>VLOOKUP(D208,[4]已网签!$C$3:$I$138,7,0)</f>
        <v>Y2698999</v>
      </c>
    </row>
    <row r="209" spans="1:11">
      <c r="A209" s="3301">
        <v>207</v>
      </c>
      <c r="B209" s="3301" t="s">
        <v>3737</v>
      </c>
      <c r="C209" s="3301" t="s">
        <v>3395</v>
      </c>
      <c r="D209" s="3301" t="s">
        <v>3877</v>
      </c>
      <c r="E209" s="3301">
        <v>114.3</v>
      </c>
      <c r="F209" s="3301">
        <v>93.55</v>
      </c>
      <c r="G209" s="3301" t="s">
        <v>3738</v>
      </c>
      <c r="H209" s="3301" t="s">
        <v>3738</v>
      </c>
      <c r="I209" s="3301" t="s">
        <v>3738</v>
      </c>
      <c r="J209" s="3301" t="s">
        <v>3738</v>
      </c>
      <c r="K209" s="3301" t="str">
        <f>VLOOKUP(D209,[4]已网签!$C$3:$I$138,7,0)</f>
        <v>Y2713011</v>
      </c>
    </row>
    <row r="210" spans="1:11">
      <c r="A210" s="3301">
        <v>208</v>
      </c>
      <c r="B210" s="3301" t="s">
        <v>3737</v>
      </c>
      <c r="C210" s="3301" t="s">
        <v>3395</v>
      </c>
      <c r="D210" s="3301" t="s">
        <v>3871</v>
      </c>
      <c r="E210" s="3301">
        <v>110.17</v>
      </c>
      <c r="F210" s="3301">
        <v>90.17</v>
      </c>
      <c r="G210" s="3301" t="s">
        <v>3738</v>
      </c>
      <c r="H210" s="3301" t="s">
        <v>3738</v>
      </c>
      <c r="I210" s="3301" t="s">
        <v>3738</v>
      </c>
      <c r="J210" s="3301" t="s">
        <v>3738</v>
      </c>
      <c r="K210" s="3301" t="str">
        <f>VLOOKUP(D210,[4]已网签!$C$3:$I$138,7,0)</f>
        <v>Y2698946</v>
      </c>
    </row>
    <row r="211" spans="1:11">
      <c r="A211" s="3301">
        <v>209</v>
      </c>
      <c r="B211" s="3301" t="s">
        <v>3737</v>
      </c>
      <c r="C211" s="3301" t="s">
        <v>3395</v>
      </c>
      <c r="D211" s="3301" t="s">
        <v>4476</v>
      </c>
      <c r="E211" s="3301">
        <v>114.3</v>
      </c>
      <c r="F211" s="3301">
        <v>93.55</v>
      </c>
      <c r="G211" s="3301" t="s">
        <v>3738</v>
      </c>
      <c r="H211" s="3301" t="s">
        <v>3738</v>
      </c>
      <c r="I211" s="3301" t="s">
        <v>3738</v>
      </c>
      <c r="J211" s="3301" t="s">
        <v>3738</v>
      </c>
      <c r="K211" s="3301" t="str">
        <f>VLOOKUP(D211,[4]已网签!$C$3:$I$138,7,0)</f>
        <v>Y2773443</v>
      </c>
    </row>
    <row r="212" spans="1:11">
      <c r="A212" s="3301">
        <v>210</v>
      </c>
      <c r="B212" s="3301" t="s">
        <v>3737</v>
      </c>
      <c r="C212" s="3301" t="s">
        <v>3395</v>
      </c>
      <c r="D212" s="3301" t="s">
        <v>3885</v>
      </c>
      <c r="E212" s="3301">
        <v>110.17</v>
      </c>
      <c r="F212" s="3301">
        <v>90.17</v>
      </c>
      <c r="G212" s="3301" t="s">
        <v>3738</v>
      </c>
      <c r="H212" s="3301" t="s">
        <v>3738</v>
      </c>
      <c r="I212" s="3301" t="s">
        <v>3738</v>
      </c>
      <c r="J212" s="3301" t="s">
        <v>3738</v>
      </c>
      <c r="K212" s="3301" t="str">
        <f>VLOOKUP(D212,[4]已网签!$C$3:$I$138,7,0)</f>
        <v>Y2718012</v>
      </c>
    </row>
    <row r="213" spans="1:11">
      <c r="A213" s="3301">
        <v>211</v>
      </c>
      <c r="B213" s="3301" t="s">
        <v>3737</v>
      </c>
      <c r="C213" s="3301" t="s">
        <v>3395</v>
      </c>
      <c r="D213" s="3301" t="s">
        <v>3861</v>
      </c>
      <c r="E213" s="3301">
        <v>114.3</v>
      </c>
      <c r="F213" s="3301">
        <v>93.55</v>
      </c>
      <c r="G213" s="3301" t="s">
        <v>3738</v>
      </c>
      <c r="H213" s="3301" t="s">
        <v>3738</v>
      </c>
      <c r="I213" s="3301" t="s">
        <v>3738</v>
      </c>
      <c r="J213" s="3301" t="s">
        <v>3738</v>
      </c>
      <c r="K213" s="3301" t="str">
        <f>VLOOKUP(D213,[4]已网签!$C$3:$I$138,7,0)</f>
        <v>Y2690749</v>
      </c>
    </row>
    <row r="214" spans="1:11">
      <c r="A214" s="3301">
        <v>212</v>
      </c>
      <c r="B214" s="3301" t="s">
        <v>3737</v>
      </c>
      <c r="C214" s="3301" t="s">
        <v>3395</v>
      </c>
      <c r="D214" s="3301" t="s">
        <v>3887</v>
      </c>
      <c r="E214" s="3301">
        <v>110.17</v>
      </c>
      <c r="F214" s="3301">
        <v>90.17</v>
      </c>
      <c r="G214" s="3301" t="s">
        <v>3738</v>
      </c>
      <c r="H214" s="3301" t="s">
        <v>3738</v>
      </c>
      <c r="I214" s="3301" t="s">
        <v>3738</v>
      </c>
      <c r="J214" s="3301" t="s">
        <v>3738</v>
      </c>
      <c r="K214" s="3301" t="str">
        <f>VLOOKUP(D214,[4]已网签!$C$3:$I$138,7,0)</f>
        <v>Y2718109</v>
      </c>
    </row>
    <row r="215" spans="1:11">
      <c r="A215" s="3301">
        <v>213</v>
      </c>
      <c r="B215" s="3301" t="s">
        <v>3737</v>
      </c>
      <c r="C215" s="3301" t="s">
        <v>3395</v>
      </c>
      <c r="D215" s="3301" t="s">
        <v>3867</v>
      </c>
      <c r="E215" s="3301">
        <v>114.3</v>
      </c>
      <c r="F215" s="3301">
        <v>93.55</v>
      </c>
      <c r="G215" s="3301" t="s">
        <v>3738</v>
      </c>
      <c r="H215" s="3301" t="s">
        <v>3738</v>
      </c>
      <c r="I215" s="3301" t="s">
        <v>3738</v>
      </c>
      <c r="J215" s="3301" t="s">
        <v>3738</v>
      </c>
      <c r="K215" s="3301" t="str">
        <f>VLOOKUP(D215,[4]已网签!$C$3:$I$138,7,0)</f>
        <v>Y2694325</v>
      </c>
    </row>
    <row r="216" spans="1:11">
      <c r="A216" s="3301">
        <v>214</v>
      </c>
      <c r="B216" s="3301" t="s">
        <v>3737</v>
      </c>
      <c r="C216" s="3301" t="s">
        <v>3395</v>
      </c>
      <c r="D216" s="3301" t="s">
        <v>3891</v>
      </c>
      <c r="E216" s="3301">
        <v>110.17</v>
      </c>
      <c r="F216" s="3301">
        <v>90.17</v>
      </c>
      <c r="G216" s="3301" t="s">
        <v>3738</v>
      </c>
      <c r="H216" s="3301" t="s">
        <v>3738</v>
      </c>
      <c r="I216" s="3301" t="s">
        <v>3738</v>
      </c>
      <c r="J216" s="3301" t="s">
        <v>3738</v>
      </c>
      <c r="K216" s="3301" t="str">
        <f>VLOOKUP(D216,[4]已网签!$C$3:$I$138,7,0)</f>
        <v>Y2741706</v>
      </c>
    </row>
    <row r="217" spans="1:11">
      <c r="A217" s="3301">
        <v>215</v>
      </c>
      <c r="B217" s="3301" t="s">
        <v>3737</v>
      </c>
      <c r="C217" s="3301" t="s">
        <v>3395</v>
      </c>
      <c r="D217" s="3301" t="s">
        <v>3879</v>
      </c>
      <c r="E217" s="3301">
        <v>114.3</v>
      </c>
      <c r="F217" s="3301">
        <v>93.55</v>
      </c>
      <c r="G217" s="3301" t="s">
        <v>3738</v>
      </c>
      <c r="H217" s="3301" t="s">
        <v>3738</v>
      </c>
      <c r="I217" s="3301" t="s">
        <v>3738</v>
      </c>
      <c r="J217" s="3301" t="s">
        <v>3738</v>
      </c>
      <c r="K217" s="3301" t="str">
        <f>VLOOKUP(D217,[4]已网签!$C$3:$I$138,7,0)</f>
        <v>Y2715331</v>
      </c>
    </row>
    <row r="218" spans="1:11">
      <c r="A218" s="3301">
        <v>216</v>
      </c>
      <c r="B218" s="3301" t="s">
        <v>3737</v>
      </c>
      <c r="C218" s="3301" t="s">
        <v>3395</v>
      </c>
      <c r="D218" s="3301" t="s">
        <v>3863</v>
      </c>
      <c r="E218" s="3301">
        <v>110.17</v>
      </c>
      <c r="F218" s="3301">
        <v>90.17</v>
      </c>
      <c r="G218" s="3301" t="s">
        <v>3738</v>
      </c>
      <c r="H218" s="3301" t="s">
        <v>3738</v>
      </c>
      <c r="I218" s="3301" t="s">
        <v>3738</v>
      </c>
      <c r="J218" s="3301" t="s">
        <v>3738</v>
      </c>
      <c r="K218" s="3301" t="str">
        <f>VLOOKUP(D218,[4]已网签!$C$3:$I$138,7,0)</f>
        <v>Y2691775</v>
      </c>
    </row>
    <row r="219" spans="1:11">
      <c r="A219" s="3301">
        <v>217</v>
      </c>
      <c r="B219" s="3301" t="s">
        <v>3737</v>
      </c>
      <c r="C219" s="3301" t="s">
        <v>3395</v>
      </c>
      <c r="D219" s="3301" t="s">
        <v>4669</v>
      </c>
      <c r="E219" s="3301">
        <v>114.3</v>
      </c>
      <c r="F219" s="3301">
        <v>93.55</v>
      </c>
      <c r="G219" s="3301" t="s">
        <v>3738</v>
      </c>
      <c r="H219" s="3301" t="s">
        <v>3738</v>
      </c>
      <c r="I219" s="3301"/>
      <c r="J219" s="3301"/>
      <c r="K219" s="3301"/>
    </row>
    <row r="220" spans="1:11">
      <c r="A220" s="3301">
        <v>218</v>
      </c>
      <c r="B220" s="3301" t="s">
        <v>3737</v>
      </c>
      <c r="C220" s="3301" t="s">
        <v>3395</v>
      </c>
      <c r="D220" s="3301" t="s">
        <v>4668</v>
      </c>
      <c r="E220" s="3301">
        <v>114.18</v>
      </c>
      <c r="F220" s="3301">
        <v>93.55</v>
      </c>
      <c r="G220" s="3301" t="s">
        <v>3738</v>
      </c>
      <c r="H220" s="3301" t="s">
        <v>3738</v>
      </c>
      <c r="I220" s="3301"/>
      <c r="J220" s="3301"/>
      <c r="K220" s="3301"/>
    </row>
    <row r="221" spans="1:11">
      <c r="A221" s="3301">
        <v>219</v>
      </c>
      <c r="B221" s="3301" t="s">
        <v>3737</v>
      </c>
      <c r="C221" s="3301" t="s">
        <v>3395</v>
      </c>
      <c r="D221" s="3301" t="s">
        <v>4667</v>
      </c>
      <c r="E221" s="3301">
        <v>114.18</v>
      </c>
      <c r="F221" s="3301">
        <v>93.55</v>
      </c>
      <c r="G221" s="3301" t="s">
        <v>3738</v>
      </c>
      <c r="H221" s="3301" t="s">
        <v>3738</v>
      </c>
      <c r="I221" s="3301"/>
      <c r="J221" s="3301"/>
      <c r="K221" s="3301"/>
    </row>
    <row r="222" spans="1:11">
      <c r="A222" s="3301">
        <v>220</v>
      </c>
      <c r="B222" s="3301" t="s">
        <v>3737</v>
      </c>
      <c r="C222" s="3301" t="s">
        <v>3395</v>
      </c>
      <c r="D222" s="3301" t="s">
        <v>4666</v>
      </c>
      <c r="E222" s="3301">
        <v>110.06</v>
      </c>
      <c r="F222" s="3301">
        <v>90.17</v>
      </c>
      <c r="G222" s="3301" t="s">
        <v>3738</v>
      </c>
      <c r="H222" s="3301" t="s">
        <v>3738</v>
      </c>
      <c r="I222" s="3301"/>
      <c r="J222" s="3301"/>
      <c r="K222" s="3301"/>
    </row>
    <row r="223" spans="1:11">
      <c r="A223" s="3301">
        <v>221</v>
      </c>
      <c r="B223" s="3301" t="s">
        <v>3737</v>
      </c>
      <c r="C223" s="3301" t="s">
        <v>3395</v>
      </c>
      <c r="D223" s="3301" t="s">
        <v>4665</v>
      </c>
      <c r="E223" s="3301">
        <v>114.18</v>
      </c>
      <c r="F223" s="3301">
        <v>93.55</v>
      </c>
      <c r="G223" s="3301" t="s">
        <v>3738</v>
      </c>
      <c r="H223" s="3301" t="s">
        <v>3738</v>
      </c>
      <c r="I223" s="3301"/>
      <c r="J223" s="3301"/>
      <c r="K223" s="3301"/>
    </row>
    <row r="224" spans="1:11">
      <c r="A224" s="3301">
        <v>222</v>
      </c>
      <c r="B224" s="3301" t="s">
        <v>3737</v>
      </c>
      <c r="C224" s="3301" t="s">
        <v>3395</v>
      </c>
      <c r="D224" s="3301" t="s">
        <v>4664</v>
      </c>
      <c r="E224" s="3301">
        <v>110.06</v>
      </c>
      <c r="F224" s="3301">
        <v>90.17</v>
      </c>
      <c r="G224" s="3301" t="s">
        <v>3738</v>
      </c>
      <c r="H224" s="3301" t="s">
        <v>3738</v>
      </c>
      <c r="I224" s="3301"/>
      <c r="J224" s="3301"/>
      <c r="K224" s="3301"/>
    </row>
    <row r="225" spans="1:11">
      <c r="A225" s="3301">
        <v>223</v>
      </c>
      <c r="B225" s="3301" t="s">
        <v>3737</v>
      </c>
      <c r="C225" s="3301" t="s">
        <v>3395</v>
      </c>
      <c r="D225" s="3301" t="s">
        <v>4663</v>
      </c>
      <c r="E225" s="3301">
        <v>114.18</v>
      </c>
      <c r="F225" s="3301">
        <v>93.55</v>
      </c>
      <c r="G225" s="3301" t="s">
        <v>3738</v>
      </c>
      <c r="H225" s="3301" t="s">
        <v>3738</v>
      </c>
      <c r="I225" s="3301"/>
      <c r="J225" s="3301"/>
      <c r="K225" s="3301"/>
    </row>
    <row r="226" spans="1:11">
      <c r="A226" s="3301">
        <v>224</v>
      </c>
      <c r="B226" s="3301" t="s">
        <v>3737</v>
      </c>
      <c r="C226" s="3301" t="s">
        <v>3395</v>
      </c>
      <c r="D226" s="3301" t="s">
        <v>4662</v>
      </c>
      <c r="E226" s="3301">
        <v>110.06</v>
      </c>
      <c r="F226" s="3301">
        <v>90.17</v>
      </c>
      <c r="G226" s="3301" t="s">
        <v>3738</v>
      </c>
      <c r="H226" s="3301" t="s">
        <v>3738</v>
      </c>
      <c r="I226" s="3301"/>
      <c r="J226" s="3301"/>
      <c r="K226" s="3301"/>
    </row>
    <row r="227" spans="1:11">
      <c r="A227" s="3301">
        <v>225</v>
      </c>
      <c r="B227" s="3301" t="s">
        <v>3737</v>
      </c>
      <c r="C227" s="3301" t="s">
        <v>3395</v>
      </c>
      <c r="D227" s="3301" t="s">
        <v>3895</v>
      </c>
      <c r="E227" s="3301">
        <v>114.18</v>
      </c>
      <c r="F227" s="3301">
        <v>93.55</v>
      </c>
      <c r="G227" s="3301" t="s">
        <v>3738</v>
      </c>
      <c r="H227" s="3301" t="s">
        <v>3738</v>
      </c>
      <c r="I227" s="3301" t="s">
        <v>3738</v>
      </c>
      <c r="J227" s="3301" t="s">
        <v>3738</v>
      </c>
      <c r="K227" s="3301" t="str">
        <f>VLOOKUP(D227,[4]已网签!$C$3:$I$138,7,0)</f>
        <v>Y2721738</v>
      </c>
    </row>
    <row r="228" spans="1:11">
      <c r="A228" s="3301">
        <v>226</v>
      </c>
      <c r="B228" s="3301" t="s">
        <v>3737</v>
      </c>
      <c r="C228" s="3301" t="s">
        <v>3395</v>
      </c>
      <c r="D228" s="3301" t="s">
        <v>3903</v>
      </c>
      <c r="E228" s="3301">
        <v>110.06</v>
      </c>
      <c r="F228" s="3301">
        <v>90.17</v>
      </c>
      <c r="G228" s="3301" t="s">
        <v>3738</v>
      </c>
      <c r="H228" s="3301" t="s">
        <v>3738</v>
      </c>
      <c r="I228" s="3301" t="s">
        <v>3738</v>
      </c>
      <c r="J228" s="3301" t="s">
        <v>3738</v>
      </c>
      <c r="K228" s="3301" t="str">
        <f>VLOOKUP(D228,[4]已网签!$C$3:$I$138,7,0)</f>
        <v>Y2741700</v>
      </c>
    </row>
    <row r="229" spans="1:11">
      <c r="A229" s="3301">
        <v>227</v>
      </c>
      <c r="B229" s="3301" t="s">
        <v>3737</v>
      </c>
      <c r="C229" s="3301" t="s">
        <v>3395</v>
      </c>
      <c r="D229" s="3301" t="s">
        <v>3899</v>
      </c>
      <c r="E229" s="3301">
        <v>114.18</v>
      </c>
      <c r="F229" s="3301">
        <v>93.55</v>
      </c>
      <c r="G229" s="3301" t="s">
        <v>3738</v>
      </c>
      <c r="H229" s="3301" t="s">
        <v>3738</v>
      </c>
      <c r="I229" s="3301" t="s">
        <v>3738</v>
      </c>
      <c r="J229" s="3301" t="s">
        <v>3738</v>
      </c>
      <c r="K229" s="3301" t="str">
        <f>VLOOKUP(D229,[4]已网签!$C$3:$I$138,7,0)</f>
        <v>Y2724897</v>
      </c>
    </row>
    <row r="230" spans="1:11">
      <c r="A230" s="3301">
        <v>228</v>
      </c>
      <c r="B230" s="3301" t="s">
        <v>3737</v>
      </c>
      <c r="C230" s="3301" t="s">
        <v>3395</v>
      </c>
      <c r="D230" s="3301" t="s">
        <v>4661</v>
      </c>
      <c r="E230" s="3301">
        <v>110.06</v>
      </c>
      <c r="F230" s="3301">
        <v>90.17</v>
      </c>
      <c r="G230" s="3301" t="s">
        <v>3738</v>
      </c>
      <c r="H230" s="3301" t="s">
        <v>3738</v>
      </c>
      <c r="I230" s="3301"/>
      <c r="J230" s="3301"/>
      <c r="K230" s="3301"/>
    </row>
    <row r="231" spans="1:11">
      <c r="A231" s="3301">
        <v>229</v>
      </c>
      <c r="B231" s="3301" t="s">
        <v>3737</v>
      </c>
      <c r="C231" s="3301" t="s">
        <v>3395</v>
      </c>
      <c r="D231" s="3301" t="s">
        <v>3897</v>
      </c>
      <c r="E231" s="3301">
        <v>114.18</v>
      </c>
      <c r="F231" s="3301">
        <v>93.55</v>
      </c>
      <c r="G231" s="3301" t="s">
        <v>3738</v>
      </c>
      <c r="H231" s="3301" t="s">
        <v>3738</v>
      </c>
      <c r="I231" s="3301" t="s">
        <v>3738</v>
      </c>
      <c r="J231" s="3301" t="s">
        <v>3738</v>
      </c>
      <c r="K231" s="3301" t="str">
        <f>VLOOKUP(D231,[4]已网签!$C$3:$I$138,7,0)</f>
        <v>Y2723002</v>
      </c>
    </row>
    <row r="232" spans="1:11">
      <c r="A232" s="3301">
        <v>230</v>
      </c>
      <c r="B232" s="3301" t="s">
        <v>3737</v>
      </c>
      <c r="C232" s="3301" t="s">
        <v>3395</v>
      </c>
      <c r="D232" s="3301" t="s">
        <v>3893</v>
      </c>
      <c r="E232" s="3301">
        <v>110.06</v>
      </c>
      <c r="F232" s="3301">
        <v>90.17</v>
      </c>
      <c r="G232" s="3301" t="s">
        <v>3738</v>
      </c>
      <c r="H232" s="3301" t="s">
        <v>3738</v>
      </c>
      <c r="I232" s="3301" t="s">
        <v>3738</v>
      </c>
      <c r="J232" s="3301" t="s">
        <v>3738</v>
      </c>
      <c r="K232" s="3301" t="str">
        <f>VLOOKUP(D232,[4]已网签!$C$3:$I$138,7,0)</f>
        <v>Y2713800</v>
      </c>
    </row>
    <row r="233" spans="1:11">
      <c r="A233" s="3301">
        <v>231</v>
      </c>
      <c r="B233" s="3301" t="s">
        <v>3737</v>
      </c>
      <c r="C233" s="3301" t="s">
        <v>3395</v>
      </c>
      <c r="D233" s="3301" t="s">
        <v>4660</v>
      </c>
      <c r="E233" s="3301">
        <v>114.18</v>
      </c>
      <c r="F233" s="3301">
        <v>93.55</v>
      </c>
      <c r="G233" s="3301" t="s">
        <v>3738</v>
      </c>
      <c r="H233" s="3301" t="s">
        <v>3738</v>
      </c>
      <c r="I233" s="3301" t="s">
        <v>3738</v>
      </c>
      <c r="J233" s="3301" t="s">
        <v>3983</v>
      </c>
      <c r="K233" s="3301"/>
    </row>
    <row r="234" spans="1:11">
      <c r="A234" s="3301">
        <v>232</v>
      </c>
      <c r="B234" s="3301" t="s">
        <v>3737</v>
      </c>
      <c r="C234" s="3301" t="s">
        <v>3395</v>
      </c>
      <c r="D234" s="3301" t="s">
        <v>4659</v>
      </c>
      <c r="E234" s="3301">
        <v>110.06</v>
      </c>
      <c r="F234" s="3301">
        <v>90.17</v>
      </c>
      <c r="G234" s="3301" t="s">
        <v>3738</v>
      </c>
      <c r="H234" s="3301" t="s">
        <v>3738</v>
      </c>
      <c r="I234" s="3301"/>
      <c r="J234" s="3301"/>
      <c r="K234" s="3301"/>
    </row>
    <row r="235" spans="1:11">
      <c r="A235" s="3301">
        <v>233</v>
      </c>
      <c r="B235" s="3301" t="s">
        <v>3737</v>
      </c>
      <c r="C235" s="3301" t="s">
        <v>3395</v>
      </c>
      <c r="D235" s="3301" t="s">
        <v>4658</v>
      </c>
      <c r="E235" s="3301">
        <v>134.22999999999999</v>
      </c>
      <c r="F235" s="3301">
        <v>109.98</v>
      </c>
      <c r="G235" s="3301" t="s">
        <v>3738</v>
      </c>
      <c r="H235" s="3301" t="s">
        <v>3738</v>
      </c>
      <c r="I235" s="3301"/>
      <c r="J235" s="3301"/>
      <c r="K235" s="3301"/>
    </row>
    <row r="236" spans="1:11">
      <c r="A236" s="3301">
        <v>234</v>
      </c>
      <c r="B236" s="3301" t="s">
        <v>3737</v>
      </c>
      <c r="C236" s="3301" t="s">
        <v>3395</v>
      </c>
      <c r="D236" s="3301" t="s">
        <v>4657</v>
      </c>
      <c r="E236" s="3301">
        <v>109.84</v>
      </c>
      <c r="F236" s="3301">
        <v>89.99</v>
      </c>
      <c r="G236" s="3301" t="s">
        <v>3738</v>
      </c>
      <c r="H236" s="3301" t="s">
        <v>3738</v>
      </c>
      <c r="I236" s="3301"/>
      <c r="J236" s="3301"/>
      <c r="K236" s="3301"/>
    </row>
    <row r="237" spans="1:11">
      <c r="A237" s="3301">
        <v>235</v>
      </c>
      <c r="B237" s="3301" t="s">
        <v>3737</v>
      </c>
      <c r="C237" s="3301" t="s">
        <v>3395</v>
      </c>
      <c r="D237" s="3301" t="s">
        <v>4656</v>
      </c>
      <c r="E237" s="3301">
        <v>134.22999999999999</v>
      </c>
      <c r="F237" s="3301">
        <v>109.98</v>
      </c>
      <c r="G237" s="3301" t="s">
        <v>3738</v>
      </c>
      <c r="H237" s="3301" t="s">
        <v>3738</v>
      </c>
      <c r="I237" s="3301"/>
      <c r="J237" s="3301"/>
      <c r="K237" s="3301"/>
    </row>
    <row r="238" spans="1:11">
      <c r="A238" s="3301">
        <v>236</v>
      </c>
      <c r="B238" s="3301" t="s">
        <v>3737</v>
      </c>
      <c r="C238" s="3301" t="s">
        <v>3395</v>
      </c>
      <c r="D238" s="3301" t="s">
        <v>4655</v>
      </c>
      <c r="E238" s="3301">
        <v>109.86</v>
      </c>
      <c r="F238" s="3301">
        <v>90.01</v>
      </c>
      <c r="G238" s="3301" t="s">
        <v>3738</v>
      </c>
      <c r="H238" s="3301" t="s">
        <v>3738</v>
      </c>
      <c r="I238" s="3301"/>
      <c r="J238" s="3301"/>
      <c r="K238" s="3301"/>
    </row>
    <row r="239" spans="1:11">
      <c r="A239" s="3301">
        <v>237</v>
      </c>
      <c r="B239" s="3301" t="s">
        <v>3737</v>
      </c>
      <c r="C239" s="3301" t="s">
        <v>3395</v>
      </c>
      <c r="D239" s="3301" t="s">
        <v>4654</v>
      </c>
      <c r="E239" s="3301">
        <v>134.22999999999999</v>
      </c>
      <c r="F239" s="3301">
        <v>109.98</v>
      </c>
      <c r="G239" s="3301" t="s">
        <v>3738</v>
      </c>
      <c r="H239" s="3301" t="s">
        <v>3738</v>
      </c>
      <c r="I239" s="3301"/>
      <c r="J239" s="3301"/>
      <c r="K239" s="3301"/>
    </row>
    <row r="240" spans="1:11">
      <c r="A240" s="3301">
        <v>238</v>
      </c>
      <c r="B240" s="3301" t="s">
        <v>3737</v>
      </c>
      <c r="C240" s="3301" t="s">
        <v>3395</v>
      </c>
      <c r="D240" s="3301" t="s">
        <v>4653</v>
      </c>
      <c r="E240" s="3301">
        <v>109.86</v>
      </c>
      <c r="F240" s="3301">
        <v>90.01</v>
      </c>
      <c r="G240" s="3301" t="s">
        <v>3738</v>
      </c>
      <c r="H240" s="3301" t="s">
        <v>3738</v>
      </c>
      <c r="I240" s="3301"/>
      <c r="J240" s="3301"/>
      <c r="K240" s="3301"/>
    </row>
    <row r="241" spans="1:11">
      <c r="A241" s="3301">
        <v>239</v>
      </c>
      <c r="B241" s="3301" t="s">
        <v>3737</v>
      </c>
      <c r="C241" s="3301" t="s">
        <v>3395</v>
      </c>
      <c r="D241" s="3301" t="s">
        <v>4652</v>
      </c>
      <c r="E241" s="3301">
        <v>134.22999999999999</v>
      </c>
      <c r="F241" s="3301">
        <v>109.98</v>
      </c>
      <c r="G241" s="3301" t="s">
        <v>3738</v>
      </c>
      <c r="H241" s="3301" t="s">
        <v>3738</v>
      </c>
      <c r="I241" s="3301"/>
      <c r="J241" s="3301"/>
      <c r="K241" s="3301"/>
    </row>
    <row r="242" spans="1:11">
      <c r="A242" s="3301">
        <v>240</v>
      </c>
      <c r="B242" s="3301" t="s">
        <v>3737</v>
      </c>
      <c r="C242" s="3301" t="s">
        <v>3395</v>
      </c>
      <c r="D242" s="3301" t="s">
        <v>4651</v>
      </c>
      <c r="E242" s="3301">
        <v>109.86</v>
      </c>
      <c r="F242" s="3301">
        <v>90.01</v>
      </c>
      <c r="G242" s="3301" t="s">
        <v>3738</v>
      </c>
      <c r="H242" s="3301" t="s">
        <v>3738</v>
      </c>
      <c r="I242" s="3301"/>
      <c r="J242" s="3301"/>
      <c r="K242" s="3301"/>
    </row>
    <row r="243" spans="1:11">
      <c r="A243" s="3301">
        <v>241</v>
      </c>
      <c r="B243" s="3301" t="s">
        <v>3737</v>
      </c>
      <c r="C243" s="3301" t="s">
        <v>3395</v>
      </c>
      <c r="D243" s="3301" t="s">
        <v>4650</v>
      </c>
      <c r="E243" s="3301">
        <v>134.22999999999999</v>
      </c>
      <c r="F243" s="3301">
        <v>109.98</v>
      </c>
      <c r="G243" s="3301" t="s">
        <v>3738</v>
      </c>
      <c r="H243" s="3301" t="s">
        <v>3738</v>
      </c>
      <c r="I243" s="3301"/>
      <c r="J243" s="3301"/>
      <c r="K243" s="3301"/>
    </row>
    <row r="244" spans="1:11">
      <c r="A244" s="3301">
        <v>242</v>
      </c>
      <c r="B244" s="3301" t="s">
        <v>3737</v>
      </c>
      <c r="C244" s="3301" t="s">
        <v>3395</v>
      </c>
      <c r="D244" s="3301" t="s">
        <v>4649</v>
      </c>
      <c r="E244" s="3301">
        <v>109.86</v>
      </c>
      <c r="F244" s="3301">
        <v>90.01</v>
      </c>
      <c r="G244" s="3301" t="s">
        <v>3738</v>
      </c>
      <c r="H244" s="3301" t="s">
        <v>3738</v>
      </c>
      <c r="I244" s="3301"/>
      <c r="J244" s="3301"/>
      <c r="K244" s="3301"/>
    </row>
    <row r="245" spans="1:11">
      <c r="A245" s="3301">
        <v>243</v>
      </c>
      <c r="B245" s="3301" t="s">
        <v>3737</v>
      </c>
      <c r="C245" s="3301" t="s">
        <v>3395</v>
      </c>
      <c r="D245" s="3301" t="s">
        <v>4648</v>
      </c>
      <c r="E245" s="3301">
        <v>134.22999999999999</v>
      </c>
      <c r="F245" s="3301">
        <v>109.98</v>
      </c>
      <c r="G245" s="3301" t="s">
        <v>3738</v>
      </c>
      <c r="H245" s="3301" t="s">
        <v>3738</v>
      </c>
      <c r="I245" s="3301"/>
      <c r="J245" s="3301"/>
      <c r="K245" s="3301"/>
    </row>
    <row r="246" spans="1:11">
      <c r="A246" s="3301">
        <v>244</v>
      </c>
      <c r="B246" s="3301" t="s">
        <v>3737</v>
      </c>
      <c r="C246" s="3301" t="s">
        <v>3395</v>
      </c>
      <c r="D246" s="3301" t="s">
        <v>3901</v>
      </c>
      <c r="E246" s="3301">
        <v>109.86</v>
      </c>
      <c r="F246" s="3301">
        <v>90.01</v>
      </c>
      <c r="G246" s="3301" t="s">
        <v>3738</v>
      </c>
      <c r="H246" s="3301" t="s">
        <v>3738</v>
      </c>
      <c r="I246" s="3301" t="s">
        <v>3738</v>
      </c>
      <c r="J246" s="3301" t="s">
        <v>3738</v>
      </c>
      <c r="K246" s="3301" t="str">
        <f>VLOOKUP(D246,[4]已网签!$C$3:$I$138,7,0)</f>
        <v>Y2724959</v>
      </c>
    </row>
    <row r="247" spans="1:11">
      <c r="A247" s="3301">
        <v>245</v>
      </c>
      <c r="B247" s="3301" t="s">
        <v>3737</v>
      </c>
      <c r="C247" s="3301" t="s">
        <v>3395</v>
      </c>
      <c r="D247" s="3301" t="s">
        <v>4647</v>
      </c>
      <c r="E247" s="3301">
        <v>134.22999999999999</v>
      </c>
      <c r="F247" s="3301">
        <v>109.98</v>
      </c>
      <c r="G247" s="3301" t="s">
        <v>3738</v>
      </c>
      <c r="H247" s="3301" t="s">
        <v>3738</v>
      </c>
      <c r="I247" s="3301"/>
      <c r="J247" s="3301"/>
      <c r="K247" s="3301"/>
    </row>
    <row r="248" spans="1:11">
      <c r="A248" s="3301">
        <v>246</v>
      </c>
      <c r="B248" s="3301" t="s">
        <v>3737</v>
      </c>
      <c r="C248" s="3301" t="s">
        <v>3395</v>
      </c>
      <c r="D248" s="3301" t="s">
        <v>4646</v>
      </c>
      <c r="E248" s="3301">
        <v>109.86</v>
      </c>
      <c r="F248" s="3301">
        <v>90.01</v>
      </c>
      <c r="G248" s="3301" t="s">
        <v>3738</v>
      </c>
      <c r="H248" s="3301" t="s">
        <v>3738</v>
      </c>
      <c r="I248" s="3301"/>
      <c r="J248" s="3301"/>
      <c r="K248" s="3301"/>
    </row>
    <row r="249" spans="1:11">
      <c r="A249" s="3301">
        <v>247</v>
      </c>
      <c r="B249" s="3301" t="s">
        <v>3737</v>
      </c>
      <c r="C249" s="3301" t="s">
        <v>3395</v>
      </c>
      <c r="D249" s="3301" t="s">
        <v>4645</v>
      </c>
      <c r="E249" s="3301">
        <v>134.22999999999999</v>
      </c>
      <c r="F249" s="3301">
        <v>109.98</v>
      </c>
      <c r="G249" s="3301" t="s">
        <v>3738</v>
      </c>
      <c r="H249" s="3301" t="s">
        <v>3738</v>
      </c>
      <c r="I249" s="3301"/>
      <c r="J249" s="3301"/>
      <c r="K249" s="3301"/>
    </row>
    <row r="250" spans="1:11">
      <c r="A250" s="3301">
        <v>248</v>
      </c>
      <c r="B250" s="3301" t="s">
        <v>3737</v>
      </c>
      <c r="C250" s="3301" t="s">
        <v>3395</v>
      </c>
      <c r="D250" s="3301" t="s">
        <v>4644</v>
      </c>
      <c r="E250" s="3301">
        <v>141.34</v>
      </c>
      <c r="F250" s="3301">
        <v>111.76</v>
      </c>
      <c r="G250" s="3301" t="s">
        <v>3738</v>
      </c>
      <c r="H250" s="3301" t="s">
        <v>3738</v>
      </c>
      <c r="I250" s="3301"/>
      <c r="J250" s="3301"/>
      <c r="K250" s="3301"/>
    </row>
    <row r="251" spans="1:11">
      <c r="A251" s="3301">
        <v>249</v>
      </c>
      <c r="B251" s="3301" t="s">
        <v>3737</v>
      </c>
      <c r="C251" s="3301" t="s">
        <v>3395</v>
      </c>
      <c r="D251" s="3301" t="s">
        <v>4643</v>
      </c>
      <c r="E251" s="3301">
        <v>140.32</v>
      </c>
      <c r="F251" s="3301">
        <v>110.95</v>
      </c>
      <c r="G251" s="3301" t="s">
        <v>3738</v>
      </c>
      <c r="H251" s="3301" t="s">
        <v>3738</v>
      </c>
      <c r="I251" s="3301"/>
      <c r="J251" s="3301"/>
      <c r="K251" s="3301"/>
    </row>
    <row r="252" spans="1:11">
      <c r="A252" s="3301">
        <v>250</v>
      </c>
      <c r="B252" s="3301" t="s">
        <v>3737</v>
      </c>
      <c r="C252" s="3301" t="s">
        <v>3395</v>
      </c>
      <c r="D252" s="3301" t="s">
        <v>4642</v>
      </c>
      <c r="E252" s="3301">
        <v>141.34</v>
      </c>
      <c r="F252" s="3301">
        <v>111.76</v>
      </c>
      <c r="G252" s="3301" t="s">
        <v>3738</v>
      </c>
      <c r="H252" s="3301" t="s">
        <v>3738</v>
      </c>
      <c r="I252" s="3301"/>
      <c r="J252" s="3301"/>
      <c r="K252" s="3301"/>
    </row>
    <row r="253" spans="1:11">
      <c r="A253" s="3301">
        <v>251</v>
      </c>
      <c r="B253" s="3301" t="s">
        <v>3737</v>
      </c>
      <c r="C253" s="3301" t="s">
        <v>3395</v>
      </c>
      <c r="D253" s="3301" t="s">
        <v>4641</v>
      </c>
      <c r="E253" s="3301">
        <v>140.32</v>
      </c>
      <c r="F253" s="3301">
        <v>110.95</v>
      </c>
      <c r="G253" s="3301" t="s">
        <v>3738</v>
      </c>
      <c r="H253" s="3301" t="s">
        <v>3738</v>
      </c>
      <c r="I253" s="3301"/>
      <c r="J253" s="3301"/>
      <c r="K253" s="3301"/>
    </row>
    <row r="254" spans="1:11">
      <c r="A254" s="3301">
        <v>252</v>
      </c>
      <c r="B254" s="3301" t="s">
        <v>3737</v>
      </c>
      <c r="C254" s="3301" t="s">
        <v>3395</v>
      </c>
      <c r="D254" s="3301" t="s">
        <v>4640</v>
      </c>
      <c r="E254" s="3301">
        <v>141.34</v>
      </c>
      <c r="F254" s="3301">
        <v>111.76</v>
      </c>
      <c r="G254" s="3301" t="s">
        <v>3738</v>
      </c>
      <c r="H254" s="3301" t="s">
        <v>3738</v>
      </c>
      <c r="I254" s="3301"/>
      <c r="J254" s="3301"/>
      <c r="K254" s="3301"/>
    </row>
    <row r="255" spans="1:11">
      <c r="A255" s="3301">
        <v>253</v>
      </c>
      <c r="B255" s="3301" t="s">
        <v>3737</v>
      </c>
      <c r="C255" s="3301" t="s">
        <v>3395</v>
      </c>
      <c r="D255" s="3301" t="s">
        <v>4639</v>
      </c>
      <c r="E255" s="3301">
        <v>140.32</v>
      </c>
      <c r="F255" s="3301">
        <v>110.95</v>
      </c>
      <c r="G255" s="3301" t="s">
        <v>3738</v>
      </c>
      <c r="H255" s="3301" t="s">
        <v>3738</v>
      </c>
      <c r="I255" s="3301"/>
      <c r="J255" s="3301"/>
      <c r="K255" s="3301"/>
    </row>
    <row r="256" spans="1:11">
      <c r="A256" s="3301">
        <v>254</v>
      </c>
      <c r="B256" s="3301" t="s">
        <v>3737</v>
      </c>
      <c r="C256" s="3301" t="s">
        <v>3395</v>
      </c>
      <c r="D256" s="3301" t="s">
        <v>4638</v>
      </c>
      <c r="E256" s="3301">
        <v>141.34</v>
      </c>
      <c r="F256" s="3301">
        <v>111.76</v>
      </c>
      <c r="G256" s="3301" t="s">
        <v>3738</v>
      </c>
      <c r="H256" s="3301" t="s">
        <v>3738</v>
      </c>
      <c r="I256" s="3301"/>
      <c r="J256" s="3301"/>
      <c r="K256" s="3301"/>
    </row>
    <row r="257" spans="1:11">
      <c r="A257" s="3301">
        <v>255</v>
      </c>
      <c r="B257" s="3301" t="s">
        <v>3737</v>
      </c>
      <c r="C257" s="3301" t="s">
        <v>3395</v>
      </c>
      <c r="D257" s="3301" t="s">
        <v>3907</v>
      </c>
      <c r="E257" s="3301">
        <v>140.32</v>
      </c>
      <c r="F257" s="3301">
        <v>110.95</v>
      </c>
      <c r="G257" s="3301" t="s">
        <v>3738</v>
      </c>
      <c r="H257" s="3301" t="s">
        <v>3738</v>
      </c>
      <c r="I257" s="3301" t="s">
        <v>3738</v>
      </c>
      <c r="J257" s="3301" t="s">
        <v>3738</v>
      </c>
      <c r="K257" s="3301" t="str">
        <f>VLOOKUP(D257,[4]已网签!$C$3:$I$138,7,0)</f>
        <v>Y2690696</v>
      </c>
    </row>
    <row r="258" spans="1:11">
      <c r="A258" s="3301">
        <v>256</v>
      </c>
      <c r="B258" s="3301" t="s">
        <v>3737</v>
      </c>
      <c r="C258" s="3301" t="s">
        <v>3395</v>
      </c>
      <c r="D258" s="3301" t="s">
        <v>4637</v>
      </c>
      <c r="E258" s="3301">
        <v>141.34</v>
      </c>
      <c r="F258" s="3301">
        <v>111.76</v>
      </c>
      <c r="G258" s="3301" t="s">
        <v>3738</v>
      </c>
      <c r="H258" s="3301" t="s">
        <v>3738</v>
      </c>
      <c r="I258" s="3301" t="s">
        <v>3738</v>
      </c>
      <c r="J258" s="3301" t="s">
        <v>3983</v>
      </c>
      <c r="K258" s="3301"/>
    </row>
    <row r="259" spans="1:11">
      <c r="A259" s="3301">
        <v>257</v>
      </c>
      <c r="B259" s="3301" t="s">
        <v>3737</v>
      </c>
      <c r="C259" s="3301" t="s">
        <v>3395</v>
      </c>
      <c r="D259" s="3301" t="s">
        <v>4636</v>
      </c>
      <c r="E259" s="3301">
        <v>140.32</v>
      </c>
      <c r="F259" s="3301">
        <v>110.95</v>
      </c>
      <c r="G259" s="3301" t="s">
        <v>3738</v>
      </c>
      <c r="H259" s="3301" t="s">
        <v>3738</v>
      </c>
      <c r="I259" s="3301"/>
      <c r="J259" s="3301"/>
      <c r="K259" s="3301"/>
    </row>
    <row r="260" spans="1:11">
      <c r="A260" s="3301">
        <v>258</v>
      </c>
      <c r="B260" s="3301" t="s">
        <v>3737</v>
      </c>
      <c r="C260" s="3301" t="s">
        <v>3395</v>
      </c>
      <c r="D260" s="3301" t="s">
        <v>4635</v>
      </c>
      <c r="E260" s="3301">
        <v>141.34</v>
      </c>
      <c r="F260" s="3301">
        <v>111.76</v>
      </c>
      <c r="G260" s="3301" t="s">
        <v>3738</v>
      </c>
      <c r="H260" s="3301" t="s">
        <v>3738</v>
      </c>
      <c r="I260" s="3301"/>
      <c r="J260" s="3301"/>
      <c r="K260" s="3301"/>
    </row>
    <row r="261" spans="1:11">
      <c r="A261" s="3301">
        <v>259</v>
      </c>
      <c r="B261" s="3301" t="s">
        <v>3737</v>
      </c>
      <c r="C261" s="3301" t="s">
        <v>3395</v>
      </c>
      <c r="D261" s="3301" t="s">
        <v>3913</v>
      </c>
      <c r="E261" s="3301">
        <v>140.32</v>
      </c>
      <c r="F261" s="3301">
        <v>110.95</v>
      </c>
      <c r="G261" s="3301" t="s">
        <v>3738</v>
      </c>
      <c r="H261" s="3301" t="s">
        <v>3738</v>
      </c>
      <c r="I261" s="3301" t="s">
        <v>3738</v>
      </c>
      <c r="J261" s="3301" t="s">
        <v>3738</v>
      </c>
      <c r="K261" s="3301" t="str">
        <f>VLOOKUP(D261,[4]已网签!$C$3:$I$138,7,0)</f>
        <v>Y2716787</v>
      </c>
    </row>
    <row r="262" spans="1:11">
      <c r="A262" s="3301">
        <v>260</v>
      </c>
      <c r="B262" s="3301" t="s">
        <v>3737</v>
      </c>
      <c r="C262" s="3301" t="s">
        <v>3395</v>
      </c>
      <c r="D262" s="3301" t="s">
        <v>4634</v>
      </c>
      <c r="E262" s="3301">
        <v>141.34</v>
      </c>
      <c r="F262" s="3301">
        <v>111.76</v>
      </c>
      <c r="G262" s="3301" t="s">
        <v>3738</v>
      </c>
      <c r="H262" s="3301" t="s">
        <v>3738</v>
      </c>
      <c r="I262" s="3301"/>
      <c r="J262" s="3301"/>
      <c r="K262" s="3301"/>
    </row>
    <row r="263" spans="1:11">
      <c r="A263" s="3301">
        <v>261</v>
      </c>
      <c r="B263" s="3301" t="s">
        <v>3737</v>
      </c>
      <c r="C263" s="3301" t="s">
        <v>3395</v>
      </c>
      <c r="D263" s="3301" t="s">
        <v>3905</v>
      </c>
      <c r="E263" s="3301">
        <v>140.32</v>
      </c>
      <c r="F263" s="3301">
        <v>110.95</v>
      </c>
      <c r="G263" s="3301" t="s">
        <v>3738</v>
      </c>
      <c r="H263" s="3301" t="s">
        <v>3738</v>
      </c>
      <c r="I263" s="3301" t="s">
        <v>3738</v>
      </c>
      <c r="J263" s="3301" t="s">
        <v>3738</v>
      </c>
      <c r="K263" s="3301" t="str">
        <f>VLOOKUP(D263,[4]已网签!$C$3:$I$138,7,0)</f>
        <v>Y2674868</v>
      </c>
    </row>
    <row r="264" spans="1:11">
      <c r="A264" s="3301">
        <v>262</v>
      </c>
      <c r="B264" s="3301" t="s">
        <v>3737</v>
      </c>
      <c r="C264" s="3301" t="s">
        <v>3395</v>
      </c>
      <c r="D264" s="3301" t="s">
        <v>3911</v>
      </c>
      <c r="E264" s="3301">
        <v>141.34</v>
      </c>
      <c r="F264" s="3301">
        <v>111.76</v>
      </c>
      <c r="G264" s="3301" t="s">
        <v>3738</v>
      </c>
      <c r="H264" s="3301" t="s">
        <v>3738</v>
      </c>
      <c r="I264" s="3301" t="s">
        <v>3738</v>
      </c>
      <c r="J264" s="3301" t="s">
        <v>3738</v>
      </c>
      <c r="K264" s="3301" t="str">
        <f>VLOOKUP(D264,[4]已网签!$C$3:$I$138,7,0)</f>
        <v>Y2706707</v>
      </c>
    </row>
    <row r="265" spans="1:11">
      <c r="A265" s="3301">
        <v>263</v>
      </c>
      <c r="B265" s="3301" t="s">
        <v>3737</v>
      </c>
      <c r="C265" s="3301" t="s">
        <v>3395</v>
      </c>
      <c r="D265" s="3301" t="s">
        <v>3909</v>
      </c>
      <c r="E265" s="3301">
        <v>140.32</v>
      </c>
      <c r="F265" s="3301">
        <v>110.95</v>
      </c>
      <c r="G265" s="3301" t="s">
        <v>3738</v>
      </c>
      <c r="H265" s="3301" t="s">
        <v>3738</v>
      </c>
      <c r="I265" s="3301" t="s">
        <v>3738</v>
      </c>
      <c r="J265" s="3301" t="s">
        <v>3738</v>
      </c>
      <c r="K265" s="3301" t="str">
        <f>VLOOKUP(D265,[4]已网签!$C$3:$I$138,7,0)</f>
        <v>Y2705089</v>
      </c>
    </row>
    <row r="266" spans="1:11">
      <c r="A266" s="3301">
        <v>264</v>
      </c>
      <c r="B266" s="3301" t="s">
        <v>3737</v>
      </c>
      <c r="C266" s="3301" t="s">
        <v>3395</v>
      </c>
      <c r="D266" s="3301" t="s">
        <v>4633</v>
      </c>
      <c r="E266" s="3301">
        <v>115</v>
      </c>
      <c r="F266" s="3301">
        <v>93.55</v>
      </c>
      <c r="G266" s="3301" t="s">
        <v>3738</v>
      </c>
      <c r="H266" s="3301" t="s">
        <v>3738</v>
      </c>
      <c r="I266" s="3301"/>
      <c r="J266" s="3301"/>
      <c r="K266" s="3301"/>
    </row>
    <row r="267" spans="1:11">
      <c r="A267" s="3301">
        <v>265</v>
      </c>
      <c r="B267" s="3301" t="s">
        <v>3737</v>
      </c>
      <c r="C267" s="3301" t="s">
        <v>3395</v>
      </c>
      <c r="D267" s="3301" t="s">
        <v>4632</v>
      </c>
      <c r="E267" s="3301">
        <v>131.58000000000001</v>
      </c>
      <c r="F267" s="3301">
        <v>107.04</v>
      </c>
      <c r="G267" s="3301" t="s">
        <v>3738</v>
      </c>
      <c r="H267" s="3301" t="s">
        <v>3738</v>
      </c>
      <c r="I267" s="3301"/>
      <c r="J267" s="3301"/>
      <c r="K267" s="3301"/>
    </row>
    <row r="268" spans="1:11">
      <c r="A268" s="3301">
        <v>266</v>
      </c>
      <c r="B268" s="3301" t="s">
        <v>3737</v>
      </c>
      <c r="C268" s="3301" t="s">
        <v>3395</v>
      </c>
      <c r="D268" s="3301" t="s">
        <v>4631</v>
      </c>
      <c r="E268" s="3301">
        <v>115</v>
      </c>
      <c r="F268" s="3301">
        <v>93.55</v>
      </c>
      <c r="G268" s="3301" t="s">
        <v>3738</v>
      </c>
      <c r="H268" s="3301" t="s">
        <v>3738</v>
      </c>
      <c r="I268" s="3301"/>
      <c r="J268" s="3301"/>
      <c r="K268" s="3301"/>
    </row>
    <row r="269" spans="1:11">
      <c r="A269" s="3301">
        <v>267</v>
      </c>
      <c r="B269" s="3301" t="s">
        <v>3737</v>
      </c>
      <c r="C269" s="3301" t="s">
        <v>3395</v>
      </c>
      <c r="D269" s="3301" t="s">
        <v>4630</v>
      </c>
      <c r="E269" s="3301">
        <v>131.58000000000001</v>
      </c>
      <c r="F269" s="3301">
        <v>107.04</v>
      </c>
      <c r="G269" s="3301" t="s">
        <v>3738</v>
      </c>
      <c r="H269" s="3301" t="s">
        <v>3738</v>
      </c>
      <c r="I269" s="3301"/>
      <c r="J269" s="3301"/>
      <c r="K269" s="3301"/>
    </row>
    <row r="270" spans="1:11">
      <c r="A270" s="3301">
        <v>268</v>
      </c>
      <c r="B270" s="3301" t="s">
        <v>3737</v>
      </c>
      <c r="C270" s="3301" t="s">
        <v>3395</v>
      </c>
      <c r="D270" s="3301" t="s">
        <v>4629</v>
      </c>
      <c r="E270" s="3301">
        <v>115</v>
      </c>
      <c r="F270" s="3301">
        <v>93.55</v>
      </c>
      <c r="G270" s="3301" t="s">
        <v>3738</v>
      </c>
      <c r="H270" s="3301" t="s">
        <v>3738</v>
      </c>
      <c r="I270" s="3301"/>
      <c r="J270" s="3301"/>
      <c r="K270" s="3301"/>
    </row>
    <row r="271" spans="1:11">
      <c r="A271" s="3301">
        <v>269</v>
      </c>
      <c r="B271" s="3301" t="s">
        <v>3737</v>
      </c>
      <c r="C271" s="3301" t="s">
        <v>3395</v>
      </c>
      <c r="D271" s="3301" t="s">
        <v>4628</v>
      </c>
      <c r="E271" s="3301">
        <v>131.58000000000001</v>
      </c>
      <c r="F271" s="3301">
        <v>107.04</v>
      </c>
      <c r="G271" s="3301" t="s">
        <v>3738</v>
      </c>
      <c r="H271" s="3301" t="s">
        <v>3738</v>
      </c>
      <c r="I271" s="3301"/>
      <c r="J271" s="3301"/>
      <c r="K271" s="3301"/>
    </row>
    <row r="272" spans="1:11">
      <c r="A272" s="3301">
        <v>270</v>
      </c>
      <c r="B272" s="3301" t="s">
        <v>3737</v>
      </c>
      <c r="C272" s="3301" t="s">
        <v>3395</v>
      </c>
      <c r="D272" s="3301" t="s">
        <v>4627</v>
      </c>
      <c r="E272" s="3301">
        <v>115</v>
      </c>
      <c r="F272" s="3301">
        <v>93.55</v>
      </c>
      <c r="G272" s="3301" t="s">
        <v>3738</v>
      </c>
      <c r="H272" s="3301" t="s">
        <v>3738</v>
      </c>
      <c r="I272" s="3301"/>
      <c r="J272" s="3301"/>
      <c r="K272" s="3301"/>
    </row>
    <row r="273" spans="1:11">
      <c r="A273" s="3301">
        <v>271</v>
      </c>
      <c r="B273" s="3301" t="s">
        <v>3737</v>
      </c>
      <c r="C273" s="3301" t="s">
        <v>3395</v>
      </c>
      <c r="D273" s="3301" t="s">
        <v>3917</v>
      </c>
      <c r="E273" s="3301">
        <v>131.58000000000001</v>
      </c>
      <c r="F273" s="3301">
        <v>107.04</v>
      </c>
      <c r="G273" s="3301" t="s">
        <v>3738</v>
      </c>
      <c r="H273" s="3301" t="s">
        <v>3738</v>
      </c>
      <c r="I273" s="3301" t="s">
        <v>3738</v>
      </c>
      <c r="J273" s="3301" t="s">
        <v>3738</v>
      </c>
      <c r="K273" s="3301" t="str">
        <f>VLOOKUP(D273,[4]已网签!$C$3:$I$138,7,0)</f>
        <v>Y2729285</v>
      </c>
    </row>
    <row r="274" spans="1:11">
      <c r="A274" s="3301">
        <v>272</v>
      </c>
      <c r="B274" s="3301" t="s">
        <v>3737</v>
      </c>
      <c r="C274" s="3301" t="s">
        <v>3395</v>
      </c>
      <c r="D274" s="3301" t="s">
        <v>4626</v>
      </c>
      <c r="E274" s="3301">
        <v>115</v>
      </c>
      <c r="F274" s="3301">
        <v>93.55</v>
      </c>
      <c r="G274" s="3301" t="s">
        <v>3738</v>
      </c>
      <c r="H274" s="3301" t="s">
        <v>3738</v>
      </c>
      <c r="I274" s="3301"/>
      <c r="J274" s="3301"/>
      <c r="K274" s="3301"/>
    </row>
    <row r="275" spans="1:11">
      <c r="A275" s="3301">
        <v>273</v>
      </c>
      <c r="B275" s="3301" t="s">
        <v>3737</v>
      </c>
      <c r="C275" s="3301" t="s">
        <v>3395</v>
      </c>
      <c r="D275" s="3301" t="s">
        <v>3921</v>
      </c>
      <c r="E275" s="3301">
        <v>131.58000000000001</v>
      </c>
      <c r="F275" s="3301">
        <v>107.04</v>
      </c>
      <c r="G275" s="3301" t="s">
        <v>3738</v>
      </c>
      <c r="H275" s="3301" t="s">
        <v>3738</v>
      </c>
      <c r="I275" s="3301" t="s">
        <v>3738</v>
      </c>
      <c r="J275" s="3301" t="s">
        <v>3738</v>
      </c>
      <c r="K275" s="3301" t="str">
        <f>VLOOKUP(D275,[4]已网签!$C$3:$I$138,7,0)</f>
        <v>Y2744660</v>
      </c>
    </row>
    <row r="276" spans="1:11">
      <c r="A276" s="3301">
        <v>274</v>
      </c>
      <c r="B276" s="3301" t="s">
        <v>3737</v>
      </c>
      <c r="C276" s="3301" t="s">
        <v>3395</v>
      </c>
      <c r="D276" s="3301" t="s">
        <v>3919</v>
      </c>
      <c r="E276" s="3301">
        <v>115</v>
      </c>
      <c r="F276" s="3301">
        <v>93.55</v>
      </c>
      <c r="G276" s="3301" t="s">
        <v>3738</v>
      </c>
      <c r="H276" s="3301" t="s">
        <v>3738</v>
      </c>
      <c r="I276" s="3301" t="s">
        <v>3738</v>
      </c>
      <c r="J276" s="3301" t="s">
        <v>3738</v>
      </c>
      <c r="K276" s="3301" t="str">
        <f>VLOOKUP(D276,[4]已网签!$C$3:$I$138,7,0)</f>
        <v>Y2737489</v>
      </c>
    </row>
    <row r="277" spans="1:11">
      <c r="A277" s="3301">
        <v>275</v>
      </c>
      <c r="B277" s="3301" t="s">
        <v>3737</v>
      </c>
      <c r="C277" s="3301" t="s">
        <v>3395</v>
      </c>
      <c r="D277" s="3301" t="s">
        <v>3915</v>
      </c>
      <c r="E277" s="3301">
        <v>131.58000000000001</v>
      </c>
      <c r="F277" s="3301">
        <v>107.04</v>
      </c>
      <c r="G277" s="3301" t="s">
        <v>3738</v>
      </c>
      <c r="H277" s="3301" t="s">
        <v>3738</v>
      </c>
      <c r="I277" s="3301" t="s">
        <v>3738</v>
      </c>
      <c r="J277" s="3301" t="s">
        <v>3738</v>
      </c>
      <c r="K277" s="3301" t="str">
        <f>VLOOKUP(D277,[4]已网签!$C$3:$I$138,7,0)</f>
        <v>Y2721212</v>
      </c>
    </row>
    <row r="278" spans="1:11">
      <c r="A278" s="3301">
        <v>276</v>
      </c>
      <c r="B278" s="3301" t="s">
        <v>3737</v>
      </c>
      <c r="C278" s="3301" t="s">
        <v>3395</v>
      </c>
      <c r="D278" s="3301" t="s">
        <v>4625</v>
      </c>
      <c r="E278" s="3301">
        <v>115</v>
      </c>
      <c r="F278" s="3301">
        <v>93.55</v>
      </c>
      <c r="G278" s="3301" t="s">
        <v>3738</v>
      </c>
      <c r="H278" s="3301" t="s">
        <v>3738</v>
      </c>
      <c r="I278" s="3301"/>
      <c r="J278" s="3301"/>
      <c r="K278" s="3301"/>
    </row>
    <row r="279" spans="1:11">
      <c r="A279" s="3301">
        <v>277</v>
      </c>
      <c r="B279" s="3301" t="s">
        <v>3737</v>
      </c>
      <c r="C279" s="3301" t="s">
        <v>3395</v>
      </c>
      <c r="D279" s="3301" t="s">
        <v>4624</v>
      </c>
      <c r="E279" s="3301">
        <v>131.58000000000001</v>
      </c>
      <c r="F279" s="3301">
        <v>107.04</v>
      </c>
      <c r="G279" s="3301" t="s">
        <v>3738</v>
      </c>
      <c r="H279" s="3301" t="s">
        <v>3738</v>
      </c>
      <c r="I279" s="3301" t="s">
        <v>3738</v>
      </c>
      <c r="J279" s="3301" t="s">
        <v>3983</v>
      </c>
      <c r="K279" s="3301"/>
    </row>
    <row r="280" spans="1:11">
      <c r="A280" s="3301">
        <v>278</v>
      </c>
      <c r="B280" s="3301" t="s">
        <v>3737</v>
      </c>
      <c r="C280" s="3301" t="s">
        <v>3395</v>
      </c>
      <c r="D280" s="3301" t="s">
        <v>4623</v>
      </c>
      <c r="E280" s="3301">
        <v>115</v>
      </c>
      <c r="F280" s="3301">
        <v>93.55</v>
      </c>
      <c r="G280" s="3301" t="s">
        <v>3738</v>
      </c>
      <c r="H280" s="3301" t="s">
        <v>3738</v>
      </c>
      <c r="I280" s="3301"/>
      <c r="J280" s="3301"/>
      <c r="K280" s="3301"/>
    </row>
    <row r="281" spans="1:11">
      <c r="A281" s="3301">
        <v>279</v>
      </c>
      <c r="B281" s="3301" t="s">
        <v>3737</v>
      </c>
      <c r="C281" s="3301" t="s">
        <v>3395</v>
      </c>
      <c r="D281" s="3301" t="s">
        <v>4622</v>
      </c>
      <c r="E281" s="3301">
        <v>131.58000000000001</v>
      </c>
      <c r="F281" s="3301">
        <v>107.04</v>
      </c>
      <c r="G281" s="3301" t="s">
        <v>3738</v>
      </c>
      <c r="H281" s="3301" t="s">
        <v>3738</v>
      </c>
      <c r="I281" s="3301"/>
      <c r="J281" s="3301"/>
      <c r="K281" s="3301"/>
    </row>
    <row r="282" spans="1:11">
      <c r="A282" s="3301">
        <v>280</v>
      </c>
      <c r="B282" s="3301" t="s">
        <v>3737</v>
      </c>
      <c r="C282" s="3301" t="s">
        <v>3395</v>
      </c>
      <c r="D282" s="3301" t="s">
        <v>4621</v>
      </c>
      <c r="E282" s="3301">
        <v>129.09</v>
      </c>
      <c r="F282" s="3301">
        <v>107.04</v>
      </c>
      <c r="G282" s="3301" t="s">
        <v>3738</v>
      </c>
      <c r="H282" s="3301" t="s">
        <v>3738</v>
      </c>
      <c r="I282" s="3301"/>
      <c r="J282" s="3301"/>
      <c r="K282" s="3301"/>
    </row>
    <row r="283" spans="1:11">
      <c r="A283" s="3301">
        <v>281</v>
      </c>
      <c r="B283" s="3301" t="s">
        <v>3737</v>
      </c>
      <c r="C283" s="3301" t="s">
        <v>3395</v>
      </c>
      <c r="D283" s="3301" t="s">
        <v>4620</v>
      </c>
      <c r="E283" s="3301">
        <v>128.75</v>
      </c>
      <c r="F283" s="3301">
        <v>106.75</v>
      </c>
      <c r="G283" s="3301" t="s">
        <v>3738</v>
      </c>
      <c r="H283" s="3301" t="s">
        <v>3738</v>
      </c>
      <c r="I283" s="3301"/>
      <c r="J283" s="3301"/>
      <c r="K283" s="3301"/>
    </row>
    <row r="284" spans="1:11">
      <c r="A284" s="3301">
        <v>282</v>
      </c>
      <c r="B284" s="3301" t="s">
        <v>3737</v>
      </c>
      <c r="C284" s="3301" t="s">
        <v>3395</v>
      </c>
      <c r="D284" s="3301" t="s">
        <v>4619</v>
      </c>
      <c r="E284" s="3301">
        <v>129.09</v>
      </c>
      <c r="F284" s="3301">
        <v>107.04</v>
      </c>
      <c r="G284" s="3301" t="s">
        <v>3738</v>
      </c>
      <c r="H284" s="3301" t="s">
        <v>3738</v>
      </c>
      <c r="I284" s="3301"/>
      <c r="J284" s="3301"/>
      <c r="K284" s="3301"/>
    </row>
    <row r="285" spans="1:11">
      <c r="A285" s="3301">
        <v>283</v>
      </c>
      <c r="B285" s="3301" t="s">
        <v>3737</v>
      </c>
      <c r="C285" s="3301" t="s">
        <v>3395</v>
      </c>
      <c r="D285" s="3301" t="s">
        <v>4618</v>
      </c>
      <c r="E285" s="3301">
        <v>128.75</v>
      </c>
      <c r="F285" s="3301">
        <v>106.75</v>
      </c>
      <c r="G285" s="3301" t="s">
        <v>3738</v>
      </c>
      <c r="H285" s="3301" t="s">
        <v>3738</v>
      </c>
      <c r="I285" s="3301"/>
      <c r="J285" s="3301"/>
      <c r="K285" s="3301"/>
    </row>
    <row r="286" spans="1:11">
      <c r="A286" s="3301">
        <v>284</v>
      </c>
      <c r="B286" s="3301" t="s">
        <v>3737</v>
      </c>
      <c r="C286" s="3301" t="s">
        <v>3395</v>
      </c>
      <c r="D286" s="3301" t="s">
        <v>3943</v>
      </c>
      <c r="E286" s="3301">
        <v>129.09</v>
      </c>
      <c r="F286" s="3301">
        <v>107.04</v>
      </c>
      <c r="G286" s="3301" t="s">
        <v>3738</v>
      </c>
      <c r="H286" s="3301" t="s">
        <v>3738</v>
      </c>
      <c r="I286" s="3301" t="s">
        <v>3738</v>
      </c>
      <c r="J286" s="3301" t="s">
        <v>3738</v>
      </c>
      <c r="K286" s="3301" t="str">
        <f>VLOOKUP(D286,[4]已网签!$C$3:$I$138,7,0)</f>
        <v>Y2718857</v>
      </c>
    </row>
    <row r="287" spans="1:11">
      <c r="A287" s="3301">
        <v>285</v>
      </c>
      <c r="B287" s="3301" t="s">
        <v>3737</v>
      </c>
      <c r="C287" s="3301" t="s">
        <v>3395</v>
      </c>
      <c r="D287" s="3301" t="s">
        <v>3945</v>
      </c>
      <c r="E287" s="3301">
        <v>128.75</v>
      </c>
      <c r="F287" s="3301">
        <v>106.75</v>
      </c>
      <c r="G287" s="3301" t="s">
        <v>3738</v>
      </c>
      <c r="H287" s="3301" t="s">
        <v>3738</v>
      </c>
      <c r="I287" s="3301" t="s">
        <v>3738</v>
      </c>
      <c r="J287" s="3301" t="s">
        <v>3738</v>
      </c>
      <c r="K287" s="3301" t="str">
        <f>VLOOKUP(D287,[4]已网签!$C$3:$I$138,7,0)</f>
        <v>Y2718744</v>
      </c>
    </row>
    <row r="288" spans="1:11">
      <c r="A288" s="3301">
        <v>286</v>
      </c>
      <c r="B288" s="3301" t="s">
        <v>3737</v>
      </c>
      <c r="C288" s="3301" t="s">
        <v>3395</v>
      </c>
      <c r="D288" s="3301" t="s">
        <v>3935</v>
      </c>
      <c r="E288" s="3301">
        <v>129.09</v>
      </c>
      <c r="F288" s="3301">
        <v>107.04</v>
      </c>
      <c r="G288" s="3301" t="s">
        <v>3738</v>
      </c>
      <c r="H288" s="3301" t="s">
        <v>3738</v>
      </c>
      <c r="I288" s="3301" t="s">
        <v>3738</v>
      </c>
      <c r="J288" s="3301" t="s">
        <v>3738</v>
      </c>
      <c r="K288" s="3301" t="str">
        <f>VLOOKUP(D288,[4]已网签!$C$3:$I$138,7,0)</f>
        <v>Y2703322</v>
      </c>
    </row>
    <row r="289" spans="1:11">
      <c r="A289" s="3301">
        <v>287</v>
      </c>
      <c r="B289" s="3301" t="s">
        <v>3737</v>
      </c>
      <c r="C289" s="3301" t="s">
        <v>3395</v>
      </c>
      <c r="D289" s="3301" t="s">
        <v>4617</v>
      </c>
      <c r="E289" s="3301">
        <v>128.75</v>
      </c>
      <c r="F289" s="3301">
        <v>106.75</v>
      </c>
      <c r="G289" s="3301" t="s">
        <v>3738</v>
      </c>
      <c r="H289" s="3301" t="s">
        <v>3738</v>
      </c>
      <c r="I289" s="3301" t="s">
        <v>3738</v>
      </c>
      <c r="J289" s="3301" t="s">
        <v>3983</v>
      </c>
      <c r="K289" s="3301"/>
    </row>
    <row r="290" spans="1:11">
      <c r="A290" s="3301">
        <v>288</v>
      </c>
      <c r="B290" s="3301" t="s">
        <v>3737</v>
      </c>
      <c r="C290" s="3301" t="s">
        <v>3395</v>
      </c>
      <c r="D290" s="3301" t="s">
        <v>3931</v>
      </c>
      <c r="E290" s="3301">
        <v>129.09</v>
      </c>
      <c r="F290" s="3301">
        <v>107.04</v>
      </c>
      <c r="G290" s="3301" t="s">
        <v>3738</v>
      </c>
      <c r="H290" s="3301" t="s">
        <v>3738</v>
      </c>
      <c r="I290" s="3301" t="s">
        <v>3738</v>
      </c>
      <c r="J290" s="3301" t="s">
        <v>3738</v>
      </c>
      <c r="K290" s="3301" t="str">
        <f>VLOOKUP(D290,[4]已网签!$C$3:$I$138,7,0)</f>
        <v>Y2695904</v>
      </c>
    </row>
    <row r="291" spans="1:11">
      <c r="A291" s="3301">
        <v>289</v>
      </c>
      <c r="B291" s="3301" t="s">
        <v>3737</v>
      </c>
      <c r="C291" s="3301" t="s">
        <v>3395</v>
      </c>
      <c r="D291" s="3301" t="s">
        <v>3949</v>
      </c>
      <c r="E291" s="3301">
        <v>128.75</v>
      </c>
      <c r="F291" s="3301">
        <v>106.75</v>
      </c>
      <c r="G291" s="3301" t="s">
        <v>3738</v>
      </c>
      <c r="H291" s="3301" t="s">
        <v>3738</v>
      </c>
      <c r="I291" s="3301" t="s">
        <v>3738</v>
      </c>
      <c r="J291" s="3301" t="s">
        <v>3738</v>
      </c>
      <c r="K291" s="3301" t="str">
        <f>VLOOKUP(D291,[4]已网签!$C$3:$I$138,7,0)</f>
        <v>Y2722894</v>
      </c>
    </row>
    <row r="292" spans="1:11">
      <c r="A292" s="3301">
        <v>290</v>
      </c>
      <c r="B292" s="3301" t="s">
        <v>3737</v>
      </c>
      <c r="C292" s="3301" t="s">
        <v>3395</v>
      </c>
      <c r="D292" s="3301" t="s">
        <v>3937</v>
      </c>
      <c r="E292" s="3301">
        <v>129.09</v>
      </c>
      <c r="F292" s="3301">
        <v>107.04</v>
      </c>
      <c r="G292" s="3301" t="s">
        <v>3738</v>
      </c>
      <c r="H292" s="3301" t="s">
        <v>3738</v>
      </c>
      <c r="I292" s="3301" t="s">
        <v>3738</v>
      </c>
      <c r="J292" s="3301" t="s">
        <v>3738</v>
      </c>
      <c r="K292" s="3301" t="str">
        <f>VLOOKUP(D292,[4]已网签!$C$3:$I$138,7,0)</f>
        <v>Y2715836</v>
      </c>
    </row>
    <row r="293" spans="1:11">
      <c r="A293" s="3301">
        <v>291</v>
      </c>
      <c r="B293" s="3301" t="s">
        <v>3737</v>
      </c>
      <c r="C293" s="3301" t="s">
        <v>3395</v>
      </c>
      <c r="D293" s="3301" t="s">
        <v>3933</v>
      </c>
      <c r="E293" s="3301">
        <v>128.75</v>
      </c>
      <c r="F293" s="3301">
        <v>106.75</v>
      </c>
      <c r="G293" s="3301" t="s">
        <v>3738</v>
      </c>
      <c r="H293" s="3301" t="s">
        <v>3738</v>
      </c>
      <c r="I293" s="3301" t="s">
        <v>3738</v>
      </c>
      <c r="J293" s="3301" t="s">
        <v>3738</v>
      </c>
      <c r="K293" s="3301" t="str">
        <f>VLOOKUP(D293,[4]已网签!$C$3:$I$138,7,0)</f>
        <v>Y2696097</v>
      </c>
    </row>
    <row r="294" spans="1:11">
      <c r="A294" s="3301">
        <v>292</v>
      </c>
      <c r="B294" s="3301" t="s">
        <v>3737</v>
      </c>
      <c r="C294" s="3301" t="s">
        <v>3395</v>
      </c>
      <c r="D294" s="3301" t="s">
        <v>3953</v>
      </c>
      <c r="E294" s="3301">
        <v>129.09</v>
      </c>
      <c r="F294" s="3301">
        <v>107.04</v>
      </c>
      <c r="G294" s="3301" t="s">
        <v>3738</v>
      </c>
      <c r="H294" s="3301" t="s">
        <v>3738</v>
      </c>
      <c r="I294" s="3301" t="s">
        <v>3738</v>
      </c>
      <c r="J294" s="3301" t="s">
        <v>3738</v>
      </c>
      <c r="K294" s="3301" t="str">
        <f>VLOOKUP(D294,[4]已网签!$C$3:$I$138,7,0)</f>
        <v>Y2728037</v>
      </c>
    </row>
    <row r="295" spans="1:11">
      <c r="A295" s="3301">
        <v>293</v>
      </c>
      <c r="B295" s="3301" t="s">
        <v>3737</v>
      </c>
      <c r="C295" s="3301" t="s">
        <v>3395</v>
      </c>
      <c r="D295" s="3301" t="s">
        <v>3925</v>
      </c>
      <c r="E295" s="3301">
        <v>128.75</v>
      </c>
      <c r="F295" s="3301">
        <v>106.75</v>
      </c>
      <c r="G295" s="3301" t="s">
        <v>3738</v>
      </c>
      <c r="H295" s="3301" t="s">
        <v>3738</v>
      </c>
      <c r="I295" s="3301" t="s">
        <v>3738</v>
      </c>
      <c r="J295" s="3301" t="s">
        <v>3738</v>
      </c>
      <c r="K295" s="3301" t="str">
        <f>VLOOKUP(D295,[4]已网签!$C$3:$I$138,7,0)</f>
        <v>Y2690839</v>
      </c>
    </row>
    <row r="296" spans="1:11">
      <c r="A296" s="3301">
        <v>294</v>
      </c>
      <c r="B296" s="3301" t="s">
        <v>3737</v>
      </c>
      <c r="C296" s="3301" t="s">
        <v>3395</v>
      </c>
      <c r="D296" s="3301" t="s">
        <v>4616</v>
      </c>
      <c r="E296" s="3301">
        <v>129.09</v>
      </c>
      <c r="F296" s="3301">
        <v>107.04</v>
      </c>
      <c r="G296" s="3301" t="s">
        <v>3738</v>
      </c>
      <c r="H296" s="3301" t="s">
        <v>3738</v>
      </c>
      <c r="I296" s="3301"/>
      <c r="J296" s="3301"/>
      <c r="K296" s="3301"/>
    </row>
    <row r="297" spans="1:11">
      <c r="A297" s="3301">
        <v>295</v>
      </c>
      <c r="B297" s="3301" t="s">
        <v>3737</v>
      </c>
      <c r="C297" s="3301" t="s">
        <v>3395</v>
      </c>
      <c r="D297" s="3301" t="s">
        <v>4615</v>
      </c>
      <c r="E297" s="3301">
        <v>128.75</v>
      </c>
      <c r="F297" s="3301">
        <v>106.75</v>
      </c>
      <c r="G297" s="3301" t="s">
        <v>3738</v>
      </c>
      <c r="H297" s="3301" t="s">
        <v>3738</v>
      </c>
      <c r="I297" s="3301"/>
      <c r="J297" s="3301"/>
      <c r="K297" s="3301"/>
    </row>
    <row r="298" spans="1:11">
      <c r="A298" s="3301">
        <v>296</v>
      </c>
      <c r="B298" s="3301" t="s">
        <v>3737</v>
      </c>
      <c r="C298" s="3301" t="s">
        <v>3395</v>
      </c>
      <c r="D298" s="3301" t="s">
        <v>4614</v>
      </c>
      <c r="E298" s="3301">
        <v>128.75</v>
      </c>
      <c r="F298" s="3301">
        <v>106.75</v>
      </c>
      <c r="G298" s="3301" t="s">
        <v>3738</v>
      </c>
      <c r="H298" s="3301" t="s">
        <v>3738</v>
      </c>
      <c r="I298" s="3301"/>
      <c r="J298" s="3301"/>
      <c r="K298" s="3301"/>
    </row>
    <row r="299" spans="1:11">
      <c r="A299" s="3301">
        <v>297</v>
      </c>
      <c r="B299" s="3301" t="s">
        <v>3737</v>
      </c>
      <c r="C299" s="3301" t="s">
        <v>3395</v>
      </c>
      <c r="D299" s="3301" t="s">
        <v>4613</v>
      </c>
      <c r="E299" s="3301">
        <v>129.09</v>
      </c>
      <c r="F299" s="3301">
        <v>107.04</v>
      </c>
      <c r="G299" s="3301" t="s">
        <v>3738</v>
      </c>
      <c r="H299" s="3301" t="s">
        <v>3738</v>
      </c>
      <c r="I299" s="3301"/>
      <c r="J299" s="3301"/>
      <c r="K299" s="3301"/>
    </row>
    <row r="300" spans="1:11">
      <c r="A300" s="3301">
        <v>298</v>
      </c>
      <c r="B300" s="3301" t="s">
        <v>3737</v>
      </c>
      <c r="C300" s="3301" t="s">
        <v>3395</v>
      </c>
      <c r="D300" s="3301" t="s">
        <v>4612</v>
      </c>
      <c r="E300" s="3301">
        <v>128.75</v>
      </c>
      <c r="F300" s="3301">
        <v>106.75</v>
      </c>
      <c r="G300" s="3301" t="s">
        <v>3738</v>
      </c>
      <c r="H300" s="3301" t="s">
        <v>3738</v>
      </c>
      <c r="I300" s="3301"/>
      <c r="J300" s="3301"/>
      <c r="K300" s="3301"/>
    </row>
    <row r="301" spans="1:11">
      <c r="A301" s="3301">
        <v>299</v>
      </c>
      <c r="B301" s="3301" t="s">
        <v>3737</v>
      </c>
      <c r="C301" s="3301" t="s">
        <v>3395</v>
      </c>
      <c r="D301" s="3301" t="s">
        <v>4611</v>
      </c>
      <c r="E301" s="3301">
        <v>129.09</v>
      </c>
      <c r="F301" s="3301">
        <v>107.04</v>
      </c>
      <c r="G301" s="3301" t="s">
        <v>3738</v>
      </c>
      <c r="H301" s="3301" t="s">
        <v>3738</v>
      </c>
      <c r="I301" s="3301"/>
      <c r="J301" s="3301"/>
      <c r="K301" s="3301"/>
    </row>
    <row r="302" spans="1:11">
      <c r="A302" s="3301">
        <v>300</v>
      </c>
      <c r="B302" s="3301" t="s">
        <v>3737</v>
      </c>
      <c r="C302" s="3301" t="s">
        <v>3395</v>
      </c>
      <c r="D302" s="3301" t="s">
        <v>3929</v>
      </c>
      <c r="E302" s="3301">
        <v>128.75</v>
      </c>
      <c r="F302" s="3301">
        <v>106.75</v>
      </c>
      <c r="G302" s="3301" t="s">
        <v>3738</v>
      </c>
      <c r="H302" s="3301" t="s">
        <v>3738</v>
      </c>
      <c r="I302" s="3301" t="s">
        <v>3738</v>
      </c>
      <c r="J302" s="3301" t="s">
        <v>3738</v>
      </c>
      <c r="K302" s="3301" t="str">
        <f>VLOOKUP(D302,[4]已网签!$C$3:$I$138,7,0)</f>
        <v>Y2695221</v>
      </c>
    </row>
    <row r="303" spans="1:11">
      <c r="A303" s="3301">
        <v>301</v>
      </c>
      <c r="B303" s="3301" t="s">
        <v>3737</v>
      </c>
      <c r="C303" s="3301" t="s">
        <v>3395</v>
      </c>
      <c r="D303" s="3301" t="s">
        <v>3955</v>
      </c>
      <c r="E303" s="3301">
        <v>129.09</v>
      </c>
      <c r="F303" s="3301">
        <v>107.04</v>
      </c>
      <c r="G303" s="3301" t="s">
        <v>3738</v>
      </c>
      <c r="H303" s="3301" t="s">
        <v>3738</v>
      </c>
      <c r="I303" s="3301" t="s">
        <v>3738</v>
      </c>
      <c r="J303" s="3301" t="s">
        <v>3738</v>
      </c>
      <c r="K303" s="3301" t="str">
        <f>VLOOKUP(D303,[4]已网签!$C$3:$I$138,7,0)</f>
        <v>Y2730032</v>
      </c>
    </row>
    <row r="304" spans="1:11">
      <c r="A304" s="3301">
        <v>302</v>
      </c>
      <c r="B304" s="3301" t="s">
        <v>3737</v>
      </c>
      <c r="C304" s="3301" t="s">
        <v>3395</v>
      </c>
      <c r="D304" s="3301" t="s">
        <v>3941</v>
      </c>
      <c r="E304" s="3301">
        <v>128.75</v>
      </c>
      <c r="F304" s="3301">
        <v>106.75</v>
      </c>
      <c r="G304" s="3301" t="s">
        <v>3738</v>
      </c>
      <c r="H304" s="3301" t="s">
        <v>3738</v>
      </c>
      <c r="I304" s="3301" t="s">
        <v>3738</v>
      </c>
      <c r="J304" s="3301" t="s">
        <v>3738</v>
      </c>
      <c r="K304" s="3301" t="str">
        <f>VLOOKUP(D304,[4]已网签!$C$3:$I$138,7,0)</f>
        <v>Y2717907</v>
      </c>
    </row>
    <row r="305" spans="1:11">
      <c r="A305" s="3301">
        <v>303</v>
      </c>
      <c r="B305" s="3301" t="s">
        <v>3737</v>
      </c>
      <c r="C305" s="3301" t="s">
        <v>3395</v>
      </c>
      <c r="D305" s="3301" t="s">
        <v>3957</v>
      </c>
      <c r="E305" s="3301">
        <v>129.09</v>
      </c>
      <c r="F305" s="3301">
        <v>107.04</v>
      </c>
      <c r="G305" s="3301" t="s">
        <v>3738</v>
      </c>
      <c r="H305" s="3301" t="s">
        <v>3738</v>
      </c>
      <c r="I305" s="3301" t="s">
        <v>3738</v>
      </c>
      <c r="J305" s="3301" t="s">
        <v>3738</v>
      </c>
      <c r="K305" s="3301" t="str">
        <f>VLOOKUP(D305,[4]已网签!$C$3:$I$138,7,0)</f>
        <v>Y2742665</v>
      </c>
    </row>
    <row r="306" spans="1:11">
      <c r="A306" s="3301">
        <v>304</v>
      </c>
      <c r="B306" s="3301" t="s">
        <v>3737</v>
      </c>
      <c r="C306" s="3301" t="s">
        <v>3395</v>
      </c>
      <c r="D306" s="3301" t="s">
        <v>3939</v>
      </c>
      <c r="E306" s="3301">
        <v>128.75</v>
      </c>
      <c r="F306" s="3301">
        <v>106.75</v>
      </c>
      <c r="G306" s="3301" t="s">
        <v>3738</v>
      </c>
      <c r="H306" s="3301" t="s">
        <v>3738</v>
      </c>
      <c r="I306" s="3301" t="s">
        <v>3738</v>
      </c>
      <c r="J306" s="3301" t="s">
        <v>3738</v>
      </c>
      <c r="K306" s="3301" t="str">
        <f>VLOOKUP(D306,[4]已网签!$C$3:$I$138,7,0)</f>
        <v>Y2717624</v>
      </c>
    </row>
    <row r="307" spans="1:11">
      <c r="A307" s="3301">
        <v>305</v>
      </c>
      <c r="B307" s="3301" t="s">
        <v>3737</v>
      </c>
      <c r="C307" s="3301" t="s">
        <v>3395</v>
      </c>
      <c r="D307" s="3301" t="s">
        <v>4610</v>
      </c>
      <c r="E307" s="3301">
        <v>129.09</v>
      </c>
      <c r="F307" s="3301">
        <v>107.04</v>
      </c>
      <c r="G307" s="3301" t="s">
        <v>3738</v>
      </c>
      <c r="H307" s="3301" t="s">
        <v>3738</v>
      </c>
      <c r="I307" s="3301" t="s">
        <v>3738</v>
      </c>
      <c r="J307" s="3301" t="s">
        <v>3983</v>
      </c>
      <c r="K307" s="3301"/>
    </row>
    <row r="308" spans="1:11">
      <c r="A308" s="3301">
        <v>306</v>
      </c>
      <c r="B308" s="3301" t="s">
        <v>3737</v>
      </c>
      <c r="C308" s="3301" t="s">
        <v>3395</v>
      </c>
      <c r="D308" s="3301" t="s">
        <v>3951</v>
      </c>
      <c r="E308" s="3301">
        <v>128.75</v>
      </c>
      <c r="F308" s="3301">
        <v>106.75</v>
      </c>
      <c r="G308" s="3301" t="s">
        <v>3738</v>
      </c>
      <c r="H308" s="3301" t="s">
        <v>3738</v>
      </c>
      <c r="I308" s="3301" t="s">
        <v>3738</v>
      </c>
      <c r="J308" s="3301" t="s">
        <v>3738</v>
      </c>
      <c r="K308" s="3301" t="str">
        <f>VLOOKUP(D308,[4]已网签!$C$3:$I$138,7,0)</f>
        <v>Y2724607</v>
      </c>
    </row>
    <row r="309" spans="1:11">
      <c r="A309" s="3301">
        <v>307</v>
      </c>
      <c r="B309" s="3301" t="s">
        <v>3737</v>
      </c>
      <c r="C309" s="3301" t="s">
        <v>3395</v>
      </c>
      <c r="D309" s="3301" t="s">
        <v>3947</v>
      </c>
      <c r="E309" s="3301">
        <v>129.09</v>
      </c>
      <c r="F309" s="3301">
        <v>107.04</v>
      </c>
      <c r="G309" s="3301" t="s">
        <v>3738</v>
      </c>
      <c r="H309" s="3301" t="s">
        <v>3738</v>
      </c>
      <c r="I309" s="3301" t="s">
        <v>3738</v>
      </c>
      <c r="J309" s="3301" t="s">
        <v>3738</v>
      </c>
      <c r="K309" s="3301" t="str">
        <f>VLOOKUP(D309,[4]已网签!$C$3:$I$138,7,0)</f>
        <v>Y2720946</v>
      </c>
    </row>
    <row r="310" spans="1:11">
      <c r="A310" s="3301">
        <v>308</v>
      </c>
      <c r="B310" s="3301" t="s">
        <v>3737</v>
      </c>
      <c r="C310" s="3301" t="s">
        <v>3395</v>
      </c>
      <c r="D310" s="3301" t="s">
        <v>3927</v>
      </c>
      <c r="E310" s="3301">
        <v>128.75</v>
      </c>
      <c r="F310" s="3301">
        <v>106.75</v>
      </c>
      <c r="G310" s="3301" t="s">
        <v>3738</v>
      </c>
      <c r="H310" s="3301" t="s">
        <v>3738</v>
      </c>
      <c r="I310" s="3301" t="s">
        <v>3738</v>
      </c>
      <c r="J310" s="3301" t="s">
        <v>3738</v>
      </c>
      <c r="K310" s="3301" t="str">
        <f>VLOOKUP(D310,[4]已网签!$C$3:$I$138,7,0)</f>
        <v>Y2691689</v>
      </c>
    </row>
    <row r="311" spans="1:11">
      <c r="A311" s="3301">
        <v>309</v>
      </c>
      <c r="B311" s="3301" t="s">
        <v>3737</v>
      </c>
      <c r="C311" s="3301" t="s">
        <v>3395</v>
      </c>
      <c r="D311" s="3301" t="s">
        <v>3923</v>
      </c>
      <c r="E311" s="3301">
        <v>129.09</v>
      </c>
      <c r="F311" s="3301">
        <v>107.04</v>
      </c>
      <c r="G311" s="3301" t="s">
        <v>3738</v>
      </c>
      <c r="H311" s="3301" t="s">
        <v>3738</v>
      </c>
      <c r="I311" s="3301" t="s">
        <v>3738</v>
      </c>
      <c r="J311" s="3301" t="s">
        <v>3738</v>
      </c>
      <c r="K311" s="3301" t="str">
        <f>VLOOKUP(D311,[4]已网签!$C$3:$I$138,7,0)</f>
        <v>Y2690635</v>
      </c>
    </row>
    <row r="312" spans="1:11">
      <c r="A312" s="3301">
        <v>310</v>
      </c>
      <c r="B312" s="3301" t="s">
        <v>3737</v>
      </c>
      <c r="C312" s="3301" t="s">
        <v>3395</v>
      </c>
      <c r="D312" s="3301" t="s">
        <v>4609</v>
      </c>
      <c r="E312" s="3301">
        <v>128.75</v>
      </c>
      <c r="F312" s="3301">
        <v>106.75</v>
      </c>
      <c r="G312" s="3301" t="s">
        <v>3738</v>
      </c>
      <c r="H312" s="3301" t="s">
        <v>3738</v>
      </c>
      <c r="I312" s="3301"/>
      <c r="J312" s="3301"/>
      <c r="K312" s="3301"/>
    </row>
    <row r="313" spans="1:11">
      <c r="A313" s="3301">
        <v>311</v>
      </c>
      <c r="B313" s="3301" t="s">
        <v>3737</v>
      </c>
      <c r="C313" s="3301" t="s">
        <v>3395</v>
      </c>
      <c r="D313" s="3301" t="s">
        <v>4608</v>
      </c>
      <c r="E313" s="3301">
        <v>129.09</v>
      </c>
      <c r="F313" s="3301">
        <v>107.04</v>
      </c>
      <c r="G313" s="3301" t="s">
        <v>3738</v>
      </c>
      <c r="H313" s="3301" t="s">
        <v>3738</v>
      </c>
      <c r="I313" s="3301"/>
      <c r="J313" s="3301"/>
      <c r="K313" s="3301"/>
    </row>
    <row r="314" spans="1:11">
      <c r="A314" s="3301">
        <v>312</v>
      </c>
      <c r="B314" s="3301" t="s">
        <v>3737</v>
      </c>
      <c r="C314" s="3301" t="s">
        <v>3395</v>
      </c>
      <c r="D314" s="3301" t="s">
        <v>4607</v>
      </c>
      <c r="E314" s="3301">
        <v>129.69</v>
      </c>
      <c r="F314" s="3301">
        <v>107.04</v>
      </c>
      <c r="G314" s="3301" t="s">
        <v>3738</v>
      </c>
      <c r="H314" s="3301" t="s">
        <v>3738</v>
      </c>
      <c r="I314" s="3301"/>
      <c r="J314" s="3301"/>
      <c r="K314" s="3301"/>
    </row>
    <row r="315" spans="1:11">
      <c r="A315" s="3301">
        <v>313</v>
      </c>
      <c r="B315" s="3301" t="s">
        <v>3737</v>
      </c>
      <c r="C315" s="3301" t="s">
        <v>3395</v>
      </c>
      <c r="D315" s="3301" t="s">
        <v>4606</v>
      </c>
      <c r="E315" s="3301">
        <v>129.34</v>
      </c>
      <c r="F315" s="3301">
        <v>106.75</v>
      </c>
      <c r="G315" s="3301" t="s">
        <v>3738</v>
      </c>
      <c r="H315" s="3301" t="s">
        <v>3738</v>
      </c>
      <c r="I315" s="3301"/>
      <c r="J315" s="3301"/>
      <c r="K315" s="3301"/>
    </row>
    <row r="316" spans="1:11">
      <c r="A316" s="3301">
        <v>314</v>
      </c>
      <c r="B316" s="3301" t="s">
        <v>3737</v>
      </c>
      <c r="C316" s="3301" t="s">
        <v>3395</v>
      </c>
      <c r="D316" s="3301" t="s">
        <v>4605</v>
      </c>
      <c r="E316" s="3301">
        <v>129.69</v>
      </c>
      <c r="F316" s="3301">
        <v>107.04</v>
      </c>
      <c r="G316" s="3301" t="s">
        <v>3738</v>
      </c>
      <c r="H316" s="3301" t="s">
        <v>3738</v>
      </c>
      <c r="I316" s="3301"/>
      <c r="J316" s="3301"/>
      <c r="K316" s="3301"/>
    </row>
    <row r="317" spans="1:11">
      <c r="A317" s="3301">
        <v>315</v>
      </c>
      <c r="B317" s="3301" t="s">
        <v>3737</v>
      </c>
      <c r="C317" s="3301" t="s">
        <v>3395</v>
      </c>
      <c r="D317" s="3301" t="s">
        <v>4604</v>
      </c>
      <c r="E317" s="3301">
        <v>129.34</v>
      </c>
      <c r="F317" s="3301">
        <v>106.75</v>
      </c>
      <c r="G317" s="3301" t="s">
        <v>3738</v>
      </c>
      <c r="H317" s="3301" t="s">
        <v>3738</v>
      </c>
      <c r="I317" s="3301"/>
      <c r="J317" s="3301"/>
      <c r="K317" s="3301"/>
    </row>
    <row r="318" spans="1:11">
      <c r="A318" s="3301">
        <v>316</v>
      </c>
      <c r="B318" s="3301" t="s">
        <v>3737</v>
      </c>
      <c r="C318" s="3301" t="s">
        <v>3395</v>
      </c>
      <c r="D318" s="3301" t="s">
        <v>3979</v>
      </c>
      <c r="E318" s="3301">
        <v>129.69</v>
      </c>
      <c r="F318" s="3301">
        <v>107.04</v>
      </c>
      <c r="G318" s="3301" t="s">
        <v>3738</v>
      </c>
      <c r="H318" s="3301" t="s">
        <v>3738</v>
      </c>
      <c r="I318" s="3301" t="s">
        <v>3738</v>
      </c>
      <c r="J318" s="3301" t="s">
        <v>3738</v>
      </c>
      <c r="K318" s="3301" t="str">
        <f>VLOOKUP(D318,[4]已网签!$C$3:$I$138,7,0)</f>
        <v>Y2741713</v>
      </c>
    </row>
    <row r="319" spans="1:11">
      <c r="A319" s="3301">
        <v>317</v>
      </c>
      <c r="B319" s="3301" t="s">
        <v>3737</v>
      </c>
      <c r="C319" s="3301" t="s">
        <v>3395</v>
      </c>
      <c r="D319" s="3301" t="s">
        <v>3975</v>
      </c>
      <c r="E319" s="3301">
        <v>129.34</v>
      </c>
      <c r="F319" s="3301">
        <v>106.75</v>
      </c>
      <c r="G319" s="3301" t="s">
        <v>3738</v>
      </c>
      <c r="H319" s="3301" t="s">
        <v>3738</v>
      </c>
      <c r="I319" s="3301" t="s">
        <v>3738</v>
      </c>
      <c r="J319" s="3301" t="s">
        <v>3738</v>
      </c>
      <c r="K319" s="3301" t="str">
        <f>VLOOKUP(D319,[4]已网签!$C$3:$I$138,7,0)</f>
        <v>Y2740544</v>
      </c>
    </row>
    <row r="320" spans="1:11">
      <c r="A320" s="3301">
        <v>318</v>
      </c>
      <c r="B320" s="3301" t="s">
        <v>3737</v>
      </c>
      <c r="C320" s="3301" t="s">
        <v>3395</v>
      </c>
      <c r="D320" s="3301" t="s">
        <v>3969</v>
      </c>
      <c r="E320" s="3301">
        <v>129.69</v>
      </c>
      <c r="F320" s="3301">
        <v>107.04</v>
      </c>
      <c r="G320" s="3301" t="s">
        <v>3738</v>
      </c>
      <c r="H320" s="3301" t="s">
        <v>3738</v>
      </c>
      <c r="I320" s="3301" t="s">
        <v>3738</v>
      </c>
      <c r="J320" s="3301" t="s">
        <v>3738</v>
      </c>
      <c r="K320" s="3301" t="str">
        <f>VLOOKUP(D320,[4]已网签!$C$3:$I$138,7,0)</f>
        <v>Y2722718</v>
      </c>
    </row>
    <row r="321" spans="1:11">
      <c r="A321" s="3301">
        <v>319</v>
      </c>
      <c r="B321" s="3301" t="s">
        <v>3737</v>
      </c>
      <c r="C321" s="3301" t="s">
        <v>3395</v>
      </c>
      <c r="D321" s="3301" t="s">
        <v>4603</v>
      </c>
      <c r="E321" s="3301">
        <v>129.34</v>
      </c>
      <c r="F321" s="3301">
        <v>106.75</v>
      </c>
      <c r="G321" s="3301" t="s">
        <v>3738</v>
      </c>
      <c r="H321" s="3301" t="s">
        <v>3738</v>
      </c>
      <c r="I321" s="3301"/>
      <c r="J321" s="3301"/>
      <c r="K321" s="3301"/>
    </row>
    <row r="322" spans="1:11">
      <c r="A322" s="3301">
        <v>320</v>
      </c>
      <c r="B322" s="3301" t="s">
        <v>3737</v>
      </c>
      <c r="C322" s="3301" t="s">
        <v>3395</v>
      </c>
      <c r="D322" s="3301" t="s">
        <v>3971</v>
      </c>
      <c r="E322" s="3301">
        <v>129.69</v>
      </c>
      <c r="F322" s="3301">
        <v>107.04</v>
      </c>
      <c r="G322" s="3301" t="s">
        <v>3738</v>
      </c>
      <c r="H322" s="3301" t="s">
        <v>3738</v>
      </c>
      <c r="I322" s="3301" t="s">
        <v>3738</v>
      </c>
      <c r="J322" s="3301" t="s">
        <v>3738</v>
      </c>
      <c r="K322" s="3301" t="str">
        <f>VLOOKUP(D322,[4]已网签!$C$3:$I$138,7,0)</f>
        <v>Y2722860</v>
      </c>
    </row>
    <row r="323" spans="1:11">
      <c r="A323" s="3301">
        <v>321</v>
      </c>
      <c r="B323" s="3301" t="s">
        <v>3737</v>
      </c>
      <c r="C323" s="3301" t="s">
        <v>3395</v>
      </c>
      <c r="D323" s="3301" t="s">
        <v>3961</v>
      </c>
      <c r="E323" s="3301">
        <v>129.34</v>
      </c>
      <c r="F323" s="3301">
        <v>106.75</v>
      </c>
      <c r="G323" s="3301" t="s">
        <v>3738</v>
      </c>
      <c r="H323" s="3301" t="s">
        <v>3738</v>
      </c>
      <c r="I323" s="3301" t="s">
        <v>3738</v>
      </c>
      <c r="J323" s="3301" t="s">
        <v>3738</v>
      </c>
      <c r="K323" s="3301" t="str">
        <f>VLOOKUP(D323,[4]已网签!$C$3:$I$138,7,0)</f>
        <v>Y2691736</v>
      </c>
    </row>
    <row r="324" spans="1:11">
      <c r="A324" s="3301">
        <v>322</v>
      </c>
      <c r="B324" s="3301" t="s">
        <v>3737</v>
      </c>
      <c r="C324" s="3301" t="s">
        <v>3395</v>
      </c>
      <c r="D324" s="3301" t="s">
        <v>4602</v>
      </c>
      <c r="E324" s="3301">
        <v>129.69</v>
      </c>
      <c r="F324" s="3301">
        <v>107.04</v>
      </c>
      <c r="G324" s="3301" t="s">
        <v>3738</v>
      </c>
      <c r="H324" s="3301" t="s">
        <v>3738</v>
      </c>
      <c r="I324" s="3301"/>
      <c r="J324" s="3301"/>
      <c r="K324" s="3301"/>
    </row>
    <row r="325" spans="1:11">
      <c r="A325" s="3301">
        <v>323</v>
      </c>
      <c r="B325" s="3301" t="s">
        <v>3737</v>
      </c>
      <c r="C325" s="3301" t="s">
        <v>3395</v>
      </c>
      <c r="D325" s="3301" t="s">
        <v>4601</v>
      </c>
      <c r="E325" s="3301">
        <v>129.34</v>
      </c>
      <c r="F325" s="3301">
        <v>106.75</v>
      </c>
      <c r="G325" s="3301" t="s">
        <v>3738</v>
      </c>
      <c r="H325" s="3301" t="s">
        <v>3738</v>
      </c>
      <c r="I325" s="3301"/>
      <c r="J325" s="3301"/>
      <c r="K325" s="3301"/>
    </row>
    <row r="326" spans="1:11">
      <c r="A326" s="3301">
        <v>324</v>
      </c>
      <c r="B326" s="3301" t="s">
        <v>3737</v>
      </c>
      <c r="C326" s="3301" t="s">
        <v>3395</v>
      </c>
      <c r="D326" s="3301" t="s">
        <v>4600</v>
      </c>
      <c r="E326" s="3301">
        <v>129.34</v>
      </c>
      <c r="F326" s="3301">
        <v>106.75</v>
      </c>
      <c r="G326" s="3301" t="s">
        <v>3738</v>
      </c>
      <c r="H326" s="3301" t="s">
        <v>3738</v>
      </c>
      <c r="I326" s="3301"/>
      <c r="J326" s="3301"/>
      <c r="K326" s="3301"/>
    </row>
    <row r="327" spans="1:11">
      <c r="A327" s="3301">
        <v>325</v>
      </c>
      <c r="B327" s="3301" t="s">
        <v>3737</v>
      </c>
      <c r="C327" s="3301" t="s">
        <v>3395</v>
      </c>
      <c r="D327" s="3301" t="s">
        <v>4599</v>
      </c>
      <c r="E327" s="3301">
        <v>129.69</v>
      </c>
      <c r="F327" s="3301">
        <v>107.04</v>
      </c>
      <c r="G327" s="3301" t="s">
        <v>3738</v>
      </c>
      <c r="H327" s="3301" t="s">
        <v>3738</v>
      </c>
      <c r="I327" s="3301"/>
      <c r="J327" s="3301"/>
      <c r="K327" s="3301"/>
    </row>
    <row r="328" spans="1:11">
      <c r="A328" s="3301">
        <v>326</v>
      </c>
      <c r="B328" s="3301" t="s">
        <v>3737</v>
      </c>
      <c r="C328" s="3301" t="s">
        <v>3395</v>
      </c>
      <c r="D328" s="3301" t="s">
        <v>4598</v>
      </c>
      <c r="E328" s="3301">
        <v>129.34</v>
      </c>
      <c r="F328" s="3301">
        <v>106.75</v>
      </c>
      <c r="G328" s="3301" t="s">
        <v>3738</v>
      </c>
      <c r="H328" s="3301" t="s">
        <v>3738</v>
      </c>
      <c r="I328" s="3301"/>
      <c r="J328" s="3301"/>
      <c r="K328" s="3301"/>
    </row>
    <row r="329" spans="1:11">
      <c r="A329" s="3301">
        <v>327</v>
      </c>
      <c r="B329" s="3301" t="s">
        <v>3737</v>
      </c>
      <c r="C329" s="3301" t="s">
        <v>3395</v>
      </c>
      <c r="D329" s="3301" t="s">
        <v>4597</v>
      </c>
      <c r="E329" s="3301">
        <v>129.69</v>
      </c>
      <c r="F329" s="3301">
        <v>107.04</v>
      </c>
      <c r="G329" s="3301" t="s">
        <v>3738</v>
      </c>
      <c r="H329" s="3301" t="s">
        <v>3738</v>
      </c>
      <c r="I329" s="3301"/>
      <c r="J329" s="3301"/>
      <c r="K329" s="3301"/>
    </row>
    <row r="330" spans="1:11">
      <c r="A330" s="3301">
        <v>328</v>
      </c>
      <c r="B330" s="3301" t="s">
        <v>3737</v>
      </c>
      <c r="C330" s="3301" t="s">
        <v>3395</v>
      </c>
      <c r="D330" s="3301" t="s">
        <v>3967</v>
      </c>
      <c r="E330" s="3301">
        <v>129.34</v>
      </c>
      <c r="F330" s="3301">
        <v>106.75</v>
      </c>
      <c r="G330" s="3301" t="s">
        <v>3738</v>
      </c>
      <c r="H330" s="3301" t="s">
        <v>3738</v>
      </c>
      <c r="I330" s="3301" t="s">
        <v>3738</v>
      </c>
      <c r="J330" s="3301" t="s">
        <v>3738</v>
      </c>
      <c r="K330" s="3301" t="str">
        <f>VLOOKUP(D330,[4]已网签!$C$3:$I$138,7,0)</f>
        <v>Y2720728</v>
      </c>
    </row>
    <row r="331" spans="1:11">
      <c r="A331" s="3301">
        <v>329</v>
      </c>
      <c r="B331" s="3301" t="s">
        <v>3737</v>
      </c>
      <c r="C331" s="3301" t="s">
        <v>3395</v>
      </c>
      <c r="D331" s="3301" t="s">
        <v>3977</v>
      </c>
      <c r="E331" s="3301">
        <v>129.69</v>
      </c>
      <c r="F331" s="3301">
        <v>107.04</v>
      </c>
      <c r="G331" s="3301" t="s">
        <v>3738</v>
      </c>
      <c r="H331" s="3301" t="s">
        <v>3738</v>
      </c>
      <c r="I331" s="3301" t="s">
        <v>3738</v>
      </c>
      <c r="J331" s="3301" t="s">
        <v>3738</v>
      </c>
      <c r="K331" s="3301" t="str">
        <f>VLOOKUP(D331,[4]已网签!$C$3:$I$138,7,0)</f>
        <v>Y2729439</v>
      </c>
    </row>
    <row r="332" spans="1:11">
      <c r="A332" s="3301">
        <v>330</v>
      </c>
      <c r="B332" s="3301" t="s">
        <v>3737</v>
      </c>
      <c r="C332" s="3301" t="s">
        <v>3395</v>
      </c>
      <c r="D332" s="3301" t="s">
        <v>3959</v>
      </c>
      <c r="E332" s="3301">
        <v>129.34</v>
      </c>
      <c r="F332" s="3301">
        <v>106.75</v>
      </c>
      <c r="G332" s="3301" t="s">
        <v>3738</v>
      </c>
      <c r="H332" s="3301" t="s">
        <v>3738</v>
      </c>
      <c r="I332" s="3301" t="s">
        <v>3738</v>
      </c>
      <c r="J332" s="3301" t="s">
        <v>3738</v>
      </c>
      <c r="K332" s="3301" t="str">
        <f>VLOOKUP(D332,[4]已网签!$C$3:$I$138,7,0)</f>
        <v>Y2689762</v>
      </c>
    </row>
    <row r="333" spans="1:11">
      <c r="A333" s="3301">
        <v>331</v>
      </c>
      <c r="B333" s="3301" t="s">
        <v>3737</v>
      </c>
      <c r="C333" s="3301" t="s">
        <v>3395</v>
      </c>
      <c r="D333" s="3301" t="s">
        <v>3973</v>
      </c>
      <c r="E333" s="3301">
        <v>129.69</v>
      </c>
      <c r="F333" s="3301">
        <v>107.04</v>
      </c>
      <c r="G333" s="3301" t="s">
        <v>3738</v>
      </c>
      <c r="H333" s="3301" t="s">
        <v>3738</v>
      </c>
      <c r="I333" s="3301" t="s">
        <v>3738</v>
      </c>
      <c r="J333" s="3301" t="s">
        <v>3738</v>
      </c>
      <c r="K333" s="3301" t="str">
        <f>VLOOKUP(D333,[4]已网签!$C$3:$I$138,7,0)</f>
        <v>Y2728474</v>
      </c>
    </row>
    <row r="334" spans="1:11">
      <c r="A334" s="3301">
        <v>332</v>
      </c>
      <c r="B334" s="3301" t="s">
        <v>3737</v>
      </c>
      <c r="C334" s="3301" t="s">
        <v>3395</v>
      </c>
      <c r="D334" s="3301" t="s">
        <v>3965</v>
      </c>
      <c r="E334" s="3301">
        <v>129.34</v>
      </c>
      <c r="F334" s="3301">
        <v>106.75</v>
      </c>
      <c r="G334" s="3301" t="s">
        <v>3738</v>
      </c>
      <c r="H334" s="3301" t="s">
        <v>3738</v>
      </c>
      <c r="I334" s="3301" t="s">
        <v>3738</v>
      </c>
      <c r="J334" s="3301" t="s">
        <v>3738</v>
      </c>
      <c r="K334" s="3301" t="str">
        <f>VLOOKUP(D334,[4]已网签!$C$3:$I$138,7,0)</f>
        <v>Y2710226</v>
      </c>
    </row>
    <row r="335" spans="1:11">
      <c r="A335" s="3301">
        <v>333</v>
      </c>
      <c r="B335" s="3301" t="s">
        <v>3737</v>
      </c>
      <c r="C335" s="3301" t="s">
        <v>3395</v>
      </c>
      <c r="D335" s="3301" t="s">
        <v>3963</v>
      </c>
      <c r="E335" s="3301">
        <v>129.69</v>
      </c>
      <c r="F335" s="3301">
        <v>107.04</v>
      </c>
      <c r="G335" s="3301" t="s">
        <v>3738</v>
      </c>
      <c r="H335" s="3301" t="s">
        <v>3738</v>
      </c>
      <c r="I335" s="3301" t="s">
        <v>3738</v>
      </c>
      <c r="J335" s="3301" t="s">
        <v>3738</v>
      </c>
      <c r="K335" s="3301" t="str">
        <f>VLOOKUP(D335,[4]已网签!$C$3:$I$138,7,0)</f>
        <v>Y2694661</v>
      </c>
    </row>
    <row r="336" spans="1:11">
      <c r="A336" s="3301">
        <v>334</v>
      </c>
      <c r="B336" s="3301" t="s">
        <v>3737</v>
      </c>
      <c r="C336" s="3301" t="s">
        <v>3395</v>
      </c>
      <c r="D336" s="3301" t="s">
        <v>4596</v>
      </c>
      <c r="E336" s="3301">
        <v>129.34</v>
      </c>
      <c r="F336" s="3301">
        <v>106.75</v>
      </c>
      <c r="G336" s="3301" t="s">
        <v>3738</v>
      </c>
      <c r="H336" s="3301" t="s">
        <v>3738</v>
      </c>
      <c r="I336" s="3301" t="s">
        <v>3738</v>
      </c>
      <c r="J336" s="3301" t="s">
        <v>3983</v>
      </c>
      <c r="K336" s="3301"/>
    </row>
    <row r="337" spans="1:11" ht="15" customHeight="1">
      <c r="A337" s="3301">
        <v>335</v>
      </c>
      <c r="B337" s="3301" t="s">
        <v>3737</v>
      </c>
      <c r="C337" s="3301" t="s">
        <v>3395</v>
      </c>
      <c r="D337" s="3301" t="s">
        <v>4595</v>
      </c>
      <c r="E337" s="3301">
        <v>129.69</v>
      </c>
      <c r="F337" s="3301">
        <v>107.04</v>
      </c>
      <c r="G337" s="3301" t="s">
        <v>3738</v>
      </c>
      <c r="H337" s="3301" t="s">
        <v>3738</v>
      </c>
      <c r="I337" s="3301"/>
      <c r="J337" s="3301"/>
      <c r="K337" s="3301"/>
    </row>
    <row r="338" spans="1:11">
      <c r="A338" s="3301">
        <v>1</v>
      </c>
      <c r="B338" s="3301" t="s">
        <v>3737</v>
      </c>
      <c r="C338" s="3301" t="s">
        <v>3324</v>
      </c>
      <c r="D338" s="3301" t="s">
        <v>4594</v>
      </c>
      <c r="E338" s="3301">
        <v>7.15</v>
      </c>
      <c r="F338" s="3301">
        <v>7.15</v>
      </c>
      <c r="G338" s="3301" t="s">
        <v>3738</v>
      </c>
      <c r="H338" s="3301" t="s">
        <v>3738</v>
      </c>
      <c r="I338" s="3301"/>
      <c r="J338" s="3301"/>
      <c r="K338" s="3301"/>
    </row>
    <row r="339" spans="1:11">
      <c r="A339" s="3301">
        <v>2</v>
      </c>
      <c r="B339" s="3301" t="s">
        <v>3737</v>
      </c>
      <c r="C339" s="3301" t="s">
        <v>3324</v>
      </c>
      <c r="D339" s="3301" t="s">
        <v>4593</v>
      </c>
      <c r="E339" s="3301">
        <v>15.12</v>
      </c>
      <c r="F339" s="3301">
        <v>15.12</v>
      </c>
      <c r="G339" s="3301" t="s">
        <v>3738</v>
      </c>
      <c r="H339" s="3301" t="s">
        <v>3738</v>
      </c>
      <c r="I339" s="3301"/>
      <c r="J339" s="3301"/>
      <c r="K339" s="3301"/>
    </row>
    <row r="340" spans="1:11">
      <c r="A340" s="3301">
        <v>3</v>
      </c>
      <c r="B340" s="3301" t="s">
        <v>3737</v>
      </c>
      <c r="C340" s="3301" t="s">
        <v>3324</v>
      </c>
      <c r="D340" s="3301" t="s">
        <v>4592</v>
      </c>
      <c r="E340" s="3301">
        <v>10.56</v>
      </c>
      <c r="F340" s="3301">
        <v>10.56</v>
      </c>
      <c r="G340" s="3301" t="s">
        <v>3738</v>
      </c>
      <c r="H340" s="3301" t="s">
        <v>3738</v>
      </c>
      <c r="I340" s="3301"/>
      <c r="J340" s="3301"/>
      <c r="K340" s="3301"/>
    </row>
    <row r="341" spans="1:11">
      <c r="A341" s="3301">
        <v>4</v>
      </c>
      <c r="B341" s="3301" t="s">
        <v>3737</v>
      </c>
      <c r="C341" s="3301" t="s">
        <v>3324</v>
      </c>
      <c r="D341" s="3301" t="s">
        <v>4591</v>
      </c>
      <c r="E341" s="3301">
        <v>14.41</v>
      </c>
      <c r="F341" s="3301">
        <v>7.15</v>
      </c>
      <c r="G341" s="3301" t="s">
        <v>3738</v>
      </c>
      <c r="H341" s="3301" t="s">
        <v>3738</v>
      </c>
      <c r="I341" s="3301"/>
      <c r="J341" s="3301"/>
      <c r="K341" s="3301"/>
    </row>
    <row r="342" spans="1:11">
      <c r="A342" s="3301">
        <v>5</v>
      </c>
      <c r="B342" s="3301" t="s">
        <v>3737</v>
      </c>
      <c r="C342" s="3301" t="s">
        <v>3324</v>
      </c>
      <c r="D342" s="3301" t="s">
        <v>4590</v>
      </c>
      <c r="E342" s="3301">
        <v>16.98</v>
      </c>
      <c r="F342" s="3301">
        <v>8.42</v>
      </c>
      <c r="G342" s="3301" t="s">
        <v>3738</v>
      </c>
      <c r="H342" s="3301" t="s">
        <v>3738</v>
      </c>
      <c r="I342" s="3301"/>
      <c r="J342" s="3301"/>
      <c r="K342" s="3301"/>
    </row>
    <row r="343" spans="1:11">
      <c r="A343" s="3301">
        <v>6</v>
      </c>
      <c r="B343" s="3301" t="s">
        <v>3737</v>
      </c>
      <c r="C343" s="3301" t="s">
        <v>3324</v>
      </c>
      <c r="D343" s="3301" t="s">
        <v>4589</v>
      </c>
      <c r="E343" s="3301">
        <v>27.92</v>
      </c>
      <c r="F343" s="3301">
        <v>13.85</v>
      </c>
      <c r="G343" s="3301" t="s">
        <v>3738</v>
      </c>
      <c r="H343" s="3301" t="s">
        <v>3738</v>
      </c>
      <c r="I343" s="3301"/>
      <c r="J343" s="3301"/>
      <c r="K343" s="3301"/>
    </row>
    <row r="344" spans="1:11">
      <c r="A344" s="3301">
        <v>7</v>
      </c>
      <c r="B344" s="3301" t="s">
        <v>3737</v>
      </c>
      <c r="C344" s="3301" t="s">
        <v>3324</v>
      </c>
      <c r="D344" s="3301" t="s">
        <v>4588</v>
      </c>
      <c r="E344" s="3301">
        <v>22.8</v>
      </c>
      <c r="F344" s="3301">
        <v>11.31</v>
      </c>
      <c r="G344" s="3301" t="s">
        <v>3738</v>
      </c>
      <c r="H344" s="3301" t="s">
        <v>3738</v>
      </c>
      <c r="I344" s="3301"/>
      <c r="J344" s="3301"/>
      <c r="K344" s="3301"/>
    </row>
    <row r="345" spans="1:11">
      <c r="A345" s="3301">
        <v>8</v>
      </c>
      <c r="B345" s="3301" t="s">
        <v>3737</v>
      </c>
      <c r="C345" s="3301" t="s">
        <v>3324</v>
      </c>
      <c r="D345" s="3301" t="s">
        <v>4587</v>
      </c>
      <c r="E345" s="3301">
        <v>35.380000000000003</v>
      </c>
      <c r="F345" s="3301">
        <v>17.55</v>
      </c>
      <c r="G345" s="3301" t="s">
        <v>3738</v>
      </c>
      <c r="H345" s="3301" t="s">
        <v>3738</v>
      </c>
      <c r="I345" s="3301"/>
      <c r="J345" s="3301"/>
      <c r="K345" s="3301"/>
    </row>
    <row r="346" spans="1:11">
      <c r="A346" s="3301">
        <v>9</v>
      </c>
      <c r="B346" s="3301" t="s">
        <v>3737</v>
      </c>
      <c r="C346" s="3301" t="s">
        <v>3324</v>
      </c>
      <c r="D346" s="3301" t="s">
        <v>4586</v>
      </c>
      <c r="E346" s="3301">
        <v>37.07</v>
      </c>
      <c r="F346" s="3301">
        <v>18.39</v>
      </c>
      <c r="G346" s="3301" t="s">
        <v>3738</v>
      </c>
      <c r="H346" s="3301" t="s">
        <v>3738</v>
      </c>
      <c r="I346" s="3301"/>
      <c r="J346" s="3301"/>
      <c r="K346" s="3301"/>
    </row>
    <row r="347" spans="1:11">
      <c r="A347" s="3301">
        <v>10</v>
      </c>
      <c r="B347" s="3301" t="s">
        <v>3737</v>
      </c>
      <c r="C347" s="3301" t="s">
        <v>3324</v>
      </c>
      <c r="D347" s="3301" t="s">
        <v>4585</v>
      </c>
      <c r="E347" s="3301">
        <v>29.15</v>
      </c>
      <c r="F347" s="3301">
        <v>14.46</v>
      </c>
      <c r="G347" s="3301" t="s">
        <v>3738</v>
      </c>
      <c r="H347" s="3301" t="s">
        <v>3738</v>
      </c>
      <c r="I347" s="3301"/>
      <c r="J347" s="3301"/>
      <c r="K347" s="3301"/>
    </row>
    <row r="348" spans="1:11">
      <c r="A348" s="3301">
        <v>11</v>
      </c>
      <c r="B348" s="3301" t="s">
        <v>3737</v>
      </c>
      <c r="C348" s="3301" t="s">
        <v>3324</v>
      </c>
      <c r="D348" s="3301" t="s">
        <v>4584</v>
      </c>
      <c r="E348" s="3301">
        <v>33.020000000000003</v>
      </c>
      <c r="F348" s="3301">
        <v>16.38</v>
      </c>
      <c r="G348" s="3301" t="s">
        <v>3738</v>
      </c>
      <c r="H348" s="3301" t="s">
        <v>3738</v>
      </c>
      <c r="I348" s="3301"/>
      <c r="J348" s="3301"/>
      <c r="K348" s="3301"/>
    </row>
    <row r="349" spans="1:11">
      <c r="A349" s="3301">
        <v>12</v>
      </c>
      <c r="B349" s="3301" t="s">
        <v>3737</v>
      </c>
      <c r="C349" s="3301" t="s">
        <v>3324</v>
      </c>
      <c r="D349" s="3301" t="s">
        <v>4583</v>
      </c>
      <c r="E349" s="3301">
        <v>24.98</v>
      </c>
      <c r="F349" s="3301">
        <v>12.39</v>
      </c>
      <c r="G349" s="3301" t="s">
        <v>3738</v>
      </c>
      <c r="H349" s="3301" t="s">
        <v>3738</v>
      </c>
      <c r="I349" s="3301"/>
      <c r="J349" s="3301"/>
      <c r="K349" s="3301"/>
    </row>
    <row r="350" spans="1:11">
      <c r="A350" s="3301">
        <v>13</v>
      </c>
      <c r="B350" s="3301" t="s">
        <v>3737</v>
      </c>
      <c r="C350" s="3301" t="s">
        <v>3324</v>
      </c>
      <c r="D350" s="3301" t="s">
        <v>4582</v>
      </c>
      <c r="E350" s="3301">
        <v>22.3</v>
      </c>
      <c r="F350" s="3301">
        <v>11.06</v>
      </c>
      <c r="G350" s="3301" t="s">
        <v>3738</v>
      </c>
      <c r="H350" s="3301" t="s">
        <v>3738</v>
      </c>
      <c r="I350" s="3301"/>
      <c r="J350" s="3301"/>
      <c r="K350" s="3301"/>
    </row>
    <row r="351" spans="1:11">
      <c r="A351" s="3301">
        <v>14</v>
      </c>
      <c r="B351" s="3301" t="s">
        <v>3737</v>
      </c>
      <c r="C351" s="3301" t="s">
        <v>3324</v>
      </c>
      <c r="D351" s="3301" t="s">
        <v>4581</v>
      </c>
      <c r="E351" s="3301">
        <v>16.05</v>
      </c>
      <c r="F351" s="3301">
        <v>8.4499999999999993</v>
      </c>
      <c r="G351" s="3301" t="s">
        <v>3738</v>
      </c>
      <c r="H351" s="3301" t="s">
        <v>3738</v>
      </c>
      <c r="I351" s="3301"/>
      <c r="J351" s="3301"/>
      <c r="K351" s="3301"/>
    </row>
    <row r="352" spans="1:11">
      <c r="A352" s="3301">
        <v>15</v>
      </c>
      <c r="B352" s="3301" t="s">
        <v>3737</v>
      </c>
      <c r="C352" s="3301" t="s">
        <v>3324</v>
      </c>
      <c r="D352" s="3301" t="s">
        <v>4580</v>
      </c>
      <c r="E352" s="3301">
        <v>12.8</v>
      </c>
      <c r="F352" s="3301">
        <v>6.74</v>
      </c>
      <c r="G352" s="3301" t="s">
        <v>3738</v>
      </c>
      <c r="H352" s="3301" t="s">
        <v>3738</v>
      </c>
      <c r="I352" s="3301"/>
      <c r="J352" s="3301"/>
      <c r="K352" s="3301"/>
    </row>
    <row r="353" spans="1:11">
      <c r="A353" s="3301">
        <v>16</v>
      </c>
      <c r="B353" s="3301" t="s">
        <v>3737</v>
      </c>
      <c r="C353" s="3301" t="s">
        <v>3324</v>
      </c>
      <c r="D353" s="3301" t="s">
        <v>4579</v>
      </c>
      <c r="E353" s="3301">
        <v>32.409999999999997</v>
      </c>
      <c r="F353" s="3301">
        <v>17.059999999999999</v>
      </c>
      <c r="G353" s="3301" t="s">
        <v>3738</v>
      </c>
      <c r="H353" s="3301" t="s">
        <v>3738</v>
      </c>
      <c r="I353" s="3301"/>
      <c r="J353" s="3301"/>
      <c r="K353" s="3301"/>
    </row>
    <row r="354" spans="1:11">
      <c r="A354" s="3301">
        <v>17</v>
      </c>
      <c r="B354" s="3301" t="s">
        <v>3737</v>
      </c>
      <c r="C354" s="3301" t="s">
        <v>3324</v>
      </c>
      <c r="D354" s="3301" t="s">
        <v>4578</v>
      </c>
      <c r="E354" s="3301">
        <v>10.45</v>
      </c>
      <c r="F354" s="3301">
        <v>5.5</v>
      </c>
      <c r="G354" s="3301" t="s">
        <v>3738</v>
      </c>
      <c r="H354" s="3301" t="s">
        <v>3738</v>
      </c>
      <c r="I354" s="3301"/>
      <c r="J354" s="3301"/>
      <c r="K354" s="3301"/>
    </row>
    <row r="355" spans="1:11">
      <c r="A355" s="3301">
        <v>18</v>
      </c>
      <c r="B355" s="3301" t="s">
        <v>3737</v>
      </c>
      <c r="C355" s="3301" t="s">
        <v>3324</v>
      </c>
      <c r="D355" s="3301" t="s">
        <v>4577</v>
      </c>
      <c r="E355" s="3301">
        <v>13.79</v>
      </c>
      <c r="F355" s="3301">
        <v>7.26</v>
      </c>
      <c r="G355" s="3301" t="s">
        <v>3738</v>
      </c>
      <c r="H355" s="3301" t="s">
        <v>3738</v>
      </c>
      <c r="I355" s="3301"/>
      <c r="J355" s="3301"/>
      <c r="K355" s="3301"/>
    </row>
    <row r="356" spans="1:11">
      <c r="A356" s="3301">
        <v>19</v>
      </c>
      <c r="B356" s="3301" t="s">
        <v>3737</v>
      </c>
      <c r="C356" s="3301" t="s">
        <v>3324</v>
      </c>
      <c r="D356" s="3301" t="s">
        <v>4576</v>
      </c>
      <c r="E356" s="3301">
        <v>25.29</v>
      </c>
      <c r="F356" s="3301">
        <v>13.31</v>
      </c>
      <c r="G356" s="3301" t="s">
        <v>3738</v>
      </c>
      <c r="H356" s="3301" t="s">
        <v>3738</v>
      </c>
      <c r="I356" s="3301"/>
      <c r="J356" s="3301"/>
      <c r="K356" s="3301"/>
    </row>
    <row r="357" spans="1:11">
      <c r="A357" s="3301">
        <v>20</v>
      </c>
      <c r="B357" s="3301" t="s">
        <v>3737</v>
      </c>
      <c r="C357" s="3301" t="s">
        <v>3324</v>
      </c>
      <c r="D357" s="3301" t="s">
        <v>4575</v>
      </c>
      <c r="E357" s="3301">
        <v>27.41</v>
      </c>
      <c r="F357" s="3301">
        <v>14.43</v>
      </c>
      <c r="G357" s="3301" t="s">
        <v>3738</v>
      </c>
      <c r="H357" s="3301" t="s">
        <v>3738</v>
      </c>
      <c r="I357" s="3301"/>
      <c r="J357" s="3301"/>
      <c r="K357" s="3301"/>
    </row>
    <row r="358" spans="1:11">
      <c r="A358" s="3301">
        <v>21</v>
      </c>
      <c r="B358" s="3301" t="s">
        <v>3737</v>
      </c>
      <c r="C358" s="3301" t="s">
        <v>3324</v>
      </c>
      <c r="D358" s="3301" t="s">
        <v>4574</v>
      </c>
      <c r="E358" s="3301">
        <v>16.22</v>
      </c>
      <c r="F358" s="3301">
        <v>8.5399999999999991</v>
      </c>
      <c r="G358" s="3301" t="s">
        <v>3738</v>
      </c>
      <c r="H358" s="3301" t="s">
        <v>3738</v>
      </c>
      <c r="I358" s="3301"/>
      <c r="J358" s="3301"/>
      <c r="K358" s="3301"/>
    </row>
    <row r="359" spans="1:11">
      <c r="A359" s="3301">
        <v>22</v>
      </c>
      <c r="B359" s="3301" t="s">
        <v>3737</v>
      </c>
      <c r="C359" s="3301" t="s">
        <v>3324</v>
      </c>
      <c r="D359" s="3301" t="s">
        <v>4573</v>
      </c>
      <c r="E359" s="3301">
        <v>16.149999999999999</v>
      </c>
      <c r="F359" s="3301">
        <v>8.5</v>
      </c>
      <c r="G359" s="3301" t="s">
        <v>3738</v>
      </c>
      <c r="H359" s="3301" t="s">
        <v>3738</v>
      </c>
      <c r="I359" s="3301"/>
      <c r="J359" s="3301"/>
      <c r="K359" s="3301"/>
    </row>
    <row r="360" spans="1:11">
      <c r="A360" s="3301">
        <v>23</v>
      </c>
      <c r="B360" s="3301" t="s">
        <v>3737</v>
      </c>
      <c r="C360" s="3301" t="s">
        <v>3324</v>
      </c>
      <c r="D360" s="3301" t="s">
        <v>4572</v>
      </c>
      <c r="E360" s="3301">
        <v>38.36</v>
      </c>
      <c r="F360" s="3301">
        <v>20.190000000000001</v>
      </c>
      <c r="G360" s="3301" t="s">
        <v>3738</v>
      </c>
      <c r="H360" s="3301" t="s">
        <v>3738</v>
      </c>
      <c r="I360" s="3301"/>
      <c r="J360" s="3301"/>
      <c r="K360" s="3301"/>
    </row>
    <row r="361" spans="1:11">
      <c r="A361" s="3301">
        <v>24</v>
      </c>
      <c r="B361" s="3301" t="s">
        <v>3737</v>
      </c>
      <c r="C361" s="3301" t="s">
        <v>3324</v>
      </c>
      <c r="D361" s="3301" t="s">
        <v>4571</v>
      </c>
      <c r="E361" s="3301">
        <v>12.6</v>
      </c>
      <c r="F361" s="3301">
        <v>6.63</v>
      </c>
      <c r="G361" s="3301" t="s">
        <v>3738</v>
      </c>
      <c r="H361" s="3301" t="s">
        <v>3738</v>
      </c>
      <c r="I361" s="3301"/>
      <c r="J361" s="3301"/>
      <c r="K361" s="3301"/>
    </row>
    <row r="362" spans="1:11">
      <c r="A362" s="3301">
        <v>25</v>
      </c>
      <c r="B362" s="3301" t="s">
        <v>3737</v>
      </c>
      <c r="C362" s="3301" t="s">
        <v>3324</v>
      </c>
      <c r="D362" s="3301" t="s">
        <v>4570</v>
      </c>
      <c r="E362" s="3301">
        <v>16.239999999999998</v>
      </c>
      <c r="F362" s="3301">
        <v>8.5500000000000007</v>
      </c>
      <c r="G362" s="3301" t="s">
        <v>3738</v>
      </c>
      <c r="H362" s="3301" t="s">
        <v>3738</v>
      </c>
      <c r="I362" s="3301"/>
      <c r="J362" s="3301"/>
      <c r="K362" s="3301"/>
    </row>
    <row r="363" spans="1:11">
      <c r="A363" s="3301">
        <v>26</v>
      </c>
      <c r="B363" s="3301" t="s">
        <v>3737</v>
      </c>
      <c r="C363" s="3301" t="s">
        <v>3324</v>
      </c>
      <c r="D363" s="3301" t="s">
        <v>4569</v>
      </c>
      <c r="E363" s="3301">
        <v>7.2</v>
      </c>
      <c r="F363" s="3301">
        <v>7.2</v>
      </c>
      <c r="G363" s="3301" t="s">
        <v>3738</v>
      </c>
      <c r="H363" s="3301" t="s">
        <v>3738</v>
      </c>
      <c r="I363" s="3301"/>
      <c r="J363" s="3301"/>
      <c r="K363" s="3301"/>
    </row>
    <row r="364" spans="1:11">
      <c r="A364" s="3301">
        <v>27</v>
      </c>
      <c r="B364" s="3301" t="s">
        <v>3737</v>
      </c>
      <c r="C364" s="3301" t="s">
        <v>3324</v>
      </c>
      <c r="D364" s="3301" t="s">
        <v>4568</v>
      </c>
      <c r="E364" s="3301">
        <v>7.2</v>
      </c>
      <c r="F364" s="3301">
        <v>7.2</v>
      </c>
      <c r="G364" s="3301" t="s">
        <v>3738</v>
      </c>
      <c r="H364" s="3301" t="s">
        <v>3738</v>
      </c>
      <c r="I364" s="3301"/>
      <c r="J364" s="3301"/>
      <c r="K364" s="3301"/>
    </row>
    <row r="365" spans="1:11">
      <c r="A365" s="3301">
        <v>28</v>
      </c>
      <c r="B365" s="3301" t="s">
        <v>3737</v>
      </c>
      <c r="C365" s="3301" t="s">
        <v>3324</v>
      </c>
      <c r="D365" s="3301" t="s">
        <v>4567</v>
      </c>
      <c r="E365" s="3301">
        <v>14.41</v>
      </c>
      <c r="F365" s="3301">
        <v>7.15</v>
      </c>
      <c r="G365" s="3301" t="s">
        <v>3738</v>
      </c>
      <c r="H365" s="3301" t="s">
        <v>3738</v>
      </c>
      <c r="I365" s="3301"/>
      <c r="J365" s="3301"/>
      <c r="K365" s="3301"/>
    </row>
    <row r="366" spans="1:11">
      <c r="A366" s="3301">
        <v>29</v>
      </c>
      <c r="B366" s="3301" t="s">
        <v>3737</v>
      </c>
      <c r="C366" s="3301" t="s">
        <v>3324</v>
      </c>
      <c r="D366" s="3301" t="s">
        <v>4566</v>
      </c>
      <c r="E366" s="3301">
        <v>16.97</v>
      </c>
      <c r="F366" s="3301">
        <v>8.42</v>
      </c>
      <c r="G366" s="3301" t="s">
        <v>3738</v>
      </c>
      <c r="H366" s="3301" t="s">
        <v>3738</v>
      </c>
      <c r="I366" s="3301"/>
      <c r="J366" s="3301"/>
      <c r="K366" s="3301"/>
    </row>
    <row r="367" spans="1:11">
      <c r="A367" s="3301">
        <v>30</v>
      </c>
      <c r="B367" s="3301" t="s">
        <v>3737</v>
      </c>
      <c r="C367" s="3301" t="s">
        <v>3324</v>
      </c>
      <c r="D367" s="3301" t="s">
        <v>4565</v>
      </c>
      <c r="E367" s="3301">
        <v>27.92</v>
      </c>
      <c r="F367" s="3301">
        <v>13.85</v>
      </c>
      <c r="G367" s="3301" t="s">
        <v>3738</v>
      </c>
      <c r="H367" s="3301" t="s">
        <v>3738</v>
      </c>
      <c r="I367" s="3301"/>
      <c r="J367" s="3301"/>
      <c r="K367" s="3301"/>
    </row>
    <row r="368" spans="1:11">
      <c r="A368" s="3301">
        <v>31</v>
      </c>
      <c r="B368" s="3301" t="s">
        <v>3737</v>
      </c>
      <c r="C368" s="3301" t="s">
        <v>3324</v>
      </c>
      <c r="D368" s="3301" t="s">
        <v>4564</v>
      </c>
      <c r="E368" s="3301">
        <v>22.82</v>
      </c>
      <c r="F368" s="3301">
        <v>11.32</v>
      </c>
      <c r="G368" s="3301" t="s">
        <v>3738</v>
      </c>
      <c r="H368" s="3301" t="s">
        <v>3738</v>
      </c>
      <c r="I368" s="3301"/>
      <c r="J368" s="3301"/>
      <c r="K368" s="3301"/>
    </row>
    <row r="369" spans="1:11">
      <c r="A369" s="3301">
        <v>32</v>
      </c>
      <c r="B369" s="3301" t="s">
        <v>3737</v>
      </c>
      <c r="C369" s="3301" t="s">
        <v>3324</v>
      </c>
      <c r="D369" s="3301" t="s">
        <v>4563</v>
      </c>
      <c r="E369" s="3301">
        <v>35.4</v>
      </c>
      <c r="F369" s="3301">
        <v>17.559999999999999</v>
      </c>
      <c r="G369" s="3301" t="s">
        <v>3738</v>
      </c>
      <c r="H369" s="3301" t="s">
        <v>3738</v>
      </c>
      <c r="I369" s="3301"/>
      <c r="J369" s="3301"/>
      <c r="K369" s="3301"/>
    </row>
    <row r="370" spans="1:11">
      <c r="A370" s="3301">
        <v>33</v>
      </c>
      <c r="B370" s="3301" t="s">
        <v>3737</v>
      </c>
      <c r="C370" s="3301" t="s">
        <v>3324</v>
      </c>
      <c r="D370" s="3301" t="s">
        <v>4562</v>
      </c>
      <c r="E370" s="3301">
        <v>37.07</v>
      </c>
      <c r="F370" s="3301">
        <v>18.39</v>
      </c>
      <c r="G370" s="3301" t="s">
        <v>3738</v>
      </c>
      <c r="H370" s="3301" t="s">
        <v>3738</v>
      </c>
      <c r="I370" s="3301"/>
      <c r="J370" s="3301"/>
      <c r="K370" s="3301"/>
    </row>
    <row r="371" spans="1:11">
      <c r="A371" s="3301">
        <v>34</v>
      </c>
      <c r="B371" s="3301" t="s">
        <v>3737</v>
      </c>
      <c r="C371" s="3301" t="s">
        <v>3324</v>
      </c>
      <c r="D371" s="3301" t="s">
        <v>4561</v>
      </c>
      <c r="E371" s="3301">
        <v>29.15</v>
      </c>
      <c r="F371" s="3301">
        <v>14.46</v>
      </c>
      <c r="G371" s="3301" t="s">
        <v>3738</v>
      </c>
      <c r="H371" s="3301" t="s">
        <v>3738</v>
      </c>
      <c r="I371" s="3301"/>
      <c r="J371" s="3301"/>
      <c r="K371" s="3301"/>
    </row>
    <row r="372" spans="1:11">
      <c r="A372" s="3301">
        <v>35</v>
      </c>
      <c r="B372" s="3301" t="s">
        <v>3737</v>
      </c>
      <c r="C372" s="3301" t="s">
        <v>3324</v>
      </c>
      <c r="D372" s="3301" t="s">
        <v>4560</v>
      </c>
      <c r="E372" s="3301">
        <v>33.020000000000003</v>
      </c>
      <c r="F372" s="3301">
        <v>16.38</v>
      </c>
      <c r="G372" s="3301" t="s">
        <v>3738</v>
      </c>
      <c r="H372" s="3301" t="s">
        <v>3738</v>
      </c>
      <c r="I372" s="3301"/>
      <c r="J372" s="3301"/>
      <c r="K372" s="3301"/>
    </row>
    <row r="373" spans="1:11">
      <c r="A373" s="3301">
        <v>36</v>
      </c>
      <c r="B373" s="3301" t="s">
        <v>3737</v>
      </c>
      <c r="C373" s="3301" t="s">
        <v>3324</v>
      </c>
      <c r="D373" s="3301" t="s">
        <v>4559</v>
      </c>
      <c r="E373" s="3301">
        <v>24.97</v>
      </c>
      <c r="F373" s="3301">
        <v>12.39</v>
      </c>
      <c r="G373" s="3301" t="s">
        <v>3738</v>
      </c>
      <c r="H373" s="3301" t="s">
        <v>3738</v>
      </c>
      <c r="I373" s="3301"/>
      <c r="J373" s="3301"/>
      <c r="K373" s="3301"/>
    </row>
    <row r="374" spans="1:11">
      <c r="A374" s="3301">
        <v>37</v>
      </c>
      <c r="B374" s="3301" t="s">
        <v>3737</v>
      </c>
      <c r="C374" s="3301" t="s">
        <v>3324</v>
      </c>
      <c r="D374" s="3301" t="s">
        <v>4558</v>
      </c>
      <c r="E374" s="3301">
        <v>22.29</v>
      </c>
      <c r="F374" s="3301">
        <v>11.06</v>
      </c>
      <c r="G374" s="3301" t="s">
        <v>3738</v>
      </c>
      <c r="H374" s="3301" t="s">
        <v>3738</v>
      </c>
      <c r="I374" s="3301"/>
      <c r="J374" s="3301"/>
      <c r="K374" s="3301"/>
    </row>
    <row r="375" spans="1:11">
      <c r="A375" s="3301">
        <v>38</v>
      </c>
      <c r="B375" s="3301" t="s">
        <v>3737</v>
      </c>
      <c r="C375" s="3301" t="s">
        <v>3324</v>
      </c>
      <c r="D375" s="3301" t="s">
        <v>4557</v>
      </c>
      <c r="E375" s="3301">
        <v>16.09</v>
      </c>
      <c r="F375" s="3301">
        <v>8.4499999999999993</v>
      </c>
      <c r="G375" s="3301" t="s">
        <v>3738</v>
      </c>
      <c r="H375" s="3301" t="s">
        <v>3738</v>
      </c>
      <c r="I375" s="3301"/>
      <c r="J375" s="3301"/>
      <c r="K375" s="3301"/>
    </row>
    <row r="376" spans="1:11">
      <c r="A376" s="3301">
        <v>39</v>
      </c>
      <c r="B376" s="3301" t="s">
        <v>3737</v>
      </c>
      <c r="C376" s="3301" t="s">
        <v>3324</v>
      </c>
      <c r="D376" s="3301" t="s">
        <v>4556</v>
      </c>
      <c r="E376" s="3301">
        <v>12.83</v>
      </c>
      <c r="F376" s="3301">
        <v>6.74</v>
      </c>
      <c r="G376" s="3301" t="s">
        <v>3738</v>
      </c>
      <c r="H376" s="3301" t="s">
        <v>3738</v>
      </c>
      <c r="I376" s="3301"/>
      <c r="J376" s="3301"/>
      <c r="K376" s="3301"/>
    </row>
    <row r="377" spans="1:11">
      <c r="A377" s="3301">
        <v>40</v>
      </c>
      <c r="B377" s="3301" t="s">
        <v>3737</v>
      </c>
      <c r="C377" s="3301" t="s">
        <v>3324</v>
      </c>
      <c r="D377" s="3301" t="s">
        <v>4555</v>
      </c>
      <c r="E377" s="3301">
        <v>32.479999999999997</v>
      </c>
      <c r="F377" s="3301">
        <v>17.059999999999999</v>
      </c>
      <c r="G377" s="3301" t="s">
        <v>3738</v>
      </c>
      <c r="H377" s="3301" t="s">
        <v>3738</v>
      </c>
      <c r="I377" s="3301"/>
      <c r="J377" s="3301"/>
      <c r="K377" s="3301"/>
    </row>
    <row r="378" spans="1:11">
      <c r="A378" s="3301">
        <v>41</v>
      </c>
      <c r="B378" s="3301" t="s">
        <v>3737</v>
      </c>
      <c r="C378" s="3301" t="s">
        <v>3324</v>
      </c>
      <c r="D378" s="3301" t="s">
        <v>4554</v>
      </c>
      <c r="E378" s="3301">
        <v>10.47</v>
      </c>
      <c r="F378" s="3301">
        <v>5.5</v>
      </c>
      <c r="G378" s="3301" t="s">
        <v>3738</v>
      </c>
      <c r="H378" s="3301" t="s">
        <v>3738</v>
      </c>
      <c r="I378" s="3301"/>
      <c r="J378" s="3301"/>
      <c r="K378" s="3301"/>
    </row>
    <row r="379" spans="1:11">
      <c r="A379" s="3301">
        <v>42</v>
      </c>
      <c r="B379" s="3301" t="s">
        <v>3737</v>
      </c>
      <c r="C379" s="3301" t="s">
        <v>3324</v>
      </c>
      <c r="D379" s="3301" t="s">
        <v>4553</v>
      </c>
      <c r="E379" s="3301">
        <v>13.82</v>
      </c>
      <c r="F379" s="3301">
        <v>7.26</v>
      </c>
      <c r="G379" s="3301" t="s">
        <v>3738</v>
      </c>
      <c r="H379" s="3301" t="s">
        <v>3738</v>
      </c>
      <c r="I379" s="3301"/>
      <c r="J379" s="3301"/>
      <c r="K379" s="3301"/>
    </row>
    <row r="380" spans="1:11">
      <c r="A380" s="3301">
        <v>43</v>
      </c>
      <c r="B380" s="3301" t="s">
        <v>3737</v>
      </c>
      <c r="C380" s="3301" t="s">
        <v>3324</v>
      </c>
      <c r="D380" s="3301" t="s">
        <v>4552</v>
      </c>
      <c r="E380" s="3301">
        <v>25.34</v>
      </c>
      <c r="F380" s="3301">
        <v>13.31</v>
      </c>
      <c r="G380" s="3301" t="s">
        <v>3738</v>
      </c>
      <c r="H380" s="3301" t="s">
        <v>3738</v>
      </c>
      <c r="I380" s="3301"/>
      <c r="J380" s="3301"/>
      <c r="K380" s="3301"/>
    </row>
    <row r="381" spans="1:11">
      <c r="A381" s="3301">
        <v>44</v>
      </c>
      <c r="B381" s="3301" t="s">
        <v>3737</v>
      </c>
      <c r="C381" s="3301" t="s">
        <v>3324</v>
      </c>
      <c r="D381" s="3301" t="s">
        <v>4551</v>
      </c>
      <c r="E381" s="3301">
        <v>27.47</v>
      </c>
      <c r="F381" s="3301">
        <v>14.43</v>
      </c>
      <c r="G381" s="3301" t="s">
        <v>3738</v>
      </c>
      <c r="H381" s="3301" t="s">
        <v>3738</v>
      </c>
      <c r="I381" s="3301"/>
      <c r="J381" s="3301"/>
      <c r="K381" s="3301"/>
    </row>
    <row r="382" spans="1:11">
      <c r="A382" s="3301">
        <v>45</v>
      </c>
      <c r="B382" s="3301" t="s">
        <v>3737</v>
      </c>
      <c r="C382" s="3301" t="s">
        <v>3324</v>
      </c>
      <c r="D382" s="3301" t="s">
        <v>4550</v>
      </c>
      <c r="E382" s="3301">
        <v>16.260000000000002</v>
      </c>
      <c r="F382" s="3301">
        <v>8.5399999999999991</v>
      </c>
      <c r="G382" s="3301" t="s">
        <v>3738</v>
      </c>
      <c r="H382" s="3301" t="s">
        <v>3738</v>
      </c>
      <c r="I382" s="3301"/>
      <c r="J382" s="3301"/>
      <c r="K382" s="3301"/>
    </row>
    <row r="383" spans="1:11">
      <c r="A383" s="3301">
        <v>46</v>
      </c>
      <c r="B383" s="3301" t="s">
        <v>3737</v>
      </c>
      <c r="C383" s="3301" t="s">
        <v>3324</v>
      </c>
      <c r="D383" s="3301" t="s">
        <v>4549</v>
      </c>
      <c r="E383" s="3301">
        <v>16.18</v>
      </c>
      <c r="F383" s="3301">
        <v>8.5</v>
      </c>
      <c r="G383" s="3301" t="s">
        <v>3738</v>
      </c>
      <c r="H383" s="3301" t="s">
        <v>3738</v>
      </c>
      <c r="I383" s="3301"/>
      <c r="J383" s="3301"/>
      <c r="K383" s="3301"/>
    </row>
    <row r="384" spans="1:11">
      <c r="A384" s="3301">
        <v>47</v>
      </c>
      <c r="B384" s="3301" t="s">
        <v>3737</v>
      </c>
      <c r="C384" s="3301" t="s">
        <v>3324</v>
      </c>
      <c r="D384" s="3301" t="s">
        <v>4548</v>
      </c>
      <c r="E384" s="3301">
        <v>38.44</v>
      </c>
      <c r="F384" s="3301">
        <v>20.190000000000001</v>
      </c>
      <c r="G384" s="3301" t="s">
        <v>3738</v>
      </c>
      <c r="H384" s="3301" t="s">
        <v>3738</v>
      </c>
      <c r="I384" s="3301"/>
      <c r="J384" s="3301"/>
      <c r="K384" s="3301"/>
    </row>
    <row r="385" spans="1:11">
      <c r="A385" s="3301">
        <v>48</v>
      </c>
      <c r="B385" s="3301" t="s">
        <v>3737</v>
      </c>
      <c r="C385" s="3301" t="s">
        <v>3324</v>
      </c>
      <c r="D385" s="3301" t="s">
        <v>4547</v>
      </c>
      <c r="E385" s="3301">
        <v>12.62</v>
      </c>
      <c r="F385" s="3301">
        <v>6.63</v>
      </c>
      <c r="G385" s="3301" t="s">
        <v>3738</v>
      </c>
      <c r="H385" s="3301" t="s">
        <v>3738</v>
      </c>
      <c r="I385" s="3301"/>
      <c r="J385" s="3301"/>
      <c r="K385" s="3301"/>
    </row>
    <row r="386" spans="1:11">
      <c r="A386" s="3301">
        <v>49</v>
      </c>
      <c r="B386" s="3301" t="s">
        <v>3737</v>
      </c>
      <c r="C386" s="3301" t="s">
        <v>3324</v>
      </c>
      <c r="D386" s="3301" t="s">
        <v>4546</v>
      </c>
      <c r="E386" s="3301">
        <v>16.28</v>
      </c>
      <c r="F386" s="3301">
        <v>8.5500000000000007</v>
      </c>
      <c r="G386" s="3301" t="s">
        <v>3738</v>
      </c>
      <c r="H386" s="3301" t="s">
        <v>3738</v>
      </c>
      <c r="I386" s="3301"/>
      <c r="J386" s="3301"/>
      <c r="K386" s="3301"/>
    </row>
    <row r="387" spans="1:11">
      <c r="A387" s="3301">
        <v>50</v>
      </c>
      <c r="B387" s="3301" t="s">
        <v>3737</v>
      </c>
      <c r="C387" s="3301" t="s">
        <v>3324</v>
      </c>
      <c r="D387" s="3301" t="s">
        <v>4545</v>
      </c>
      <c r="E387" s="3301">
        <v>11.11</v>
      </c>
      <c r="F387" s="3301">
        <v>11.11</v>
      </c>
      <c r="G387" s="3301" t="s">
        <v>3738</v>
      </c>
      <c r="H387" s="3301" t="s">
        <v>3738</v>
      </c>
      <c r="I387" s="3301"/>
      <c r="J387" s="3301"/>
      <c r="K387" s="3301"/>
    </row>
    <row r="388" spans="1:11">
      <c r="A388" s="3301">
        <v>51</v>
      </c>
      <c r="B388" s="3301" t="s">
        <v>3737</v>
      </c>
      <c r="C388" s="3301" t="s">
        <v>3324</v>
      </c>
      <c r="D388" s="3301" t="s">
        <v>4544</v>
      </c>
      <c r="E388" s="3301">
        <v>3.9</v>
      </c>
      <c r="F388" s="3301">
        <v>3.9</v>
      </c>
      <c r="G388" s="3301" t="s">
        <v>3738</v>
      </c>
      <c r="H388" s="3301" t="s">
        <v>3738</v>
      </c>
      <c r="I388" s="3301"/>
      <c r="J388" s="3301"/>
      <c r="K388" s="3301"/>
    </row>
    <row r="389" spans="1:11">
      <c r="A389" s="3301">
        <v>52</v>
      </c>
      <c r="B389" s="3301" t="s">
        <v>3737</v>
      </c>
      <c r="C389" s="3301" t="s">
        <v>3324</v>
      </c>
      <c r="D389" s="3301" t="s">
        <v>4543</v>
      </c>
      <c r="E389" s="3301">
        <v>5.85</v>
      </c>
      <c r="F389" s="3301">
        <v>5.85</v>
      </c>
      <c r="G389" s="3301" t="s">
        <v>3738</v>
      </c>
      <c r="H389" s="3301" t="s">
        <v>3738</v>
      </c>
      <c r="I389" s="3301"/>
      <c r="J389" s="3301"/>
      <c r="K389" s="3301"/>
    </row>
    <row r="390" spans="1:11">
      <c r="A390" s="3301">
        <v>53</v>
      </c>
      <c r="B390" s="3301" t="s">
        <v>3737</v>
      </c>
      <c r="C390" s="3301" t="s">
        <v>3324</v>
      </c>
      <c r="D390" s="3301" t="s">
        <v>4542</v>
      </c>
      <c r="E390" s="3301">
        <v>5.4</v>
      </c>
      <c r="F390" s="3301">
        <v>5.4</v>
      </c>
      <c r="G390" s="3301" t="s">
        <v>3738</v>
      </c>
      <c r="H390" s="3301" t="s">
        <v>3738</v>
      </c>
      <c r="I390" s="3301"/>
      <c r="J390" s="3301"/>
      <c r="K390" s="3301"/>
    </row>
    <row r="391" spans="1:11">
      <c r="A391" s="3301">
        <v>54</v>
      </c>
      <c r="B391" s="3301" t="s">
        <v>3737</v>
      </c>
      <c r="C391" s="3301" t="s">
        <v>3324</v>
      </c>
      <c r="D391" s="3301" t="s">
        <v>4541</v>
      </c>
      <c r="E391" s="3301">
        <v>5.4</v>
      </c>
      <c r="F391" s="3301">
        <v>5.4</v>
      </c>
      <c r="G391" s="3301" t="s">
        <v>3738</v>
      </c>
      <c r="H391" s="3301" t="s">
        <v>3738</v>
      </c>
      <c r="I391" s="3301"/>
      <c r="J391" s="3301"/>
      <c r="K391" s="3301"/>
    </row>
    <row r="392" spans="1:11">
      <c r="A392" s="3301">
        <v>55</v>
      </c>
      <c r="B392" s="3301" t="s">
        <v>3737</v>
      </c>
      <c r="C392" s="3301" t="s">
        <v>3324</v>
      </c>
      <c r="D392" s="3301" t="s">
        <v>4540</v>
      </c>
      <c r="E392" s="3301">
        <v>3.23</v>
      </c>
      <c r="F392" s="3301">
        <v>3.23</v>
      </c>
      <c r="G392" s="3301" t="s">
        <v>3738</v>
      </c>
      <c r="H392" s="3301" t="s">
        <v>3738</v>
      </c>
      <c r="I392" s="3301"/>
      <c r="J392" s="3301"/>
      <c r="K392" s="3301"/>
    </row>
    <row r="393" spans="1:11">
      <c r="A393" s="3301">
        <v>56</v>
      </c>
      <c r="B393" s="3301" t="s">
        <v>3737</v>
      </c>
      <c r="C393" s="3301" t="s">
        <v>3324</v>
      </c>
      <c r="D393" s="3301" t="s">
        <v>4539</v>
      </c>
      <c r="E393" s="3301">
        <v>5.34</v>
      </c>
      <c r="F393" s="3301">
        <v>5.34</v>
      </c>
      <c r="G393" s="3301" t="s">
        <v>3738</v>
      </c>
      <c r="H393" s="3301" t="s">
        <v>3738</v>
      </c>
      <c r="I393" s="3301"/>
      <c r="J393" s="3301"/>
      <c r="K393" s="3301"/>
    </row>
    <row r="394" spans="1:11">
      <c r="A394" s="3301">
        <v>57</v>
      </c>
      <c r="B394" s="3301" t="s">
        <v>3737</v>
      </c>
      <c r="C394" s="3301" t="s">
        <v>3324</v>
      </c>
      <c r="D394" s="3301" t="s">
        <v>4538</v>
      </c>
      <c r="E394" s="3301">
        <v>14.41</v>
      </c>
      <c r="F394" s="3301">
        <v>7.15</v>
      </c>
      <c r="G394" s="3301" t="s">
        <v>3738</v>
      </c>
      <c r="H394" s="3301" t="s">
        <v>3738</v>
      </c>
      <c r="I394" s="3301"/>
      <c r="J394" s="3301"/>
      <c r="K394" s="3301"/>
    </row>
    <row r="395" spans="1:11">
      <c r="A395" s="3301">
        <v>58</v>
      </c>
      <c r="B395" s="3301" t="s">
        <v>3737</v>
      </c>
      <c r="C395" s="3301" t="s">
        <v>3324</v>
      </c>
      <c r="D395" s="3301" t="s">
        <v>4537</v>
      </c>
      <c r="E395" s="3301">
        <v>16.97</v>
      </c>
      <c r="F395" s="3301">
        <v>8.42</v>
      </c>
      <c r="G395" s="3301" t="s">
        <v>3738</v>
      </c>
      <c r="H395" s="3301" t="s">
        <v>3738</v>
      </c>
      <c r="I395" s="3301"/>
      <c r="J395" s="3301"/>
      <c r="K395" s="3301"/>
    </row>
    <row r="396" spans="1:11">
      <c r="A396" s="3301">
        <v>59</v>
      </c>
      <c r="B396" s="3301" t="s">
        <v>3737</v>
      </c>
      <c r="C396" s="3301" t="s">
        <v>3324</v>
      </c>
      <c r="D396" s="3301" t="s">
        <v>4536</v>
      </c>
      <c r="E396" s="3301">
        <v>27.92</v>
      </c>
      <c r="F396" s="3301">
        <v>13.85</v>
      </c>
      <c r="G396" s="3301" t="s">
        <v>3738</v>
      </c>
      <c r="H396" s="3301" t="s">
        <v>3738</v>
      </c>
      <c r="I396" s="3301"/>
      <c r="J396" s="3301"/>
      <c r="K396" s="3301"/>
    </row>
    <row r="397" spans="1:11">
      <c r="A397" s="3301">
        <v>60</v>
      </c>
      <c r="B397" s="3301" t="s">
        <v>3737</v>
      </c>
      <c r="C397" s="3301" t="s">
        <v>3324</v>
      </c>
      <c r="D397" s="3301" t="s">
        <v>4535</v>
      </c>
      <c r="E397" s="3301">
        <v>22.82</v>
      </c>
      <c r="F397" s="3301">
        <v>11.32</v>
      </c>
      <c r="G397" s="3301" t="s">
        <v>3738</v>
      </c>
      <c r="H397" s="3301" t="s">
        <v>3738</v>
      </c>
      <c r="I397" s="3301"/>
      <c r="J397" s="3301"/>
      <c r="K397" s="3301"/>
    </row>
    <row r="398" spans="1:11">
      <c r="A398" s="3301">
        <v>61</v>
      </c>
      <c r="B398" s="3301" t="s">
        <v>3737</v>
      </c>
      <c r="C398" s="3301" t="s">
        <v>3324</v>
      </c>
      <c r="D398" s="3301" t="s">
        <v>4534</v>
      </c>
      <c r="E398" s="3301">
        <v>35.4</v>
      </c>
      <c r="F398" s="3301">
        <v>17.559999999999999</v>
      </c>
      <c r="G398" s="3301" t="s">
        <v>3738</v>
      </c>
      <c r="H398" s="3301" t="s">
        <v>3738</v>
      </c>
      <c r="I398" s="3301"/>
      <c r="J398" s="3301"/>
      <c r="K398" s="3301"/>
    </row>
    <row r="399" spans="1:11">
      <c r="A399" s="3301">
        <v>62</v>
      </c>
      <c r="B399" s="3301" t="s">
        <v>3737</v>
      </c>
      <c r="C399" s="3301" t="s">
        <v>3324</v>
      </c>
      <c r="D399" s="3301" t="s">
        <v>4533</v>
      </c>
      <c r="E399" s="3301">
        <v>37.07</v>
      </c>
      <c r="F399" s="3301">
        <v>18.39</v>
      </c>
      <c r="G399" s="3301" t="s">
        <v>3738</v>
      </c>
      <c r="H399" s="3301" t="s">
        <v>3738</v>
      </c>
      <c r="I399" s="3301"/>
      <c r="J399" s="3301"/>
      <c r="K399" s="3301"/>
    </row>
    <row r="400" spans="1:11">
      <c r="A400" s="3301">
        <v>63</v>
      </c>
      <c r="B400" s="3301" t="s">
        <v>3737</v>
      </c>
      <c r="C400" s="3301" t="s">
        <v>3324</v>
      </c>
      <c r="D400" s="3301" t="s">
        <v>4532</v>
      </c>
      <c r="E400" s="3301">
        <v>29.15</v>
      </c>
      <c r="F400" s="3301">
        <v>14.46</v>
      </c>
      <c r="G400" s="3301" t="s">
        <v>3738</v>
      </c>
      <c r="H400" s="3301" t="s">
        <v>3738</v>
      </c>
      <c r="I400" s="3301"/>
      <c r="J400" s="3301"/>
      <c r="K400" s="3301"/>
    </row>
    <row r="401" spans="1:11">
      <c r="A401" s="3301">
        <v>64</v>
      </c>
      <c r="B401" s="3301" t="s">
        <v>3737</v>
      </c>
      <c r="C401" s="3301" t="s">
        <v>3324</v>
      </c>
      <c r="D401" s="3301" t="s">
        <v>4531</v>
      </c>
      <c r="E401" s="3301">
        <v>33.020000000000003</v>
      </c>
      <c r="F401" s="3301">
        <v>16.38</v>
      </c>
      <c r="G401" s="3301" t="s">
        <v>3738</v>
      </c>
      <c r="H401" s="3301" t="s">
        <v>3738</v>
      </c>
      <c r="I401" s="3301"/>
      <c r="J401" s="3301"/>
      <c r="K401" s="3301"/>
    </row>
    <row r="402" spans="1:11">
      <c r="A402" s="3301">
        <v>65</v>
      </c>
      <c r="B402" s="3301" t="s">
        <v>3737</v>
      </c>
      <c r="C402" s="3301" t="s">
        <v>3324</v>
      </c>
      <c r="D402" s="3301" t="s">
        <v>4530</v>
      </c>
      <c r="E402" s="3301">
        <v>24.97</v>
      </c>
      <c r="F402" s="3301">
        <v>12.39</v>
      </c>
      <c r="G402" s="3301" t="s">
        <v>3738</v>
      </c>
      <c r="H402" s="3301" t="s">
        <v>3738</v>
      </c>
      <c r="I402" s="3301"/>
      <c r="J402" s="3301"/>
      <c r="K402" s="3301"/>
    </row>
    <row r="403" spans="1:11">
      <c r="A403" s="3301">
        <v>66</v>
      </c>
      <c r="B403" s="3301" t="s">
        <v>3737</v>
      </c>
      <c r="C403" s="3301" t="s">
        <v>3324</v>
      </c>
      <c r="D403" s="3301" t="s">
        <v>4529</v>
      </c>
      <c r="E403" s="3301">
        <v>22.29</v>
      </c>
      <c r="F403" s="3301">
        <v>11.06</v>
      </c>
      <c r="G403" s="3301" t="s">
        <v>3738</v>
      </c>
      <c r="H403" s="3301" t="s">
        <v>3738</v>
      </c>
      <c r="I403" s="3301"/>
      <c r="J403" s="3301"/>
      <c r="K403" s="3301"/>
    </row>
    <row r="404" spans="1:11">
      <c r="A404" s="3301">
        <v>67</v>
      </c>
      <c r="B404" s="3301" t="s">
        <v>3737</v>
      </c>
      <c r="C404" s="3301" t="s">
        <v>3324</v>
      </c>
      <c r="D404" s="3301" t="s">
        <v>4528</v>
      </c>
      <c r="E404" s="3301">
        <v>16.100000000000001</v>
      </c>
      <c r="F404" s="3301">
        <v>8.4499999999999993</v>
      </c>
      <c r="G404" s="3301" t="s">
        <v>3738</v>
      </c>
      <c r="H404" s="3301" t="s">
        <v>3738</v>
      </c>
      <c r="I404" s="3301"/>
      <c r="J404" s="3301"/>
      <c r="K404" s="3301"/>
    </row>
    <row r="405" spans="1:11">
      <c r="A405" s="3301">
        <v>68</v>
      </c>
      <c r="B405" s="3301" t="s">
        <v>3737</v>
      </c>
      <c r="C405" s="3301" t="s">
        <v>3324</v>
      </c>
      <c r="D405" s="3301" t="s">
        <v>4527</v>
      </c>
      <c r="E405" s="3301">
        <v>12.84</v>
      </c>
      <c r="F405" s="3301">
        <v>6.74</v>
      </c>
      <c r="G405" s="3301" t="s">
        <v>3738</v>
      </c>
      <c r="H405" s="3301" t="s">
        <v>3738</v>
      </c>
      <c r="I405" s="3301"/>
      <c r="J405" s="3301"/>
      <c r="K405" s="3301"/>
    </row>
    <row r="406" spans="1:11">
      <c r="A406" s="3301">
        <v>69</v>
      </c>
      <c r="B406" s="3301" t="s">
        <v>3737</v>
      </c>
      <c r="C406" s="3301" t="s">
        <v>3324</v>
      </c>
      <c r="D406" s="3301" t="s">
        <v>4526</v>
      </c>
      <c r="E406" s="3301">
        <v>32.51</v>
      </c>
      <c r="F406" s="3301">
        <v>17.059999999999999</v>
      </c>
      <c r="G406" s="3301" t="s">
        <v>3738</v>
      </c>
      <c r="H406" s="3301" t="s">
        <v>3738</v>
      </c>
      <c r="I406" s="3301"/>
      <c r="J406" s="3301"/>
      <c r="K406" s="3301"/>
    </row>
    <row r="407" spans="1:11">
      <c r="A407" s="3301">
        <v>70</v>
      </c>
      <c r="B407" s="3301" t="s">
        <v>3737</v>
      </c>
      <c r="C407" s="3301" t="s">
        <v>3324</v>
      </c>
      <c r="D407" s="3301" t="s">
        <v>4525</v>
      </c>
      <c r="E407" s="3301">
        <v>10.48</v>
      </c>
      <c r="F407" s="3301">
        <v>5.5</v>
      </c>
      <c r="G407" s="3301" t="s">
        <v>3738</v>
      </c>
      <c r="H407" s="3301" t="s">
        <v>3738</v>
      </c>
      <c r="I407" s="3301"/>
      <c r="J407" s="3301"/>
      <c r="K407" s="3301"/>
    </row>
    <row r="408" spans="1:11">
      <c r="A408" s="3301">
        <v>71</v>
      </c>
      <c r="B408" s="3301" t="s">
        <v>3737</v>
      </c>
      <c r="C408" s="3301" t="s">
        <v>3324</v>
      </c>
      <c r="D408" s="3301" t="s">
        <v>4524</v>
      </c>
      <c r="E408" s="3301">
        <v>13.83</v>
      </c>
      <c r="F408" s="3301">
        <v>7.26</v>
      </c>
      <c r="G408" s="3301" t="s">
        <v>3738</v>
      </c>
      <c r="H408" s="3301" t="s">
        <v>3738</v>
      </c>
      <c r="I408" s="3301"/>
      <c r="J408" s="3301"/>
      <c r="K408" s="3301"/>
    </row>
    <row r="409" spans="1:11">
      <c r="A409" s="3301">
        <v>72</v>
      </c>
      <c r="B409" s="3301" t="s">
        <v>3737</v>
      </c>
      <c r="C409" s="3301" t="s">
        <v>3324</v>
      </c>
      <c r="D409" s="3301" t="s">
        <v>4523</v>
      </c>
      <c r="E409" s="3301">
        <v>25.36</v>
      </c>
      <c r="F409" s="3301">
        <v>13.31</v>
      </c>
      <c r="G409" s="3301" t="s">
        <v>3738</v>
      </c>
      <c r="H409" s="3301" t="s">
        <v>3738</v>
      </c>
      <c r="I409" s="3301"/>
      <c r="J409" s="3301"/>
      <c r="K409" s="3301"/>
    </row>
    <row r="410" spans="1:11">
      <c r="A410" s="3301">
        <v>73</v>
      </c>
      <c r="B410" s="3301" t="s">
        <v>3737</v>
      </c>
      <c r="C410" s="3301" t="s">
        <v>3324</v>
      </c>
      <c r="D410" s="3301" t="s">
        <v>4522</v>
      </c>
      <c r="E410" s="3301">
        <v>27.5</v>
      </c>
      <c r="F410" s="3301">
        <v>14.43</v>
      </c>
      <c r="G410" s="3301" t="s">
        <v>3738</v>
      </c>
      <c r="H410" s="3301" t="s">
        <v>3738</v>
      </c>
      <c r="I410" s="3301"/>
      <c r="J410" s="3301"/>
      <c r="K410" s="3301"/>
    </row>
    <row r="411" spans="1:11">
      <c r="A411" s="3301">
        <v>74</v>
      </c>
      <c r="B411" s="3301" t="s">
        <v>3737</v>
      </c>
      <c r="C411" s="3301" t="s">
        <v>3324</v>
      </c>
      <c r="D411" s="3301" t="s">
        <v>4521</v>
      </c>
      <c r="E411" s="3301">
        <v>16.27</v>
      </c>
      <c r="F411" s="3301">
        <v>8.5399999999999991</v>
      </c>
      <c r="G411" s="3301" t="s">
        <v>3738</v>
      </c>
      <c r="H411" s="3301" t="s">
        <v>3738</v>
      </c>
      <c r="I411" s="3301"/>
      <c r="J411" s="3301"/>
      <c r="K411" s="3301"/>
    </row>
    <row r="412" spans="1:11">
      <c r="A412" s="3301">
        <v>75</v>
      </c>
      <c r="B412" s="3301" t="s">
        <v>3737</v>
      </c>
      <c r="C412" s="3301" t="s">
        <v>3324</v>
      </c>
      <c r="D412" s="3301" t="s">
        <v>4520</v>
      </c>
      <c r="E412" s="3301">
        <v>16.2</v>
      </c>
      <c r="F412" s="3301">
        <v>8.5</v>
      </c>
      <c r="G412" s="3301" t="s">
        <v>3738</v>
      </c>
      <c r="H412" s="3301" t="s">
        <v>3738</v>
      </c>
      <c r="I412" s="3301"/>
      <c r="J412" s="3301"/>
      <c r="K412" s="3301"/>
    </row>
    <row r="413" spans="1:11">
      <c r="A413" s="3301">
        <v>76</v>
      </c>
      <c r="B413" s="3301" t="s">
        <v>3737</v>
      </c>
      <c r="C413" s="3301" t="s">
        <v>3324</v>
      </c>
      <c r="D413" s="3301" t="s">
        <v>4519</v>
      </c>
      <c r="E413" s="3301">
        <v>38.47</v>
      </c>
      <c r="F413" s="3301">
        <v>20.190000000000001</v>
      </c>
      <c r="G413" s="3301" t="s">
        <v>3738</v>
      </c>
      <c r="H413" s="3301" t="s">
        <v>3738</v>
      </c>
      <c r="I413" s="3301"/>
      <c r="J413" s="3301"/>
      <c r="K413" s="3301"/>
    </row>
    <row r="414" spans="1:11">
      <c r="A414" s="3301">
        <v>77</v>
      </c>
      <c r="B414" s="3301" t="s">
        <v>3737</v>
      </c>
      <c r="C414" s="3301" t="s">
        <v>3324</v>
      </c>
      <c r="D414" s="3301" t="s">
        <v>4518</v>
      </c>
      <c r="E414" s="3301">
        <v>12.63</v>
      </c>
      <c r="F414" s="3301">
        <v>6.63</v>
      </c>
      <c r="G414" s="3301" t="s">
        <v>3738</v>
      </c>
      <c r="H414" s="3301" t="s">
        <v>3738</v>
      </c>
      <c r="I414" s="3301"/>
      <c r="J414" s="3301"/>
      <c r="K414" s="3301"/>
    </row>
    <row r="415" spans="1:11">
      <c r="A415" s="3301">
        <v>78</v>
      </c>
      <c r="B415" s="3301" t="s">
        <v>3737</v>
      </c>
      <c r="C415" s="3301" t="s">
        <v>3324</v>
      </c>
      <c r="D415" s="3301" t="s">
        <v>4517</v>
      </c>
      <c r="E415" s="3301">
        <v>16.29</v>
      </c>
      <c r="F415" s="3301">
        <v>8.5500000000000007</v>
      </c>
      <c r="G415" s="3301" t="s">
        <v>3738</v>
      </c>
      <c r="H415" s="3301" t="s">
        <v>3738</v>
      </c>
      <c r="I415" s="3301"/>
      <c r="J415" s="3301"/>
      <c r="K415" s="3301"/>
    </row>
    <row r="416" spans="1:11">
      <c r="A416" s="3301">
        <v>79</v>
      </c>
      <c r="B416" s="3301" t="s">
        <v>3737</v>
      </c>
      <c r="C416" s="3301" t="s">
        <v>3324</v>
      </c>
      <c r="D416" s="3301" t="s">
        <v>4516</v>
      </c>
      <c r="E416" s="3301">
        <v>40.450000000000003</v>
      </c>
      <c r="F416" s="3301">
        <v>15.13</v>
      </c>
      <c r="G416" s="3301" t="s">
        <v>3738</v>
      </c>
      <c r="H416" s="3301" t="s">
        <v>3738</v>
      </c>
      <c r="I416" s="3301"/>
      <c r="J416" s="3301"/>
      <c r="K416" s="3301"/>
    </row>
    <row r="417" spans="1:11">
      <c r="A417" s="3301">
        <v>80</v>
      </c>
      <c r="B417" s="3301" t="s">
        <v>3737</v>
      </c>
      <c r="C417" s="3301" t="s">
        <v>3324</v>
      </c>
      <c r="D417" s="3301" t="s">
        <v>4515</v>
      </c>
      <c r="E417" s="3301">
        <v>17.73</v>
      </c>
      <c r="F417" s="3301">
        <v>6.63</v>
      </c>
      <c r="G417" s="3301" t="s">
        <v>3738</v>
      </c>
      <c r="H417" s="3301" t="s">
        <v>3738</v>
      </c>
      <c r="I417" s="3301"/>
      <c r="J417" s="3301"/>
      <c r="K417" s="3301"/>
    </row>
    <row r="418" spans="1:11">
      <c r="A418" s="3301">
        <v>81</v>
      </c>
      <c r="B418" s="3301" t="s">
        <v>3737</v>
      </c>
      <c r="C418" s="3301" t="s">
        <v>3324</v>
      </c>
      <c r="D418" s="3301" t="s">
        <v>4514</v>
      </c>
      <c r="E418" s="3301">
        <v>20.85</v>
      </c>
      <c r="F418" s="3301">
        <v>7.8</v>
      </c>
      <c r="G418" s="3301" t="s">
        <v>3738</v>
      </c>
      <c r="H418" s="3301" t="s">
        <v>3738</v>
      </c>
      <c r="I418" s="3301"/>
      <c r="J418" s="3301"/>
      <c r="K418" s="3301"/>
    </row>
    <row r="419" spans="1:11">
      <c r="A419" s="3301">
        <v>82</v>
      </c>
      <c r="B419" s="3301" t="s">
        <v>3737</v>
      </c>
      <c r="C419" s="3301" t="s">
        <v>3324</v>
      </c>
      <c r="D419" s="3301" t="s">
        <v>4513</v>
      </c>
      <c r="E419" s="3301">
        <v>24.86</v>
      </c>
      <c r="F419" s="3301">
        <v>9.3000000000000007</v>
      </c>
      <c r="G419" s="3301" t="s">
        <v>3738</v>
      </c>
      <c r="H419" s="3301" t="s">
        <v>3738</v>
      </c>
      <c r="I419" s="3301"/>
      <c r="J419" s="3301"/>
      <c r="K419" s="3301"/>
    </row>
    <row r="420" spans="1:11">
      <c r="A420" s="3301">
        <v>83</v>
      </c>
      <c r="B420" s="3301" t="s">
        <v>3737</v>
      </c>
      <c r="C420" s="3301" t="s">
        <v>3324</v>
      </c>
      <c r="D420" s="3301" t="s">
        <v>4512</v>
      </c>
      <c r="E420" s="3301">
        <v>22.38</v>
      </c>
      <c r="F420" s="3301">
        <v>8.3699999999999992</v>
      </c>
      <c r="G420" s="3301" t="s">
        <v>3738</v>
      </c>
      <c r="H420" s="3301" t="s">
        <v>3738</v>
      </c>
      <c r="I420" s="3301"/>
      <c r="J420" s="3301"/>
      <c r="K420" s="3301"/>
    </row>
    <row r="421" spans="1:11">
      <c r="A421" s="3301">
        <v>84</v>
      </c>
      <c r="B421" s="3301" t="s">
        <v>3737</v>
      </c>
      <c r="C421" s="3301" t="s">
        <v>3324</v>
      </c>
      <c r="D421" s="3301" t="s">
        <v>4511</v>
      </c>
      <c r="E421" s="3301">
        <v>22.38</v>
      </c>
      <c r="F421" s="3301">
        <v>8.3699999999999992</v>
      </c>
      <c r="G421" s="3301" t="s">
        <v>3738</v>
      </c>
      <c r="H421" s="3301" t="s">
        <v>3738</v>
      </c>
      <c r="I421" s="3301"/>
      <c r="J421" s="3301"/>
      <c r="K421" s="3301"/>
    </row>
    <row r="422" spans="1:11">
      <c r="A422" s="3301">
        <v>85</v>
      </c>
      <c r="B422" s="3301" t="s">
        <v>3737</v>
      </c>
      <c r="C422" s="3301" t="s">
        <v>3324</v>
      </c>
      <c r="D422" s="3301" t="s">
        <v>4510</v>
      </c>
      <c r="E422" s="3301">
        <v>24.86</v>
      </c>
      <c r="F422" s="3301">
        <v>9.3000000000000007</v>
      </c>
      <c r="G422" s="3301" t="s">
        <v>3738</v>
      </c>
      <c r="H422" s="3301" t="s">
        <v>3738</v>
      </c>
      <c r="I422" s="3301"/>
      <c r="J422" s="3301"/>
      <c r="K422" s="3301"/>
    </row>
    <row r="423" spans="1:11">
      <c r="A423" s="3301">
        <v>86</v>
      </c>
      <c r="B423" s="3301" t="s">
        <v>3737</v>
      </c>
      <c r="C423" s="3301" t="s">
        <v>3324</v>
      </c>
      <c r="D423" s="3301" t="s">
        <v>4509</v>
      </c>
      <c r="E423" s="3301">
        <v>20.85</v>
      </c>
      <c r="F423" s="3301">
        <v>7.8</v>
      </c>
      <c r="G423" s="3301" t="s">
        <v>3738</v>
      </c>
      <c r="H423" s="3301" t="s">
        <v>3738</v>
      </c>
      <c r="I423" s="3301"/>
      <c r="J423" s="3301"/>
      <c r="K423" s="3301"/>
    </row>
    <row r="424" spans="1:11">
      <c r="A424" s="3301">
        <v>87</v>
      </c>
      <c r="B424" s="3301" t="s">
        <v>3737</v>
      </c>
      <c r="C424" s="3301" t="s">
        <v>3324</v>
      </c>
      <c r="D424" s="3301" t="s">
        <v>4508</v>
      </c>
      <c r="E424" s="3301">
        <v>17.73</v>
      </c>
      <c r="F424" s="3301">
        <v>6.63</v>
      </c>
      <c r="G424" s="3301" t="s">
        <v>3738</v>
      </c>
      <c r="H424" s="3301" t="s">
        <v>3738</v>
      </c>
      <c r="I424" s="3301"/>
      <c r="J424" s="3301"/>
      <c r="K424" s="3301"/>
    </row>
    <row r="425" spans="1:11">
      <c r="A425" s="3301">
        <v>88</v>
      </c>
      <c r="B425" s="3301" t="s">
        <v>3737</v>
      </c>
      <c r="C425" s="3301" t="s">
        <v>3324</v>
      </c>
      <c r="D425" s="3301" t="s">
        <v>4507</v>
      </c>
      <c r="E425" s="3301">
        <v>17.73</v>
      </c>
      <c r="F425" s="3301">
        <v>6.63</v>
      </c>
      <c r="G425" s="3301" t="s">
        <v>3738</v>
      </c>
      <c r="H425" s="3301" t="s">
        <v>3738</v>
      </c>
      <c r="I425" s="3301"/>
      <c r="J425" s="3301"/>
      <c r="K425" s="3301"/>
    </row>
    <row r="426" spans="1:11">
      <c r="A426" s="3301">
        <v>89</v>
      </c>
      <c r="B426" s="3301" t="s">
        <v>3737</v>
      </c>
      <c r="C426" s="3301" t="s">
        <v>3324</v>
      </c>
      <c r="D426" s="3301" t="s">
        <v>4506</v>
      </c>
      <c r="E426" s="3301">
        <v>20.85</v>
      </c>
      <c r="F426" s="3301">
        <v>7.8</v>
      </c>
      <c r="G426" s="3301" t="s">
        <v>3738</v>
      </c>
      <c r="H426" s="3301" t="s">
        <v>3738</v>
      </c>
      <c r="I426" s="3301"/>
      <c r="J426" s="3301"/>
      <c r="K426" s="3301"/>
    </row>
    <row r="427" spans="1:11">
      <c r="A427" s="3301">
        <v>90</v>
      </c>
      <c r="B427" s="3301" t="s">
        <v>3737</v>
      </c>
      <c r="C427" s="3301" t="s">
        <v>3324</v>
      </c>
      <c r="D427" s="3301" t="s">
        <v>4505</v>
      </c>
      <c r="E427" s="3301">
        <v>17.829999999999998</v>
      </c>
      <c r="F427" s="3301">
        <v>6.67</v>
      </c>
      <c r="G427" s="3301" t="s">
        <v>3738</v>
      </c>
      <c r="H427" s="3301" t="s">
        <v>3738</v>
      </c>
      <c r="I427" s="3301"/>
      <c r="J427" s="3301"/>
      <c r="K427" s="3301"/>
    </row>
    <row r="428" spans="1:11">
      <c r="A428" s="3301">
        <v>91</v>
      </c>
      <c r="B428" s="3301" t="s">
        <v>3737</v>
      </c>
      <c r="C428" s="3301" t="s">
        <v>3324</v>
      </c>
      <c r="D428" s="3301" t="s">
        <v>4504</v>
      </c>
      <c r="E428" s="3301">
        <v>17</v>
      </c>
      <c r="F428" s="3301">
        <v>6.36</v>
      </c>
      <c r="G428" s="3301" t="s">
        <v>3738</v>
      </c>
      <c r="H428" s="3301" t="s">
        <v>3738</v>
      </c>
      <c r="I428" s="3301"/>
      <c r="J428" s="3301"/>
      <c r="K428" s="3301"/>
    </row>
    <row r="429" spans="1:11">
      <c r="A429" s="3301">
        <v>92</v>
      </c>
      <c r="B429" s="3301" t="s">
        <v>3737</v>
      </c>
      <c r="C429" s="3301" t="s">
        <v>3324</v>
      </c>
      <c r="D429" s="3301" t="s">
        <v>4503</v>
      </c>
      <c r="E429" s="3301">
        <v>20.399999999999999</v>
      </c>
      <c r="F429" s="3301">
        <v>7.63</v>
      </c>
      <c r="G429" s="3301" t="s">
        <v>3738</v>
      </c>
      <c r="H429" s="3301" t="s">
        <v>3738</v>
      </c>
      <c r="I429" s="3301"/>
      <c r="J429" s="3301"/>
      <c r="K429" s="3301"/>
    </row>
    <row r="430" spans="1:11">
      <c r="A430" s="3301">
        <v>93</v>
      </c>
      <c r="B430" s="3301" t="s">
        <v>3737</v>
      </c>
      <c r="C430" s="3301" t="s">
        <v>3324</v>
      </c>
      <c r="D430" s="3301" t="s">
        <v>4502</v>
      </c>
      <c r="E430" s="3301">
        <v>21.68</v>
      </c>
      <c r="F430" s="3301">
        <v>8.11</v>
      </c>
      <c r="G430" s="3301" t="s">
        <v>3738</v>
      </c>
      <c r="H430" s="3301" t="s">
        <v>3738</v>
      </c>
      <c r="I430" s="3301"/>
      <c r="J430" s="3301"/>
      <c r="K430" s="3301"/>
    </row>
    <row r="431" spans="1:11">
      <c r="A431" s="3301">
        <v>94</v>
      </c>
      <c r="B431" s="3301" t="s">
        <v>3737</v>
      </c>
      <c r="C431" s="3301" t="s">
        <v>3324</v>
      </c>
      <c r="D431" s="3301" t="s">
        <v>4501</v>
      </c>
      <c r="E431" s="3301">
        <v>13.23</v>
      </c>
      <c r="F431" s="3301">
        <v>4.95</v>
      </c>
      <c r="G431" s="3301" t="s">
        <v>3738</v>
      </c>
      <c r="H431" s="3301" t="s">
        <v>3738</v>
      </c>
      <c r="I431" s="3301"/>
      <c r="J431" s="3301"/>
      <c r="K431" s="3301"/>
    </row>
    <row r="432" spans="1:11">
      <c r="A432" s="3301">
        <v>95</v>
      </c>
      <c r="B432" s="3301" t="s">
        <v>3737</v>
      </c>
      <c r="C432" s="3301" t="s">
        <v>3324</v>
      </c>
      <c r="D432" s="3301" t="s">
        <v>4500</v>
      </c>
      <c r="E432" s="3301">
        <v>20.73</v>
      </c>
      <c r="F432" s="3301">
        <v>8.66</v>
      </c>
      <c r="G432" s="3301" t="s">
        <v>3738</v>
      </c>
      <c r="H432" s="3301" t="s">
        <v>3738</v>
      </c>
      <c r="I432" s="3301"/>
      <c r="J432" s="3301"/>
      <c r="K432" s="3301"/>
    </row>
    <row r="433" spans="1:11">
      <c r="A433" s="3301">
        <v>96</v>
      </c>
      <c r="B433" s="3301" t="s">
        <v>3737</v>
      </c>
      <c r="C433" s="3301" t="s">
        <v>3324</v>
      </c>
      <c r="D433" s="3301" t="s">
        <v>4499</v>
      </c>
      <c r="E433" s="3301">
        <v>21.07</v>
      </c>
      <c r="F433" s="3301">
        <v>8.8000000000000007</v>
      </c>
      <c r="G433" s="3301" t="s">
        <v>3738</v>
      </c>
      <c r="H433" s="3301" t="s">
        <v>3738</v>
      </c>
      <c r="I433" s="3301"/>
      <c r="J433" s="3301"/>
      <c r="K433" s="3301"/>
    </row>
    <row r="434" spans="1:11">
      <c r="A434" s="3301">
        <v>97</v>
      </c>
      <c r="B434" s="3301" t="s">
        <v>3737</v>
      </c>
      <c r="C434" s="3301" t="s">
        <v>3324</v>
      </c>
      <c r="D434" s="3301" t="s">
        <v>4498</v>
      </c>
      <c r="E434" s="3301">
        <v>24.69</v>
      </c>
      <c r="F434" s="3301">
        <v>10.31</v>
      </c>
      <c r="G434" s="3301" t="s">
        <v>3738</v>
      </c>
      <c r="H434" s="3301" t="s">
        <v>3738</v>
      </c>
      <c r="I434" s="3301"/>
      <c r="J434" s="3301"/>
      <c r="K434" s="3301"/>
    </row>
    <row r="435" spans="1:11">
      <c r="A435" s="3301">
        <v>98</v>
      </c>
      <c r="B435" s="3301" t="s">
        <v>3737</v>
      </c>
      <c r="C435" s="3301" t="s">
        <v>3324</v>
      </c>
      <c r="D435" s="3301" t="s">
        <v>4497</v>
      </c>
      <c r="E435" s="3301">
        <v>18.27</v>
      </c>
      <c r="F435" s="3301">
        <v>7.63</v>
      </c>
      <c r="G435" s="3301" t="s">
        <v>3738</v>
      </c>
      <c r="H435" s="3301" t="s">
        <v>3738</v>
      </c>
      <c r="I435" s="3301"/>
      <c r="J435" s="3301"/>
      <c r="K435" s="3301"/>
    </row>
    <row r="436" spans="1:11">
      <c r="A436" s="3301">
        <v>99</v>
      </c>
      <c r="B436" s="3301" t="s">
        <v>3737</v>
      </c>
      <c r="C436" s="3301" t="s">
        <v>3324</v>
      </c>
      <c r="D436" s="3301" t="s">
        <v>4496</v>
      </c>
      <c r="E436" s="3301">
        <v>15.97</v>
      </c>
      <c r="F436" s="3301">
        <v>6.67</v>
      </c>
      <c r="G436" s="3301" t="s">
        <v>3738</v>
      </c>
      <c r="H436" s="3301" t="s">
        <v>3738</v>
      </c>
      <c r="I436" s="3301"/>
      <c r="J436" s="3301"/>
      <c r="K436" s="3301"/>
    </row>
    <row r="437" spans="1:11">
      <c r="A437" s="3301">
        <v>100</v>
      </c>
      <c r="B437" s="3301" t="s">
        <v>3737</v>
      </c>
      <c r="C437" s="3301" t="s">
        <v>3324</v>
      </c>
      <c r="D437" s="3301" t="s">
        <v>4495</v>
      </c>
      <c r="E437" s="3301">
        <v>15.23</v>
      </c>
      <c r="F437" s="3301">
        <v>6.36</v>
      </c>
      <c r="G437" s="3301" t="s">
        <v>3738</v>
      </c>
      <c r="H437" s="3301" t="s">
        <v>3738</v>
      </c>
      <c r="I437" s="3301"/>
      <c r="J437" s="3301"/>
      <c r="K437" s="3301"/>
    </row>
    <row r="438" spans="1:11">
      <c r="A438" s="3301">
        <v>101</v>
      </c>
      <c r="B438" s="3301" t="s">
        <v>3737</v>
      </c>
      <c r="C438" s="3301" t="s">
        <v>3324</v>
      </c>
      <c r="D438" s="3301" t="s">
        <v>4494</v>
      </c>
      <c r="E438" s="3301">
        <v>15.87</v>
      </c>
      <c r="F438" s="3301">
        <v>6.63</v>
      </c>
      <c r="G438" s="3301" t="s">
        <v>3738</v>
      </c>
      <c r="H438" s="3301" t="s">
        <v>3738</v>
      </c>
      <c r="I438" s="3301"/>
      <c r="J438" s="3301"/>
      <c r="K438" s="3301"/>
    </row>
    <row r="439" spans="1:11">
      <c r="A439" s="3301">
        <v>102</v>
      </c>
      <c r="B439" s="3301" t="s">
        <v>3737</v>
      </c>
      <c r="C439" s="3301" t="s">
        <v>3324</v>
      </c>
      <c r="D439" s="3301" t="s">
        <v>4493</v>
      </c>
      <c r="E439" s="3301">
        <v>18.68</v>
      </c>
      <c r="F439" s="3301">
        <v>7.8</v>
      </c>
      <c r="G439" s="3301" t="s">
        <v>3738</v>
      </c>
      <c r="H439" s="3301" t="s">
        <v>3738</v>
      </c>
      <c r="I439" s="3301"/>
      <c r="J439" s="3301"/>
      <c r="K439" s="3301"/>
    </row>
    <row r="440" spans="1:11">
      <c r="A440" s="3301">
        <v>103</v>
      </c>
      <c r="B440" s="3301" t="s">
        <v>3737</v>
      </c>
      <c r="C440" s="3301" t="s">
        <v>3324</v>
      </c>
      <c r="D440" s="3301" t="s">
        <v>4492</v>
      </c>
      <c r="E440" s="3301">
        <v>18.68</v>
      </c>
      <c r="F440" s="3301">
        <v>7.8</v>
      </c>
      <c r="G440" s="3301" t="s">
        <v>3738</v>
      </c>
      <c r="H440" s="3301" t="s">
        <v>3738</v>
      </c>
      <c r="I440" s="3301"/>
      <c r="J440" s="3301"/>
      <c r="K440" s="3301"/>
    </row>
    <row r="441" spans="1:11">
      <c r="A441" s="3301">
        <v>104</v>
      </c>
      <c r="B441" s="3301" t="s">
        <v>3737</v>
      </c>
      <c r="C441" s="3301" t="s">
        <v>3324</v>
      </c>
      <c r="D441" s="3301" t="s">
        <v>4491</v>
      </c>
      <c r="E441" s="3301">
        <v>15.87</v>
      </c>
      <c r="F441" s="3301">
        <v>6.63</v>
      </c>
      <c r="G441" s="3301" t="s">
        <v>3738</v>
      </c>
      <c r="H441" s="3301" t="s">
        <v>3738</v>
      </c>
      <c r="I441" s="3301"/>
      <c r="J441" s="3301"/>
      <c r="K441" s="3301"/>
    </row>
    <row r="442" spans="1:11">
      <c r="A442" s="3301">
        <v>105</v>
      </c>
      <c r="B442" s="3301" t="s">
        <v>3737</v>
      </c>
      <c r="C442" s="3301" t="s">
        <v>3324</v>
      </c>
      <c r="D442" s="3301" t="s">
        <v>4490</v>
      </c>
      <c r="E442" s="3301">
        <v>20.04</v>
      </c>
      <c r="F442" s="3301">
        <v>8.3699999999999992</v>
      </c>
      <c r="G442" s="3301" t="s">
        <v>3738</v>
      </c>
      <c r="H442" s="3301" t="s">
        <v>3738</v>
      </c>
      <c r="I442" s="3301"/>
      <c r="J442" s="3301"/>
      <c r="K442" s="3301"/>
    </row>
    <row r="443" spans="1:11">
      <c r="A443" s="3301">
        <v>106</v>
      </c>
      <c r="B443" s="3301" t="s">
        <v>3737</v>
      </c>
      <c r="C443" s="3301" t="s">
        <v>3324</v>
      </c>
      <c r="D443" s="3301" t="s">
        <v>4489</v>
      </c>
      <c r="E443" s="3301">
        <v>22.27</v>
      </c>
      <c r="F443" s="3301">
        <v>9.3000000000000007</v>
      </c>
      <c r="G443" s="3301" t="s">
        <v>3738</v>
      </c>
      <c r="H443" s="3301" t="s">
        <v>3738</v>
      </c>
      <c r="I443" s="3301"/>
      <c r="J443" s="3301"/>
      <c r="K443" s="3301"/>
    </row>
    <row r="444" spans="1:11">
      <c r="A444" s="3301">
        <v>107</v>
      </c>
      <c r="B444" s="3301" t="s">
        <v>3737</v>
      </c>
      <c r="C444" s="3301" t="s">
        <v>3324</v>
      </c>
      <c r="D444" s="3301" t="s">
        <v>4488</v>
      </c>
      <c r="E444" s="3301">
        <v>22.27</v>
      </c>
      <c r="F444" s="3301">
        <v>9.3000000000000007</v>
      </c>
      <c r="G444" s="3301" t="s">
        <v>3738</v>
      </c>
      <c r="H444" s="3301" t="s">
        <v>3738</v>
      </c>
      <c r="I444" s="3301"/>
      <c r="J444" s="3301"/>
      <c r="K444" s="3301"/>
    </row>
    <row r="445" spans="1:11">
      <c r="A445" s="3301">
        <v>108</v>
      </c>
      <c r="B445" s="3301" t="s">
        <v>3737</v>
      </c>
      <c r="C445" s="3301" t="s">
        <v>3324</v>
      </c>
      <c r="D445" s="3301" t="s">
        <v>4487</v>
      </c>
      <c r="E445" s="3301">
        <v>20.04</v>
      </c>
      <c r="F445" s="3301">
        <v>8.3699999999999992</v>
      </c>
      <c r="G445" s="3301" t="s">
        <v>3738</v>
      </c>
      <c r="H445" s="3301" t="s">
        <v>3738</v>
      </c>
      <c r="I445" s="3301"/>
      <c r="J445" s="3301"/>
      <c r="K445" s="3301"/>
    </row>
    <row r="446" spans="1:11">
      <c r="A446" s="3301">
        <v>109</v>
      </c>
      <c r="B446" s="3301" t="s">
        <v>3737</v>
      </c>
      <c r="C446" s="3301" t="s">
        <v>3324</v>
      </c>
      <c r="D446" s="3301" t="s">
        <v>4486</v>
      </c>
      <c r="E446" s="3301">
        <v>15.87</v>
      </c>
      <c r="F446" s="3301">
        <v>6.63</v>
      </c>
      <c r="G446" s="3301" t="s">
        <v>3738</v>
      </c>
      <c r="H446" s="3301" t="s">
        <v>3738</v>
      </c>
      <c r="I446" s="3301"/>
      <c r="J446" s="3301"/>
      <c r="K446" s="3301"/>
    </row>
    <row r="447" spans="1:11">
      <c r="A447" s="3301">
        <v>110</v>
      </c>
      <c r="B447" s="3301" t="s">
        <v>3737</v>
      </c>
      <c r="C447" s="3301" t="s">
        <v>3324</v>
      </c>
      <c r="D447" s="3301" t="s">
        <v>4485</v>
      </c>
      <c r="E447" s="3301">
        <v>18.68</v>
      </c>
      <c r="F447" s="3301">
        <v>7.8</v>
      </c>
      <c r="G447" s="3301" t="s">
        <v>3738</v>
      </c>
      <c r="H447" s="3301" t="s">
        <v>3738</v>
      </c>
      <c r="I447" s="3301"/>
      <c r="J447" s="3301"/>
      <c r="K447" s="3301"/>
    </row>
    <row r="448" spans="1:11">
      <c r="A448" s="3301">
        <v>111</v>
      </c>
      <c r="B448" s="3301" t="s">
        <v>3737</v>
      </c>
      <c r="C448" s="3301" t="s">
        <v>3324</v>
      </c>
      <c r="D448" s="3301" t="s">
        <v>4484</v>
      </c>
      <c r="E448" s="3301">
        <v>18.68</v>
      </c>
      <c r="F448" s="3301">
        <v>7.8</v>
      </c>
      <c r="G448" s="3301" t="s">
        <v>3738</v>
      </c>
      <c r="H448" s="3301" t="s">
        <v>3738</v>
      </c>
      <c r="I448" s="3301"/>
      <c r="J448" s="3301"/>
      <c r="K448" s="3301"/>
    </row>
    <row r="449" spans="1:11">
      <c r="A449" s="3301">
        <v>112</v>
      </c>
      <c r="B449" s="3301" t="s">
        <v>3737</v>
      </c>
      <c r="C449" s="3301" t="s">
        <v>3324</v>
      </c>
      <c r="D449" s="3301" t="s">
        <v>4483</v>
      </c>
      <c r="E449" s="3301">
        <v>15.87</v>
      </c>
      <c r="F449" s="3301">
        <v>6.63</v>
      </c>
      <c r="G449" s="3301" t="s">
        <v>3738</v>
      </c>
      <c r="H449" s="3301" t="s">
        <v>3738</v>
      </c>
      <c r="I449" s="3301"/>
      <c r="J449" s="3301"/>
      <c r="K449" s="3301"/>
    </row>
    <row r="450" spans="1:11">
      <c r="A450" s="3301">
        <v>113</v>
      </c>
      <c r="B450" s="3301" t="s">
        <v>3737</v>
      </c>
      <c r="C450" s="3301" t="s">
        <v>3324</v>
      </c>
      <c r="D450" s="3301" t="s">
        <v>4482</v>
      </c>
      <c r="E450" s="3301">
        <v>15.23</v>
      </c>
      <c r="F450" s="3301">
        <v>6.36</v>
      </c>
      <c r="G450" s="3301" t="s">
        <v>3738</v>
      </c>
      <c r="H450" s="3301" t="s">
        <v>3738</v>
      </c>
      <c r="I450" s="3301"/>
      <c r="J450" s="3301"/>
      <c r="K450" s="3301"/>
    </row>
    <row r="451" spans="1:11">
      <c r="A451" s="3301">
        <v>114</v>
      </c>
      <c r="B451" s="3301" t="s">
        <v>3737</v>
      </c>
      <c r="C451" s="3301" t="s">
        <v>3324</v>
      </c>
      <c r="D451" s="3301" t="s">
        <v>4481</v>
      </c>
      <c r="E451" s="3301">
        <v>15.97</v>
      </c>
      <c r="F451" s="3301">
        <v>6.67</v>
      </c>
      <c r="G451" s="3301" t="s">
        <v>3738</v>
      </c>
      <c r="H451" s="3301" t="s">
        <v>3738</v>
      </c>
      <c r="I451" s="3301"/>
      <c r="J451" s="3301"/>
      <c r="K451" s="3301"/>
    </row>
    <row r="452" spans="1:11">
      <c r="A452" s="3301">
        <v>115</v>
      </c>
      <c r="B452" s="3301" t="s">
        <v>3737</v>
      </c>
      <c r="C452" s="3301" t="s">
        <v>3324</v>
      </c>
      <c r="D452" s="3301" t="s">
        <v>4480</v>
      </c>
      <c r="E452" s="3301">
        <v>18.27</v>
      </c>
      <c r="F452" s="3301">
        <v>7.63</v>
      </c>
      <c r="G452" s="3301" t="s">
        <v>3738</v>
      </c>
      <c r="H452" s="3301" t="s">
        <v>3738</v>
      </c>
      <c r="I452" s="3301"/>
      <c r="J452" s="3301"/>
      <c r="K452" s="3301"/>
    </row>
    <row r="453" spans="1:11">
      <c r="A453" s="3301">
        <v>116</v>
      </c>
      <c r="B453" s="3301" t="s">
        <v>3737</v>
      </c>
      <c r="C453" s="3301" t="s">
        <v>3324</v>
      </c>
      <c r="D453" s="3301" t="s">
        <v>4479</v>
      </c>
      <c r="E453" s="3301">
        <v>19.420000000000002</v>
      </c>
      <c r="F453" s="3301">
        <v>8.11</v>
      </c>
      <c r="G453" s="3301" t="s">
        <v>3738</v>
      </c>
      <c r="H453" s="3301" t="s">
        <v>3738</v>
      </c>
      <c r="I453" s="3301"/>
      <c r="J453" s="3301"/>
      <c r="K453" s="3301"/>
    </row>
    <row r="454" spans="1:11">
      <c r="A454" s="3301">
        <v>117</v>
      </c>
      <c r="B454" s="3301" t="s">
        <v>3737</v>
      </c>
      <c r="C454" s="3301" t="s">
        <v>3324</v>
      </c>
      <c r="D454" s="3301" t="s">
        <v>4478</v>
      </c>
      <c r="E454" s="3301">
        <v>11.85</v>
      </c>
      <c r="F454" s="3301">
        <v>4.95</v>
      </c>
      <c r="G454" s="3301" t="s">
        <v>3738</v>
      </c>
      <c r="H454" s="3301" t="s">
        <v>3738</v>
      </c>
      <c r="I454" s="3301"/>
      <c r="J454" s="3301"/>
      <c r="K454" s="3301"/>
    </row>
  </sheetData>
  <autoFilter ref="A2:K454"/>
  <mergeCells count="1">
    <mergeCell ref="A1:K1"/>
  </mergeCells>
  <phoneticPr fontId="135"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7"/>
    <col min="2" max="2" width="26" style="3226" customWidth="1"/>
    <col min="3" max="3" width="41.875" style="3226" customWidth="1"/>
    <col min="4" max="4" width="24.25" style="3226" hidden="1" customWidth="1"/>
    <col min="5" max="5" width="18.375" style="3226" customWidth="1"/>
    <col min="6" max="6" width="9.875" style="3226" customWidth="1"/>
    <col min="7" max="7" width="14.75" style="3226" customWidth="1"/>
    <col min="8" max="8" width="16.25" style="3226" customWidth="1"/>
    <col min="9" max="9" width="61.375" style="3226" customWidth="1"/>
    <col min="10" max="16384" width="9" style="3226"/>
  </cols>
  <sheetData>
    <row r="1" spans="1:9" s="3309" customFormat="1" ht="25.5">
      <c r="A1" s="3429" t="s">
        <v>3728</v>
      </c>
      <c r="B1" s="3429"/>
      <c r="C1" s="3429"/>
      <c r="D1" s="3429"/>
      <c r="E1" s="3429"/>
      <c r="F1" s="3429"/>
      <c r="G1" s="3429"/>
      <c r="H1" s="3429"/>
    </row>
    <row r="2" spans="1:9" s="3309" customFormat="1">
      <c r="A2" s="3311" t="s">
        <v>3729</v>
      </c>
      <c r="B2" s="3310" t="s">
        <v>3730</v>
      </c>
      <c r="C2" s="3225" t="s">
        <v>3731</v>
      </c>
      <c r="D2" s="3225" t="s">
        <v>3732</v>
      </c>
      <c r="E2" s="3225" t="s">
        <v>3410</v>
      </c>
      <c r="F2" s="3225" t="s">
        <v>3733</v>
      </c>
      <c r="G2" s="3225" t="s">
        <v>3734</v>
      </c>
      <c r="H2" s="3225" t="s">
        <v>3735</v>
      </c>
      <c r="I2" s="3225" t="s">
        <v>3736</v>
      </c>
    </row>
    <row r="3" spans="1:9" s="3303" customFormat="1" ht="16.5">
      <c r="A3" s="3288">
        <v>1</v>
      </c>
      <c r="B3" s="3306" t="s">
        <v>3737</v>
      </c>
      <c r="C3" s="3289" t="s">
        <v>4453</v>
      </c>
      <c r="D3" s="3290"/>
      <c r="E3" s="3305">
        <f>VLOOKUP(C3,[5]住宅签约台账!$W$4:$X$181,2,0)</f>
        <v>109.72</v>
      </c>
      <c r="F3" s="3290" t="s">
        <v>3738</v>
      </c>
      <c r="G3" s="3290" t="s">
        <v>3738</v>
      </c>
      <c r="H3" s="3290"/>
      <c r="I3" s="3308" t="s">
        <v>3739</v>
      </c>
    </row>
    <row r="4" spans="1:9" s="3303" customFormat="1" ht="16.5">
      <c r="A4" s="3288">
        <v>2</v>
      </c>
      <c r="B4" s="3306" t="s">
        <v>3737</v>
      </c>
      <c r="C4" s="3289" t="s">
        <v>4454</v>
      </c>
      <c r="D4" s="3290"/>
      <c r="E4" s="3305">
        <f>VLOOKUP(C4,[5]住宅签约台账!$W$4:$X$181,2,0)</f>
        <v>109.72</v>
      </c>
      <c r="F4" s="3290" t="s">
        <v>3738</v>
      </c>
      <c r="G4" s="3290" t="s">
        <v>3738</v>
      </c>
      <c r="H4" s="3290"/>
      <c r="I4" s="3308" t="s">
        <v>3740</v>
      </c>
    </row>
    <row r="5" spans="1:9" ht="16.5">
      <c r="A5" s="3288">
        <v>3</v>
      </c>
      <c r="B5" s="3306" t="s">
        <v>3737</v>
      </c>
      <c r="C5" s="3289" t="s">
        <v>4455</v>
      </c>
      <c r="D5" s="3290"/>
      <c r="E5" s="3305">
        <f>VLOOKUP(C5,[5]住宅签约台账!$W$4:$X$181,2,0)</f>
        <v>109.72</v>
      </c>
      <c r="F5" s="3290" t="s">
        <v>3738</v>
      </c>
      <c r="G5" s="3290" t="s">
        <v>3738</v>
      </c>
      <c r="H5" s="3290"/>
      <c r="I5" s="3308" t="s">
        <v>3741</v>
      </c>
    </row>
    <row r="6" spans="1:9" ht="16.5">
      <c r="A6" s="3288">
        <v>4</v>
      </c>
      <c r="B6" s="3306" t="s">
        <v>3737</v>
      </c>
      <c r="C6" s="3289" t="s">
        <v>4456</v>
      </c>
      <c r="D6" s="3290"/>
      <c r="E6" s="3305">
        <f>VLOOKUP(C6,[5]住宅签约台账!$W$4:$X$181,2,0)</f>
        <v>109.72</v>
      </c>
      <c r="F6" s="3290" t="s">
        <v>3738</v>
      </c>
      <c r="G6" s="3290" t="s">
        <v>3738</v>
      </c>
      <c r="H6" s="3290"/>
      <c r="I6" s="3308" t="s">
        <v>3742</v>
      </c>
    </row>
    <row r="7" spans="1:9" ht="16.5">
      <c r="A7" s="3288">
        <v>5</v>
      </c>
      <c r="B7" s="3306" t="s">
        <v>3737</v>
      </c>
      <c r="C7" s="3289" t="s">
        <v>4457</v>
      </c>
      <c r="D7" s="3290"/>
      <c r="E7" s="3305">
        <f>VLOOKUP(C7,[5]住宅签约台账!$W$4:$X$181,2,0)</f>
        <v>109.72</v>
      </c>
      <c r="F7" s="3290" t="s">
        <v>3738</v>
      </c>
      <c r="G7" s="3290" t="s">
        <v>3738</v>
      </c>
      <c r="H7" s="3290"/>
      <c r="I7" s="3308" t="s">
        <v>3743</v>
      </c>
    </row>
    <row r="8" spans="1:9" s="3303" customFormat="1" ht="16.5">
      <c r="A8" s="3288">
        <v>6</v>
      </c>
      <c r="B8" s="3306" t="s">
        <v>3737</v>
      </c>
      <c r="C8" s="3289" t="s">
        <v>4458</v>
      </c>
      <c r="D8" s="3290"/>
      <c r="E8" s="3305">
        <f>VLOOKUP(C8,[5]住宅签约台账!$W$4:$X$181,2,0)</f>
        <v>109.72</v>
      </c>
      <c r="F8" s="3290" t="s">
        <v>3738</v>
      </c>
      <c r="G8" s="3290" t="s">
        <v>3738</v>
      </c>
      <c r="H8" s="3290"/>
      <c r="I8" s="3307" t="s">
        <v>3744</v>
      </c>
    </row>
    <row r="9" spans="1:9" s="3303" customFormat="1" ht="16.5">
      <c r="A9" s="3288">
        <v>7</v>
      </c>
      <c r="B9" s="3306" t="s">
        <v>3737</v>
      </c>
      <c r="C9" s="3289" t="s">
        <v>4459</v>
      </c>
      <c r="D9" s="3290"/>
      <c r="E9" s="3305">
        <f>VLOOKUP(C9,[5]住宅签约台账!$W$4:$X$181,2,0)</f>
        <v>109.72</v>
      </c>
      <c r="F9" s="3290" t="s">
        <v>3738</v>
      </c>
      <c r="G9" s="3290" t="s">
        <v>3738</v>
      </c>
      <c r="H9" s="3290"/>
      <c r="I9" s="3308" t="s">
        <v>3745</v>
      </c>
    </row>
    <row r="10" spans="1:9" ht="16.5">
      <c r="A10" s="3288">
        <v>8</v>
      </c>
      <c r="B10" s="3306" t="s">
        <v>3737</v>
      </c>
      <c r="C10" s="3289" t="s">
        <v>4460</v>
      </c>
      <c r="D10" s="3290"/>
      <c r="E10" s="3305">
        <f>VLOOKUP(C10,[5]住宅签约台账!$W$4:$X$181,2,0)</f>
        <v>109.72</v>
      </c>
      <c r="F10" s="3290" t="s">
        <v>3738</v>
      </c>
      <c r="G10" s="3290" t="s">
        <v>3738</v>
      </c>
      <c r="H10" s="3290"/>
      <c r="I10" s="3308" t="s">
        <v>3746</v>
      </c>
    </row>
    <row r="11" spans="1:9" ht="16.5">
      <c r="A11" s="3288">
        <v>9</v>
      </c>
      <c r="B11" s="3306" t="s">
        <v>3737</v>
      </c>
      <c r="C11" s="3291" t="s">
        <v>4461</v>
      </c>
      <c r="D11" s="3290"/>
      <c r="E11" s="3305">
        <f>VLOOKUP(C11,[5]住宅签约台账!$W$4:$X$181,2,0)</f>
        <v>109.72</v>
      </c>
      <c r="F11" s="3290" t="s">
        <v>3738</v>
      </c>
      <c r="G11" s="3290" t="s">
        <v>3738</v>
      </c>
      <c r="H11" s="3290"/>
      <c r="I11" s="3307" t="s">
        <v>3747</v>
      </c>
    </row>
    <row r="12" spans="1:9" ht="16.5">
      <c r="A12" s="3288">
        <v>10</v>
      </c>
      <c r="B12" s="3306" t="s">
        <v>3737</v>
      </c>
      <c r="C12" s="3289" t="s">
        <v>4462</v>
      </c>
      <c r="D12" s="3290"/>
      <c r="E12" s="3305">
        <f>VLOOKUP(C12,[5]住宅签约台账!$W$4:$X$181,2,0)</f>
        <v>109.72</v>
      </c>
      <c r="F12" s="3290" t="s">
        <v>3738</v>
      </c>
      <c r="G12" s="3290" t="s">
        <v>3738</v>
      </c>
      <c r="H12" s="3290"/>
      <c r="I12" s="3307" t="s">
        <v>3748</v>
      </c>
    </row>
    <row r="13" spans="1:9" ht="16.5">
      <c r="A13" s="3288">
        <v>11</v>
      </c>
      <c r="B13" s="3306" t="s">
        <v>3737</v>
      </c>
      <c r="C13" s="3289" t="s">
        <v>4463</v>
      </c>
      <c r="D13" s="3290"/>
      <c r="E13" s="3305">
        <f>VLOOKUP(C13,[5]住宅签约台账!$W$4:$X$181,2,0)</f>
        <v>109.72</v>
      </c>
      <c r="F13" s="3290" t="s">
        <v>3738</v>
      </c>
      <c r="G13" s="3290" t="s">
        <v>3738</v>
      </c>
      <c r="H13" s="3290"/>
      <c r="I13" s="3308" t="s">
        <v>3749</v>
      </c>
    </row>
    <row r="14" spans="1:9" ht="16.5">
      <c r="A14" s="3288">
        <v>12</v>
      </c>
      <c r="B14" s="3306" t="s">
        <v>3737</v>
      </c>
      <c r="C14" s="3289" t="s">
        <v>4464</v>
      </c>
      <c r="D14" s="3290"/>
      <c r="E14" s="3305">
        <f>VLOOKUP(C14,[5]住宅签约台账!$W$4:$X$181,2,0)</f>
        <v>109.72</v>
      </c>
      <c r="F14" s="3290" t="s">
        <v>3738</v>
      </c>
      <c r="G14" s="3290" t="s">
        <v>3738</v>
      </c>
      <c r="H14" s="3290"/>
      <c r="I14" s="3307" t="s">
        <v>3750</v>
      </c>
    </row>
    <row r="15" spans="1:9" ht="16.5">
      <c r="A15" s="3288">
        <v>13</v>
      </c>
      <c r="B15" s="3306" t="s">
        <v>3737</v>
      </c>
      <c r="C15" s="3291" t="s">
        <v>4465</v>
      </c>
      <c r="D15" s="3290"/>
      <c r="E15" s="3305">
        <f>VLOOKUP(C15,[5]住宅签约台账!$W$4:$X$181,2,0)</f>
        <v>109.72</v>
      </c>
      <c r="F15" s="3290" t="s">
        <v>3738</v>
      </c>
      <c r="G15" s="3290" t="s">
        <v>3738</v>
      </c>
      <c r="H15" s="3290"/>
      <c r="I15" s="3307" t="s">
        <v>3751</v>
      </c>
    </row>
    <row r="16" spans="1:9" ht="16.5">
      <c r="A16" s="3288">
        <v>14</v>
      </c>
      <c r="B16" s="3306" t="s">
        <v>3737</v>
      </c>
      <c r="C16" s="3289" t="s">
        <v>4466</v>
      </c>
      <c r="D16" s="3290"/>
      <c r="E16" s="3305">
        <f>VLOOKUP(C16,[5]住宅签约台账!$W$4:$X$181,2,0)</f>
        <v>109.72</v>
      </c>
      <c r="F16" s="3290" t="s">
        <v>3738</v>
      </c>
      <c r="G16" s="3290" t="s">
        <v>3738</v>
      </c>
      <c r="H16" s="3290"/>
      <c r="I16" s="3307" t="s">
        <v>3752</v>
      </c>
    </row>
    <row r="17" spans="1:9" ht="16.5">
      <c r="A17" s="3288">
        <v>15</v>
      </c>
      <c r="B17" s="3306" t="s">
        <v>3737</v>
      </c>
      <c r="C17" s="3289" t="s">
        <v>4467</v>
      </c>
      <c r="D17" s="3290"/>
      <c r="E17" s="3305">
        <f>VLOOKUP(C17,[5]住宅签约台账!$W$4:$X$181,2,0)</f>
        <v>109.72</v>
      </c>
      <c r="F17" s="3290" t="s">
        <v>3738</v>
      </c>
      <c r="G17" s="3290" t="s">
        <v>3738</v>
      </c>
      <c r="H17" s="3290"/>
      <c r="I17" s="3307" t="s">
        <v>3753</v>
      </c>
    </row>
    <row r="18" spans="1:9" ht="16.5">
      <c r="A18" s="3288">
        <v>16</v>
      </c>
      <c r="B18" s="3306" t="s">
        <v>3737</v>
      </c>
      <c r="C18" s="3289" t="s">
        <v>4468</v>
      </c>
      <c r="D18" s="3290"/>
      <c r="E18" s="3305">
        <f>VLOOKUP(C18,[5]住宅签约台账!$W$4:$X$181,2,0)</f>
        <v>109.72</v>
      </c>
      <c r="F18" s="3290" t="s">
        <v>3738</v>
      </c>
      <c r="G18" s="3290" t="s">
        <v>3738</v>
      </c>
      <c r="H18" s="3290"/>
      <c r="I18" s="3307" t="s">
        <v>3754</v>
      </c>
    </row>
    <row r="19" spans="1:9" ht="16.5">
      <c r="A19" s="3288">
        <v>17</v>
      </c>
      <c r="B19" s="3306" t="s">
        <v>3737</v>
      </c>
      <c r="C19" s="3291" t="s">
        <v>3755</v>
      </c>
      <c r="D19" s="3290"/>
      <c r="E19" s="3305">
        <f>VLOOKUP(C19,[5]住宅签约台账!$W$4:$X$181,2,0)</f>
        <v>109.72</v>
      </c>
      <c r="F19" s="3290" t="s">
        <v>3738</v>
      </c>
      <c r="G19" s="3290" t="s">
        <v>3738</v>
      </c>
      <c r="H19" s="3290"/>
      <c r="I19" s="3307" t="s">
        <v>3756</v>
      </c>
    </row>
    <row r="20" spans="1:9" ht="16.5">
      <c r="A20" s="3288">
        <v>18</v>
      </c>
      <c r="B20" s="3306" t="s">
        <v>3737</v>
      </c>
      <c r="C20" s="3289" t="s">
        <v>3757</v>
      </c>
      <c r="D20" s="3290"/>
      <c r="E20" s="3305">
        <f>VLOOKUP(C20,[5]住宅签约台账!$W$4:$X$181,2,0)</f>
        <v>109.72</v>
      </c>
      <c r="F20" s="3290" t="s">
        <v>3738</v>
      </c>
      <c r="G20" s="3290" t="s">
        <v>3738</v>
      </c>
      <c r="H20" s="3290"/>
      <c r="I20" s="3307" t="s">
        <v>3758</v>
      </c>
    </row>
    <row r="21" spans="1:9" ht="16.5">
      <c r="A21" s="3288">
        <v>19</v>
      </c>
      <c r="B21" s="3306" t="s">
        <v>3737</v>
      </c>
      <c r="C21" s="3291" t="s">
        <v>3759</v>
      </c>
      <c r="D21" s="3290"/>
      <c r="E21" s="3305">
        <f>VLOOKUP(C21,[5]住宅签约台账!$W$4:$X$181,2,0)</f>
        <v>110.17</v>
      </c>
      <c r="F21" s="3290" t="s">
        <v>3738</v>
      </c>
      <c r="G21" s="3290" t="s">
        <v>3738</v>
      </c>
      <c r="H21" s="3290"/>
      <c r="I21" s="3307" t="s">
        <v>3760</v>
      </c>
    </row>
    <row r="22" spans="1:9" ht="16.5">
      <c r="A22" s="3288">
        <v>20</v>
      </c>
      <c r="B22" s="3306" t="s">
        <v>3737</v>
      </c>
      <c r="C22" s="3291" t="s">
        <v>3761</v>
      </c>
      <c r="D22" s="3290"/>
      <c r="E22" s="3305">
        <f>VLOOKUP(C22,[5]住宅签约台账!$W$4:$X$181,2,0)</f>
        <v>109.72</v>
      </c>
      <c r="F22" s="3290" t="s">
        <v>3738</v>
      </c>
      <c r="G22" s="3290" t="s">
        <v>3738</v>
      </c>
      <c r="H22" s="3290"/>
      <c r="I22" s="3307" t="s">
        <v>3762</v>
      </c>
    </row>
    <row r="23" spans="1:9" ht="16.5">
      <c r="A23" s="3288">
        <v>21</v>
      </c>
      <c r="B23" s="3306" t="s">
        <v>3737</v>
      </c>
      <c r="C23" s="3289" t="s">
        <v>3763</v>
      </c>
      <c r="D23" s="3290"/>
      <c r="E23" s="3305">
        <f>VLOOKUP(C23,[5]住宅签约台账!$W$4:$X$181,2,0)</f>
        <v>109.72</v>
      </c>
      <c r="F23" s="3290" t="s">
        <v>3738</v>
      </c>
      <c r="G23" s="3290" t="s">
        <v>3738</v>
      </c>
      <c r="H23" s="3290"/>
      <c r="I23" s="3307" t="s">
        <v>3764</v>
      </c>
    </row>
    <row r="24" spans="1:9" ht="16.5">
      <c r="A24" s="3288">
        <v>22</v>
      </c>
      <c r="B24" s="3306" t="s">
        <v>3737</v>
      </c>
      <c r="C24" s="3291" t="s">
        <v>3765</v>
      </c>
      <c r="D24" s="3290"/>
      <c r="E24" s="3305">
        <f>VLOOKUP(C24,[5]住宅签约台账!$W$4:$X$181,2,0)</f>
        <v>109.72</v>
      </c>
      <c r="F24" s="3290" t="s">
        <v>3738</v>
      </c>
      <c r="G24" s="3290" t="s">
        <v>3738</v>
      </c>
      <c r="H24" s="3290"/>
      <c r="I24" s="3307" t="s">
        <v>3766</v>
      </c>
    </row>
    <row r="25" spans="1:9" ht="16.5">
      <c r="A25" s="3288">
        <v>23</v>
      </c>
      <c r="B25" s="3306" t="s">
        <v>3737</v>
      </c>
      <c r="C25" s="3291" t="s">
        <v>3767</v>
      </c>
      <c r="D25" s="3290"/>
      <c r="E25" s="3305">
        <f>VLOOKUP(C25,[5]住宅签约台账!$W$4:$X$181,2,0)</f>
        <v>109.72</v>
      </c>
      <c r="F25" s="3290" t="s">
        <v>3738</v>
      </c>
      <c r="G25" s="3290" t="s">
        <v>3738</v>
      </c>
      <c r="H25" s="3290"/>
      <c r="I25" s="3307" t="s">
        <v>3768</v>
      </c>
    </row>
    <row r="26" spans="1:9" ht="16.5">
      <c r="A26" s="3288">
        <v>24</v>
      </c>
      <c r="B26" s="3306" t="s">
        <v>3737</v>
      </c>
      <c r="C26" s="3291" t="s">
        <v>3769</v>
      </c>
      <c r="D26" s="3290"/>
      <c r="E26" s="3305">
        <f>VLOOKUP(C26,[5]住宅签约台账!$W$4:$X$181,2,0)</f>
        <v>109.72</v>
      </c>
      <c r="F26" s="3290" t="s">
        <v>3738</v>
      </c>
      <c r="G26" s="3290" t="s">
        <v>3738</v>
      </c>
      <c r="H26" s="3290"/>
      <c r="I26" s="3292" t="s">
        <v>3770</v>
      </c>
    </row>
    <row r="27" spans="1:9" ht="16.5">
      <c r="A27" s="3288">
        <v>25</v>
      </c>
      <c r="B27" s="3306" t="s">
        <v>3737</v>
      </c>
      <c r="C27" s="3291" t="s">
        <v>3771</v>
      </c>
      <c r="D27" s="3290"/>
      <c r="E27" s="3305">
        <f>VLOOKUP(C27,[5]住宅签约台账!$W$4:$X$181,2,0)</f>
        <v>109.72</v>
      </c>
      <c r="F27" s="3290" t="s">
        <v>3738</v>
      </c>
      <c r="G27" s="3290" t="s">
        <v>3738</v>
      </c>
      <c r="H27" s="3290"/>
      <c r="I27" s="3292" t="s">
        <v>3772</v>
      </c>
    </row>
    <row r="28" spans="1:9" ht="16.5">
      <c r="A28" s="3288">
        <v>26</v>
      </c>
      <c r="B28" s="3306" t="s">
        <v>3737</v>
      </c>
      <c r="C28" s="3291" t="s">
        <v>3773</v>
      </c>
      <c r="D28" s="3290"/>
      <c r="E28" s="3305">
        <f>VLOOKUP(C28,[5]住宅签约台账!$W$4:$X$181,2,0)</f>
        <v>109.72</v>
      </c>
      <c r="F28" s="3290" t="s">
        <v>3738</v>
      </c>
      <c r="G28" s="3290" t="s">
        <v>3738</v>
      </c>
      <c r="H28" s="3290"/>
      <c r="I28" s="3292" t="s">
        <v>3774</v>
      </c>
    </row>
    <row r="29" spans="1:9" ht="16.5">
      <c r="A29" s="3288">
        <v>27</v>
      </c>
      <c r="B29" s="3306" t="s">
        <v>3737</v>
      </c>
      <c r="C29" s="3291" t="s">
        <v>3775</v>
      </c>
      <c r="D29" s="3290"/>
      <c r="E29" s="3305">
        <f>VLOOKUP(C29,[5]住宅签约台账!$W$4:$X$181,2,0)</f>
        <v>109.72</v>
      </c>
      <c r="F29" s="3290" t="s">
        <v>3738</v>
      </c>
      <c r="G29" s="3290" t="s">
        <v>3738</v>
      </c>
      <c r="H29" s="3290"/>
      <c r="I29" s="3292" t="s">
        <v>3776</v>
      </c>
    </row>
    <row r="30" spans="1:9" ht="16.5">
      <c r="A30" s="3288">
        <v>28</v>
      </c>
      <c r="B30" s="3306" t="s">
        <v>3737</v>
      </c>
      <c r="C30" s="3291" t="s">
        <v>3777</v>
      </c>
      <c r="D30" s="3290"/>
      <c r="E30" s="3305">
        <f>VLOOKUP(C30,[5]住宅签约台账!$W$4:$X$181,2,0)</f>
        <v>109.72</v>
      </c>
      <c r="F30" s="3290" t="s">
        <v>3738</v>
      </c>
      <c r="G30" s="3290" t="s">
        <v>3738</v>
      </c>
      <c r="H30" s="3290"/>
      <c r="I30" s="3292" t="s">
        <v>3778</v>
      </c>
    </row>
    <row r="31" spans="1:9" ht="16.5">
      <c r="A31" s="3288">
        <v>29</v>
      </c>
      <c r="B31" s="3306" t="s">
        <v>3737</v>
      </c>
      <c r="C31" s="3291" t="s">
        <v>4469</v>
      </c>
      <c r="D31" s="3290"/>
      <c r="E31" s="3305">
        <f>VLOOKUP(C31,[5]住宅签约台账!$W$4:$X$181,2,0)</f>
        <v>110.17</v>
      </c>
      <c r="F31" s="3290" t="s">
        <v>3738</v>
      </c>
      <c r="G31" s="3290" t="s">
        <v>3738</v>
      </c>
      <c r="H31" s="3290"/>
      <c r="I31" s="3292" t="s">
        <v>3779</v>
      </c>
    </row>
    <row r="32" spans="1:9" ht="16.5">
      <c r="A32" s="3288">
        <v>30</v>
      </c>
      <c r="B32" s="3306" t="s">
        <v>3737</v>
      </c>
      <c r="C32" s="3291" t="s">
        <v>3780</v>
      </c>
      <c r="D32" s="3290"/>
      <c r="E32" s="3305">
        <f>VLOOKUP(C32,[5]住宅签约台账!$W$4:$X$181,2,0)</f>
        <v>109.72</v>
      </c>
      <c r="F32" s="3290" t="s">
        <v>3738</v>
      </c>
      <c r="G32" s="3290" t="s">
        <v>3738</v>
      </c>
      <c r="H32" s="3290"/>
      <c r="I32" s="3292" t="s">
        <v>3781</v>
      </c>
    </row>
    <row r="33" spans="1:9" s="3303" customFormat="1" ht="16.5">
      <c r="A33" s="3288">
        <v>31</v>
      </c>
      <c r="B33" s="3306" t="s">
        <v>3737</v>
      </c>
      <c r="C33" s="3291" t="s">
        <v>3782</v>
      </c>
      <c r="D33" s="3290"/>
      <c r="E33" s="3305">
        <f>VLOOKUP(C33,[5]住宅签约台账!$W$4:$X$181,2,0)</f>
        <v>110.17</v>
      </c>
      <c r="F33" s="3290" t="s">
        <v>3738</v>
      </c>
      <c r="G33" s="3290" t="s">
        <v>3738</v>
      </c>
      <c r="H33" s="3290"/>
      <c r="I33" s="3292" t="s">
        <v>3783</v>
      </c>
    </row>
    <row r="34" spans="1:9" s="3303" customFormat="1" ht="16.5">
      <c r="A34" s="3288">
        <v>32</v>
      </c>
      <c r="B34" s="3306" t="s">
        <v>3737</v>
      </c>
      <c r="C34" s="3289" t="s">
        <v>3784</v>
      </c>
      <c r="D34" s="3290"/>
      <c r="E34" s="3305">
        <f>VLOOKUP(C34,[5]住宅签约台账!$W$4:$X$181,2,0)</f>
        <v>139.9</v>
      </c>
      <c r="F34" s="3290" t="s">
        <v>3738</v>
      </c>
      <c r="G34" s="3290" t="s">
        <v>3738</v>
      </c>
      <c r="H34" s="3290"/>
      <c r="I34" s="3308" t="s">
        <v>3785</v>
      </c>
    </row>
    <row r="35" spans="1:9" s="3303" customFormat="1" ht="16.5">
      <c r="A35" s="3288">
        <v>33</v>
      </c>
      <c r="B35" s="3306" t="s">
        <v>3737</v>
      </c>
      <c r="C35" s="3289" t="s">
        <v>3786</v>
      </c>
      <c r="D35" s="3290"/>
      <c r="E35" s="3305">
        <f>VLOOKUP(C35,[5]住宅签约台账!$W$4:$X$181,2,0)</f>
        <v>139.9</v>
      </c>
      <c r="F35" s="3290" t="s">
        <v>3738</v>
      </c>
      <c r="G35" s="3290" t="s">
        <v>3738</v>
      </c>
      <c r="H35" s="3290"/>
      <c r="I35" s="3307" t="s">
        <v>3787</v>
      </c>
    </row>
    <row r="36" spans="1:9" ht="16.5">
      <c r="A36" s="3288">
        <v>34</v>
      </c>
      <c r="B36" s="3306" t="s">
        <v>3737</v>
      </c>
      <c r="C36" s="3291" t="s">
        <v>3788</v>
      </c>
      <c r="D36" s="3290"/>
      <c r="E36" s="3305">
        <f>VLOOKUP(C36,[5]住宅签约台账!$W$4:$X$181,2,0)</f>
        <v>140.91999999999999</v>
      </c>
      <c r="F36" s="3290" t="s">
        <v>3738</v>
      </c>
      <c r="G36" s="3290" t="s">
        <v>3738</v>
      </c>
      <c r="H36" s="3290"/>
      <c r="I36" s="3307" t="s">
        <v>3789</v>
      </c>
    </row>
    <row r="37" spans="1:9" s="3303" customFormat="1" ht="16.5">
      <c r="A37" s="3288">
        <v>35</v>
      </c>
      <c r="B37" s="3306" t="s">
        <v>3737</v>
      </c>
      <c r="C37" s="3291" t="s">
        <v>3790</v>
      </c>
      <c r="D37" s="3290"/>
      <c r="E37" s="3305">
        <f>VLOOKUP(C37,[5]住宅签约台账!$W$4:$X$181,2,0)</f>
        <v>140.91999999999999</v>
      </c>
      <c r="F37" s="3290" t="s">
        <v>3738</v>
      </c>
      <c r="G37" s="3290" t="s">
        <v>3738</v>
      </c>
      <c r="H37" s="3290"/>
      <c r="I37" s="3307" t="s">
        <v>3791</v>
      </c>
    </row>
    <row r="38" spans="1:9" s="3303" customFormat="1" ht="16.5">
      <c r="A38" s="3288">
        <v>36</v>
      </c>
      <c r="B38" s="3306" t="s">
        <v>3737</v>
      </c>
      <c r="C38" s="3291" t="s">
        <v>3792</v>
      </c>
      <c r="D38" s="3290"/>
      <c r="E38" s="3305">
        <f>VLOOKUP(C38,[5]住宅签约台账!$W$4:$X$181,2,0)</f>
        <v>139.9</v>
      </c>
      <c r="F38" s="3290" t="s">
        <v>3738</v>
      </c>
      <c r="G38" s="3290" t="s">
        <v>3738</v>
      </c>
      <c r="H38" s="3290"/>
      <c r="I38" s="3292" t="s">
        <v>3793</v>
      </c>
    </row>
    <row r="39" spans="1:9" s="3303" customFormat="1" ht="16.5">
      <c r="A39" s="3288">
        <v>37</v>
      </c>
      <c r="B39" s="3306" t="s">
        <v>3737</v>
      </c>
      <c r="C39" s="3291" t="s">
        <v>3794</v>
      </c>
      <c r="D39" s="3290"/>
      <c r="E39" s="3305">
        <f>VLOOKUP(C39,[5]住宅签约台账!$W$4:$X$181,2,0)</f>
        <v>140.91999999999999</v>
      </c>
      <c r="F39" s="3290" t="s">
        <v>3738</v>
      </c>
      <c r="G39" s="3290" t="s">
        <v>3738</v>
      </c>
      <c r="H39" s="3290"/>
      <c r="I39" s="3292" t="s">
        <v>3795</v>
      </c>
    </row>
    <row r="40" spans="1:9" ht="16.5">
      <c r="A40" s="3288">
        <v>38</v>
      </c>
      <c r="B40" s="3306" t="s">
        <v>3737</v>
      </c>
      <c r="C40" s="3291" t="s">
        <v>3796</v>
      </c>
      <c r="D40" s="3290"/>
      <c r="E40" s="3305">
        <f>VLOOKUP(C40,[5]住宅签约台账!$W$4:$X$181,2,0)</f>
        <v>140.91999999999999</v>
      </c>
      <c r="F40" s="3290" t="s">
        <v>3738</v>
      </c>
      <c r="G40" s="3290" t="s">
        <v>3738</v>
      </c>
      <c r="H40" s="3290"/>
      <c r="I40" s="3292" t="s">
        <v>3797</v>
      </c>
    </row>
    <row r="41" spans="1:9" ht="16.5">
      <c r="A41" s="3288">
        <v>39</v>
      </c>
      <c r="B41" s="3306" t="s">
        <v>3737</v>
      </c>
      <c r="C41" s="3289" t="s">
        <v>3798</v>
      </c>
      <c r="D41" s="3290"/>
      <c r="E41" s="3305">
        <f>VLOOKUP(C41,[5]住宅签约台账!$W$4:$X$181,2,0)</f>
        <v>114.93</v>
      </c>
      <c r="F41" s="3290" t="s">
        <v>3738</v>
      </c>
      <c r="G41" s="3290" t="s">
        <v>3738</v>
      </c>
      <c r="H41" s="3290"/>
      <c r="I41" s="3308" t="s">
        <v>3799</v>
      </c>
    </row>
    <row r="42" spans="1:9" ht="16.5">
      <c r="A42" s="3288">
        <v>40</v>
      </c>
      <c r="B42" s="3306" t="s">
        <v>3737</v>
      </c>
      <c r="C42" s="3291" t="s">
        <v>3800</v>
      </c>
      <c r="D42" s="3290"/>
      <c r="E42" s="3305">
        <f>VLOOKUP(C42,[5]住宅签约台账!$W$4:$X$181,2,0)</f>
        <v>114.93</v>
      </c>
      <c r="F42" s="3290" t="s">
        <v>3738</v>
      </c>
      <c r="G42" s="3290" t="s">
        <v>3738</v>
      </c>
      <c r="H42" s="3290"/>
      <c r="I42" s="3308" t="s">
        <v>3801</v>
      </c>
    </row>
    <row r="43" spans="1:9" s="3303" customFormat="1" ht="16.5">
      <c r="A43" s="3288">
        <v>41</v>
      </c>
      <c r="B43" s="3306" t="s">
        <v>3737</v>
      </c>
      <c r="C43" s="3291" t="s">
        <v>3802</v>
      </c>
      <c r="D43" s="3290"/>
      <c r="E43" s="3305">
        <f>VLOOKUP(C43,[5]住宅签约台账!$W$4:$X$181,2,0)</f>
        <v>114.93</v>
      </c>
      <c r="F43" s="3290" t="s">
        <v>3738</v>
      </c>
      <c r="G43" s="3290" t="s">
        <v>3738</v>
      </c>
      <c r="H43" s="3290"/>
      <c r="I43" s="3307" t="s">
        <v>3803</v>
      </c>
    </row>
    <row r="44" spans="1:9" s="3303" customFormat="1" ht="16.5">
      <c r="A44" s="3288">
        <v>42</v>
      </c>
      <c r="B44" s="3306" t="s">
        <v>3737</v>
      </c>
      <c r="C44" s="3291" t="s">
        <v>3804</v>
      </c>
      <c r="D44" s="3290"/>
      <c r="E44" s="3305">
        <f>VLOOKUP(C44,[5]住宅签约台账!$W$4:$X$181,2,0)</f>
        <v>131.5</v>
      </c>
      <c r="F44" s="3290" t="s">
        <v>3738</v>
      </c>
      <c r="G44" s="3290" t="s">
        <v>3738</v>
      </c>
      <c r="H44" s="3290"/>
      <c r="I44" s="3307" t="s">
        <v>3805</v>
      </c>
    </row>
    <row r="45" spans="1:9" ht="16.5">
      <c r="A45" s="3288">
        <v>43</v>
      </c>
      <c r="B45" s="3306" t="s">
        <v>3737</v>
      </c>
      <c r="C45" s="3289" t="s">
        <v>3806</v>
      </c>
      <c r="D45" s="3290"/>
      <c r="E45" s="3305">
        <f>VLOOKUP(C45,[5]住宅签约台账!$W$4:$X$181,2,0)</f>
        <v>131.5</v>
      </c>
      <c r="F45" s="3290" t="s">
        <v>3738</v>
      </c>
      <c r="G45" s="3290" t="s">
        <v>3738</v>
      </c>
      <c r="H45" s="3290"/>
      <c r="I45" s="3307" t="s">
        <v>3807</v>
      </c>
    </row>
    <row r="46" spans="1:9" s="3303" customFormat="1" ht="16.5">
      <c r="A46" s="3288">
        <v>44</v>
      </c>
      <c r="B46" s="3306" t="s">
        <v>3737</v>
      </c>
      <c r="C46" s="3289" t="s">
        <v>3808</v>
      </c>
      <c r="D46" s="3290"/>
      <c r="E46" s="3305">
        <f>VLOOKUP(C46,[5]住宅签约台账!$W$4:$X$181,2,0)</f>
        <v>131.5</v>
      </c>
      <c r="F46" s="3290" t="s">
        <v>3738</v>
      </c>
      <c r="G46" s="3290" t="s">
        <v>3738</v>
      </c>
      <c r="H46" s="3290"/>
      <c r="I46" s="3307" t="s">
        <v>3809</v>
      </c>
    </row>
    <row r="47" spans="1:9" s="3303" customFormat="1" ht="16.5">
      <c r="A47" s="3288">
        <v>45</v>
      </c>
      <c r="B47" s="3306" t="s">
        <v>3737</v>
      </c>
      <c r="C47" s="3291" t="s">
        <v>3810</v>
      </c>
      <c r="D47" s="3290"/>
      <c r="E47" s="3305">
        <f>VLOOKUP(C47,[5]住宅签约台账!$W$4:$X$181,2,0)</f>
        <v>114.93</v>
      </c>
      <c r="F47" s="3290" t="s">
        <v>3738</v>
      </c>
      <c r="G47" s="3290" t="s">
        <v>3738</v>
      </c>
      <c r="H47" s="3290"/>
      <c r="I47" s="3292" t="s">
        <v>3811</v>
      </c>
    </row>
    <row r="48" spans="1:9" ht="16.5">
      <c r="A48" s="3288">
        <v>46</v>
      </c>
      <c r="B48" s="3306" t="s">
        <v>3737</v>
      </c>
      <c r="C48" s="3291" t="s">
        <v>3812</v>
      </c>
      <c r="D48" s="3290"/>
      <c r="E48" s="3305">
        <f>VLOOKUP(C48,[5]住宅签约台账!$W$4:$X$181,2,0)</f>
        <v>114.93</v>
      </c>
      <c r="F48" s="3290" t="s">
        <v>3738</v>
      </c>
      <c r="G48" s="3290" t="s">
        <v>3738</v>
      </c>
      <c r="H48" s="3290"/>
      <c r="I48" s="3292" t="s">
        <v>3813</v>
      </c>
    </row>
    <row r="49" spans="1:9" ht="16.5">
      <c r="A49" s="3288">
        <v>47</v>
      </c>
      <c r="B49" s="3306" t="s">
        <v>3737</v>
      </c>
      <c r="C49" s="3291" t="s">
        <v>3814</v>
      </c>
      <c r="D49" s="3290"/>
      <c r="E49" s="3305">
        <f>VLOOKUP(C49,[5]住宅签约台账!$W$4:$X$181,2,0)</f>
        <v>131.5</v>
      </c>
      <c r="F49" s="3290" t="s">
        <v>3738</v>
      </c>
      <c r="G49" s="3290" t="s">
        <v>3738</v>
      </c>
      <c r="H49" s="3290"/>
      <c r="I49" s="3292" t="s">
        <v>3815</v>
      </c>
    </row>
    <row r="50" spans="1:9" ht="16.5">
      <c r="A50" s="3288">
        <v>48</v>
      </c>
      <c r="B50" s="3306" t="s">
        <v>3737</v>
      </c>
      <c r="C50" s="3291" t="s">
        <v>3816</v>
      </c>
      <c r="D50" s="3290"/>
      <c r="E50" s="3305">
        <f>VLOOKUP(C50,[5]住宅签约台账!$W$4:$X$181,2,0)</f>
        <v>131.5</v>
      </c>
      <c r="F50" s="3290" t="s">
        <v>3738</v>
      </c>
      <c r="G50" s="3290" t="s">
        <v>3738</v>
      </c>
      <c r="H50" s="3290"/>
      <c r="I50" s="3292" t="s">
        <v>3817</v>
      </c>
    </row>
    <row r="51" spans="1:9" ht="16.5">
      <c r="A51" s="3288">
        <v>49</v>
      </c>
      <c r="B51" s="3306" t="s">
        <v>3737</v>
      </c>
      <c r="C51" s="3291" t="s">
        <v>3818</v>
      </c>
      <c r="D51" s="3290"/>
      <c r="E51" s="3305">
        <f>VLOOKUP(C51,[5]住宅签约台账!$W$4:$X$181,2,0)</f>
        <v>110.18</v>
      </c>
      <c r="F51" s="3290" t="s">
        <v>3738</v>
      </c>
      <c r="G51" s="3290" t="s">
        <v>3738</v>
      </c>
      <c r="H51" s="3290"/>
      <c r="I51" s="3307" t="s">
        <v>3819</v>
      </c>
    </row>
    <row r="52" spans="1:9" ht="16.5">
      <c r="A52" s="3288">
        <v>50</v>
      </c>
      <c r="B52" s="3306" t="s">
        <v>3737</v>
      </c>
      <c r="C52" s="3289" t="s">
        <v>3820</v>
      </c>
      <c r="D52" s="3290"/>
      <c r="E52" s="3305">
        <f>VLOOKUP(C52,[5]住宅签约台账!$W$4:$X$181,2,0)</f>
        <v>110.63</v>
      </c>
      <c r="F52" s="3290" t="s">
        <v>3738</v>
      </c>
      <c r="G52" s="3290" t="s">
        <v>3738</v>
      </c>
      <c r="H52" s="3290"/>
      <c r="I52" s="3307" t="s">
        <v>3821</v>
      </c>
    </row>
    <row r="53" spans="1:9" ht="16.5">
      <c r="A53" s="3288">
        <v>51</v>
      </c>
      <c r="B53" s="3306" t="s">
        <v>3737</v>
      </c>
      <c r="C53" s="3289" t="s">
        <v>3822</v>
      </c>
      <c r="D53" s="3290"/>
      <c r="E53" s="3305">
        <f>VLOOKUP(C53,[5]住宅签约台账!$W$4:$X$181,2,0)</f>
        <v>110.18</v>
      </c>
      <c r="F53" s="3290" t="s">
        <v>3738</v>
      </c>
      <c r="G53" s="3290" t="s">
        <v>3738</v>
      </c>
      <c r="H53" s="3290"/>
      <c r="I53" s="3307" t="s">
        <v>3823</v>
      </c>
    </row>
    <row r="54" spans="1:9" ht="16.5">
      <c r="A54" s="3288">
        <v>52</v>
      </c>
      <c r="B54" s="3306" t="s">
        <v>3737</v>
      </c>
      <c r="C54" s="3289" t="s">
        <v>3824</v>
      </c>
      <c r="D54" s="3290"/>
      <c r="E54" s="3305">
        <f>VLOOKUP(C54,[5]住宅签约台账!$W$4:$X$181,2,0)</f>
        <v>110.18</v>
      </c>
      <c r="F54" s="3290" t="s">
        <v>3738</v>
      </c>
      <c r="G54" s="3290" t="s">
        <v>3738</v>
      </c>
      <c r="H54" s="3290"/>
      <c r="I54" s="3307" t="s">
        <v>3825</v>
      </c>
    </row>
    <row r="55" spans="1:9" ht="16.5">
      <c r="A55" s="3288">
        <v>53</v>
      </c>
      <c r="B55" s="3306" t="s">
        <v>3737</v>
      </c>
      <c r="C55" s="3289" t="s">
        <v>3826</v>
      </c>
      <c r="D55" s="3290"/>
      <c r="E55" s="3305">
        <f>VLOOKUP(C55,[5]住宅签约台账!$W$4:$X$181,2,0)</f>
        <v>110.18</v>
      </c>
      <c r="F55" s="3290" t="s">
        <v>3738</v>
      </c>
      <c r="G55" s="3290" t="s">
        <v>3738</v>
      </c>
      <c r="H55" s="3290"/>
      <c r="I55" s="3307" t="s">
        <v>3827</v>
      </c>
    </row>
    <row r="56" spans="1:9" ht="16.5">
      <c r="A56" s="3288">
        <v>54</v>
      </c>
      <c r="B56" s="3306" t="s">
        <v>3737</v>
      </c>
      <c r="C56" s="3289" t="s">
        <v>4741</v>
      </c>
      <c r="D56" s="3290"/>
      <c r="E56" s="3305">
        <v>110.18</v>
      </c>
      <c r="F56" s="3290" t="s">
        <v>3738</v>
      </c>
      <c r="G56" s="3290" t="s">
        <v>3738</v>
      </c>
      <c r="H56" s="3290"/>
      <c r="I56" s="3307" t="s">
        <v>4853</v>
      </c>
    </row>
    <row r="57" spans="1:9" ht="16.5">
      <c r="A57" s="3288">
        <v>55</v>
      </c>
      <c r="B57" s="3306" t="s">
        <v>3737</v>
      </c>
      <c r="C57" s="3289" t="s">
        <v>3828</v>
      </c>
      <c r="D57" s="3290"/>
      <c r="E57" s="3305">
        <f>VLOOKUP(C57,[5]住宅签约台账!$W$4:$X$181,2,0)</f>
        <v>110.63</v>
      </c>
      <c r="F57" s="3290" t="s">
        <v>3738</v>
      </c>
      <c r="G57" s="3290" t="s">
        <v>3738</v>
      </c>
      <c r="H57" s="3290"/>
      <c r="I57" s="3307" t="s">
        <v>3829</v>
      </c>
    </row>
    <row r="58" spans="1:9" ht="16.5">
      <c r="A58" s="3288">
        <v>56</v>
      </c>
      <c r="B58" s="3306" t="s">
        <v>3737</v>
      </c>
      <c r="C58" s="3291" t="s">
        <v>4470</v>
      </c>
      <c r="D58" s="3290"/>
      <c r="E58" s="3305">
        <f>VLOOKUP(C58,[5]住宅签约台账!$W$4:$X$181,2,0)</f>
        <v>114.31</v>
      </c>
      <c r="F58" s="3290" t="s">
        <v>3738</v>
      </c>
      <c r="G58" s="3290" t="s">
        <v>3738</v>
      </c>
      <c r="H58" s="3290"/>
      <c r="I58" s="3292" t="s">
        <v>4471</v>
      </c>
    </row>
    <row r="59" spans="1:9" ht="16.5">
      <c r="A59" s="3288">
        <v>57</v>
      </c>
      <c r="B59" s="3306" t="s">
        <v>3737</v>
      </c>
      <c r="C59" s="3291" t="s">
        <v>4472</v>
      </c>
      <c r="D59" s="3290"/>
      <c r="E59" s="3305">
        <f>VLOOKUP(C59,[5]住宅签约台账!$W$4:$X$181,2,0)</f>
        <v>110.63</v>
      </c>
      <c r="F59" s="3290" t="s">
        <v>3738</v>
      </c>
      <c r="G59" s="3290" t="s">
        <v>3738</v>
      </c>
      <c r="H59" s="3290"/>
      <c r="I59" s="3292" t="s">
        <v>4473</v>
      </c>
    </row>
    <row r="60" spans="1:9" ht="16.5">
      <c r="A60" s="3288">
        <v>58</v>
      </c>
      <c r="B60" s="3306" t="s">
        <v>3737</v>
      </c>
      <c r="C60" s="3289" t="s">
        <v>3830</v>
      </c>
      <c r="D60" s="3290"/>
      <c r="E60" s="3305">
        <f>VLOOKUP(C60,[5]住宅签约台账!$W$4:$X$181,2,0)</f>
        <v>110.18</v>
      </c>
      <c r="F60" s="3290" t="s">
        <v>3738</v>
      </c>
      <c r="G60" s="3290" t="s">
        <v>3738</v>
      </c>
      <c r="H60" s="3290"/>
      <c r="I60" s="3307" t="s">
        <v>3831</v>
      </c>
    </row>
    <row r="61" spans="1:9" ht="16.5">
      <c r="A61" s="3288">
        <v>59</v>
      </c>
      <c r="B61" s="3306" t="s">
        <v>3737</v>
      </c>
      <c r="C61" s="3291" t="s">
        <v>3832</v>
      </c>
      <c r="D61" s="3290"/>
      <c r="E61" s="3305">
        <f>VLOOKUP(C61,[5]住宅签约台账!$W$4:$X$181,2,0)</f>
        <v>114.31</v>
      </c>
      <c r="F61" s="3290" t="s">
        <v>3738</v>
      </c>
      <c r="G61" s="3290" t="s">
        <v>3738</v>
      </c>
      <c r="H61" s="3290"/>
      <c r="I61" s="3293" t="s">
        <v>3833</v>
      </c>
    </row>
    <row r="62" spans="1:9" ht="16.5">
      <c r="A62" s="3288">
        <v>60</v>
      </c>
      <c r="B62" s="3306" t="s">
        <v>3737</v>
      </c>
      <c r="C62" s="3291" t="s">
        <v>3834</v>
      </c>
      <c r="D62" s="3290"/>
      <c r="E62" s="3305">
        <f>VLOOKUP(C62,[5]住宅签约台账!$W$4:$X$181,2,0)</f>
        <v>114.31</v>
      </c>
      <c r="F62" s="3290" t="s">
        <v>3738</v>
      </c>
      <c r="G62" s="3290" t="s">
        <v>3738</v>
      </c>
      <c r="H62" s="3290"/>
      <c r="I62" s="3307" t="s">
        <v>3835</v>
      </c>
    </row>
    <row r="63" spans="1:9" ht="16.5">
      <c r="A63" s="3288">
        <v>61</v>
      </c>
      <c r="B63" s="3306" t="s">
        <v>3737</v>
      </c>
      <c r="C63" s="3291" t="s">
        <v>3836</v>
      </c>
      <c r="D63" s="3290"/>
      <c r="E63" s="3305">
        <f>VLOOKUP(C63,[5]住宅签约台账!$W$4:$X$181,2,0)</f>
        <v>110.18</v>
      </c>
      <c r="F63" s="3290" t="s">
        <v>3738</v>
      </c>
      <c r="G63" s="3290" t="s">
        <v>3738</v>
      </c>
      <c r="H63" s="3290"/>
      <c r="I63" s="3293" t="s">
        <v>3837</v>
      </c>
    </row>
    <row r="64" spans="1:9" ht="16.5">
      <c r="A64" s="3288">
        <v>62</v>
      </c>
      <c r="B64" s="3306" t="s">
        <v>3737</v>
      </c>
      <c r="C64" s="3291" t="s">
        <v>3838</v>
      </c>
      <c r="D64" s="3290"/>
      <c r="E64" s="3305">
        <f>VLOOKUP(C64,[5]住宅签约台账!$W$4:$X$181,2,0)</f>
        <v>110.18</v>
      </c>
      <c r="F64" s="3290" t="s">
        <v>3738</v>
      </c>
      <c r="G64" s="3290" t="s">
        <v>3738</v>
      </c>
      <c r="H64" s="3290"/>
      <c r="I64" s="3292" t="s">
        <v>3839</v>
      </c>
    </row>
    <row r="65" spans="1:9" ht="16.5">
      <c r="A65" s="3288">
        <v>63</v>
      </c>
      <c r="B65" s="3306" t="s">
        <v>3737</v>
      </c>
      <c r="C65" s="3291" t="s">
        <v>3840</v>
      </c>
      <c r="D65" s="3290"/>
      <c r="E65" s="3305">
        <f>VLOOKUP(C65,[5]住宅签约台账!$W$4:$X$181,2,0)</f>
        <v>114.31</v>
      </c>
      <c r="F65" s="3290" t="s">
        <v>3738</v>
      </c>
      <c r="G65" s="3290" t="s">
        <v>3738</v>
      </c>
      <c r="H65" s="3290"/>
      <c r="I65" s="3292" t="s">
        <v>3841</v>
      </c>
    </row>
    <row r="66" spans="1:9" ht="16.5">
      <c r="A66" s="3288">
        <v>64</v>
      </c>
      <c r="B66" s="3306" t="s">
        <v>3737</v>
      </c>
      <c r="C66" s="3291" t="s">
        <v>3842</v>
      </c>
      <c r="D66" s="3290"/>
      <c r="E66" s="3305">
        <f>VLOOKUP(C66,[5]住宅签约台账!$W$4:$X$181,2,0)</f>
        <v>110.18</v>
      </c>
      <c r="F66" s="3290" t="s">
        <v>3738</v>
      </c>
      <c r="G66" s="3290" t="s">
        <v>3738</v>
      </c>
      <c r="H66" s="3290"/>
      <c r="I66" s="3292" t="s">
        <v>3843</v>
      </c>
    </row>
    <row r="67" spans="1:9" ht="16.5">
      <c r="A67" s="3288">
        <v>65</v>
      </c>
      <c r="B67" s="3306" t="s">
        <v>3737</v>
      </c>
      <c r="C67" s="3289" t="s">
        <v>3844</v>
      </c>
      <c r="D67" s="3290"/>
      <c r="E67" s="3305">
        <f>VLOOKUP(C67,[5]住宅签约台账!$W$4:$X$181,2,0)</f>
        <v>110.18</v>
      </c>
      <c r="F67" s="3290" t="s">
        <v>3738</v>
      </c>
      <c r="G67" s="3290" t="s">
        <v>3738</v>
      </c>
      <c r="H67" s="3290"/>
      <c r="I67" s="3308" t="s">
        <v>3845</v>
      </c>
    </row>
    <row r="68" spans="1:9" ht="16.5">
      <c r="A68" s="3288">
        <v>66</v>
      </c>
      <c r="B68" s="3306" t="s">
        <v>3737</v>
      </c>
      <c r="C68" s="3291" t="s">
        <v>4474</v>
      </c>
      <c r="D68" s="3290"/>
      <c r="E68" s="3305">
        <f>VLOOKUP(C68,[5]住宅签约台账!$W$4:$X$181,2,0)</f>
        <v>110.18</v>
      </c>
      <c r="F68" s="3290" t="s">
        <v>3738</v>
      </c>
      <c r="G68" s="3290" t="s">
        <v>3738</v>
      </c>
      <c r="H68" s="3290"/>
      <c r="I68" s="3292" t="s">
        <v>4475</v>
      </c>
    </row>
    <row r="69" spans="1:9" ht="16.5">
      <c r="A69" s="3288">
        <v>67</v>
      </c>
      <c r="B69" s="3306" t="s">
        <v>3737</v>
      </c>
      <c r="C69" s="3291" t="s">
        <v>3846</v>
      </c>
      <c r="D69" s="3290"/>
      <c r="E69" s="3305">
        <f>VLOOKUP(C69,[5]住宅签约台账!$W$4:$X$181,2,0)</f>
        <v>110.18</v>
      </c>
      <c r="F69" s="3290" t="s">
        <v>3738</v>
      </c>
      <c r="G69" s="3290" t="s">
        <v>3738</v>
      </c>
      <c r="H69" s="3290"/>
      <c r="I69" s="3293" t="s">
        <v>3847</v>
      </c>
    </row>
    <row r="70" spans="1:9" ht="14.25">
      <c r="A70" s="3288">
        <v>68</v>
      </c>
      <c r="B70" s="3306" t="s">
        <v>3737</v>
      </c>
      <c r="C70" s="3294" t="s">
        <v>4712</v>
      </c>
      <c r="D70" s="3290"/>
      <c r="E70" s="3329">
        <v>110.18</v>
      </c>
      <c r="F70" s="3290" t="s">
        <v>3738</v>
      </c>
      <c r="G70" s="3290" t="s">
        <v>3738</v>
      </c>
      <c r="H70" s="3290"/>
      <c r="I70" s="3290" t="s">
        <v>4869</v>
      </c>
    </row>
    <row r="71" spans="1:9" ht="16.5">
      <c r="A71" s="3288">
        <v>69</v>
      </c>
      <c r="B71" s="3306" t="s">
        <v>3737</v>
      </c>
      <c r="C71" s="3289" t="s">
        <v>3848</v>
      </c>
      <c r="D71" s="3290"/>
      <c r="E71" s="3305">
        <f>VLOOKUP(C71,[5]住宅签约台账!$W$4:$X$181,2,0)</f>
        <v>141.16999999999999</v>
      </c>
      <c r="F71" s="3290" t="s">
        <v>3738</v>
      </c>
      <c r="G71" s="3290" t="s">
        <v>3738</v>
      </c>
      <c r="H71" s="3290"/>
      <c r="I71" s="3293" t="s">
        <v>4819</v>
      </c>
    </row>
    <row r="72" spans="1:9" s="3303" customFormat="1" ht="16.5">
      <c r="A72" s="3288">
        <v>70</v>
      </c>
      <c r="B72" s="3306" t="s">
        <v>3737</v>
      </c>
      <c r="C72" s="3291" t="s">
        <v>3849</v>
      </c>
      <c r="D72" s="3290"/>
      <c r="E72" s="3305">
        <f>VLOOKUP(C72,[5]住宅签约台账!$W$4:$X$181,2,0)</f>
        <v>140.15</v>
      </c>
      <c r="F72" s="3290" t="s">
        <v>3738</v>
      </c>
      <c r="G72" s="3290" t="s">
        <v>3738</v>
      </c>
      <c r="H72" s="3290"/>
      <c r="I72" s="3292" t="s">
        <v>3850</v>
      </c>
    </row>
    <row r="73" spans="1:9" s="3303" customFormat="1" ht="16.5">
      <c r="A73" s="3288">
        <v>71</v>
      </c>
      <c r="B73" s="3306" t="s">
        <v>3737</v>
      </c>
      <c r="C73" s="3291" t="s">
        <v>3851</v>
      </c>
      <c r="D73" s="3290"/>
      <c r="E73" s="3305">
        <f>VLOOKUP(C73,[5]住宅签约台账!$W$4:$X$181,2,0)</f>
        <v>141.16999999999999</v>
      </c>
      <c r="F73" s="3290" t="s">
        <v>3738</v>
      </c>
      <c r="G73" s="3290" t="s">
        <v>3738</v>
      </c>
      <c r="H73" s="3290"/>
      <c r="I73" s="3292" t="s">
        <v>3852</v>
      </c>
    </row>
    <row r="74" spans="1:9" s="3303" customFormat="1" ht="16.5">
      <c r="A74" s="3288">
        <v>72</v>
      </c>
      <c r="B74" s="3306" t="s">
        <v>3737</v>
      </c>
      <c r="C74" s="3289" t="s">
        <v>3853</v>
      </c>
      <c r="D74" s="3290"/>
      <c r="E74" s="3305">
        <f>VLOOKUP(C74,[5]住宅签约台账!$W$4:$X$181,2,0)</f>
        <v>131.75</v>
      </c>
      <c r="F74" s="3290" t="s">
        <v>3738</v>
      </c>
      <c r="G74" s="3290" t="s">
        <v>3738</v>
      </c>
      <c r="H74" s="3290"/>
      <c r="I74" s="3307" t="s">
        <v>3854</v>
      </c>
    </row>
    <row r="75" spans="1:9" ht="16.5">
      <c r="A75" s="3288">
        <v>73</v>
      </c>
      <c r="B75" s="3306" t="s">
        <v>3737</v>
      </c>
      <c r="C75" s="3289" t="s">
        <v>3855</v>
      </c>
      <c r="D75" s="3290"/>
      <c r="E75" s="3305">
        <f>VLOOKUP(C75,[5]住宅签约台账!$W$4:$X$181,2,0)</f>
        <v>131.75</v>
      </c>
      <c r="F75" s="3290" t="s">
        <v>3738</v>
      </c>
      <c r="G75" s="3290" t="s">
        <v>3738</v>
      </c>
      <c r="H75" s="3290"/>
      <c r="I75" s="3307" t="s">
        <v>3856</v>
      </c>
    </row>
    <row r="76" spans="1:9" s="3303" customFormat="1" ht="16.5">
      <c r="A76" s="3288">
        <v>74</v>
      </c>
      <c r="B76" s="3306" t="s">
        <v>3737</v>
      </c>
      <c r="C76" s="3291" t="s">
        <v>3857</v>
      </c>
      <c r="D76" s="3290"/>
      <c r="E76" s="3305">
        <f>VLOOKUP(C76,[5]住宅签约台账!$W$4:$X$181,2,0)</f>
        <v>131.75</v>
      </c>
      <c r="F76" s="3290" t="s">
        <v>3738</v>
      </c>
      <c r="G76" s="3290" t="s">
        <v>3738</v>
      </c>
      <c r="H76" s="3290"/>
      <c r="I76" s="3307" t="s">
        <v>3858</v>
      </c>
    </row>
    <row r="77" spans="1:9" s="3303" customFormat="1" ht="16.5">
      <c r="A77" s="3288">
        <v>75</v>
      </c>
      <c r="B77" s="3306" t="s">
        <v>3737</v>
      </c>
      <c r="C77" s="3291" t="s">
        <v>3859</v>
      </c>
      <c r="D77" s="3290"/>
      <c r="E77" s="3305">
        <f>VLOOKUP(C77,[5]住宅签约台账!$W$4:$X$181,2,0)</f>
        <v>131.75</v>
      </c>
      <c r="F77" s="3290" t="s">
        <v>3738</v>
      </c>
      <c r="G77" s="3290" t="s">
        <v>3738</v>
      </c>
      <c r="H77" s="3290"/>
      <c r="I77" s="3307" t="s">
        <v>3860</v>
      </c>
    </row>
    <row r="78" spans="1:9" ht="16.5">
      <c r="A78" s="3288">
        <v>76</v>
      </c>
      <c r="B78" s="3306" t="s">
        <v>3737</v>
      </c>
      <c r="C78" s="3291" t="s">
        <v>3861</v>
      </c>
      <c r="D78" s="3290"/>
      <c r="E78" s="3305">
        <f>VLOOKUP(C78,[5]住宅签约台账!$W$4:$X$181,2,0)</f>
        <v>114.3</v>
      </c>
      <c r="F78" s="3290" t="s">
        <v>3738</v>
      </c>
      <c r="G78" s="3290" t="s">
        <v>3738</v>
      </c>
      <c r="H78" s="3290"/>
      <c r="I78" s="3307" t="s">
        <v>3862</v>
      </c>
    </row>
    <row r="79" spans="1:9" ht="16.5">
      <c r="A79" s="3288">
        <v>77</v>
      </c>
      <c r="B79" s="3306" t="s">
        <v>3737</v>
      </c>
      <c r="C79" s="3291" t="s">
        <v>3863</v>
      </c>
      <c r="D79" s="3290"/>
      <c r="E79" s="3305">
        <f>VLOOKUP(C79,[5]住宅签约台账!$W$4:$X$181,2,0)</f>
        <v>110.17</v>
      </c>
      <c r="F79" s="3290" t="s">
        <v>3738</v>
      </c>
      <c r="G79" s="3290" t="s">
        <v>3738</v>
      </c>
      <c r="H79" s="3290"/>
      <c r="I79" s="3308" t="s">
        <v>3864</v>
      </c>
    </row>
    <row r="80" spans="1:9" s="3303" customFormat="1" ht="16.5">
      <c r="A80" s="3288">
        <v>78</v>
      </c>
      <c r="B80" s="3306" t="s">
        <v>3737</v>
      </c>
      <c r="C80" s="3291" t="s">
        <v>3865</v>
      </c>
      <c r="D80" s="3290"/>
      <c r="E80" s="3305">
        <f>VLOOKUP(C80,[5]住宅签约台账!$W$4:$X$181,2,0)</f>
        <v>109.97</v>
      </c>
      <c r="F80" s="3290" t="s">
        <v>3738</v>
      </c>
      <c r="G80" s="3290" t="s">
        <v>3738</v>
      </c>
      <c r="H80" s="3290"/>
      <c r="I80" s="3308" t="s">
        <v>3866</v>
      </c>
    </row>
    <row r="81" spans="1:9" ht="16.5">
      <c r="A81" s="3288">
        <v>79</v>
      </c>
      <c r="B81" s="3306" t="s">
        <v>3737</v>
      </c>
      <c r="C81" s="3291" t="s">
        <v>3867</v>
      </c>
      <c r="D81" s="3290"/>
      <c r="E81" s="3305">
        <f>VLOOKUP(C81,[5]住宅签约台账!$W$4:$X$181,2,0)</f>
        <v>114.3</v>
      </c>
      <c r="F81" s="3290" t="s">
        <v>3738</v>
      </c>
      <c r="G81" s="3290" t="s">
        <v>3738</v>
      </c>
      <c r="H81" s="3290"/>
      <c r="I81" s="3307" t="s">
        <v>3868</v>
      </c>
    </row>
    <row r="82" spans="1:9" ht="16.5">
      <c r="A82" s="3288">
        <v>80</v>
      </c>
      <c r="B82" s="3306" t="s">
        <v>3737</v>
      </c>
      <c r="C82" s="3291" t="s">
        <v>3869</v>
      </c>
      <c r="D82" s="3290"/>
      <c r="E82" s="3305">
        <f>VLOOKUP(C82,[5]住宅签约台账!$W$4:$X$181,2,0)</f>
        <v>109.97</v>
      </c>
      <c r="F82" s="3290" t="s">
        <v>3738</v>
      </c>
      <c r="G82" s="3290" t="s">
        <v>3738</v>
      </c>
      <c r="H82" s="3290"/>
      <c r="I82" s="3307" t="s">
        <v>3870</v>
      </c>
    </row>
    <row r="83" spans="1:9" ht="16.5">
      <c r="A83" s="3288">
        <v>81</v>
      </c>
      <c r="B83" s="3306" t="s">
        <v>3737</v>
      </c>
      <c r="C83" s="3291" t="s">
        <v>3871</v>
      </c>
      <c r="D83" s="3290"/>
      <c r="E83" s="3305">
        <f>VLOOKUP(C83,[5]住宅签约台账!$W$4:$X$181,2,0)</f>
        <v>110.17</v>
      </c>
      <c r="F83" s="3290" t="s">
        <v>3738</v>
      </c>
      <c r="G83" s="3290" t="s">
        <v>3738</v>
      </c>
      <c r="H83" s="3290"/>
      <c r="I83" s="3308" t="s">
        <v>3872</v>
      </c>
    </row>
    <row r="84" spans="1:9" ht="16.5">
      <c r="A84" s="3288">
        <v>82</v>
      </c>
      <c r="B84" s="3306" t="s">
        <v>3737</v>
      </c>
      <c r="C84" s="3291" t="s">
        <v>3873</v>
      </c>
      <c r="D84" s="3290"/>
      <c r="E84" s="3305">
        <f>VLOOKUP(C84,[5]住宅签约台账!$W$4:$X$181,2,0)</f>
        <v>110.17</v>
      </c>
      <c r="F84" s="3290" t="s">
        <v>3738</v>
      </c>
      <c r="G84" s="3290" t="s">
        <v>3738</v>
      </c>
      <c r="H84" s="3290"/>
      <c r="I84" s="3307" t="s">
        <v>3874</v>
      </c>
    </row>
    <row r="85" spans="1:9" ht="16.5">
      <c r="A85" s="3288">
        <v>83</v>
      </c>
      <c r="B85" s="3306" t="s">
        <v>3737</v>
      </c>
      <c r="C85" s="3291" t="s">
        <v>3875</v>
      </c>
      <c r="D85" s="3290"/>
      <c r="E85" s="3305">
        <f>VLOOKUP(C85,[5]住宅签约台账!$W$4:$X$181,2,0)</f>
        <v>110.17</v>
      </c>
      <c r="F85" s="3290" t="s">
        <v>3738</v>
      </c>
      <c r="G85" s="3290" t="s">
        <v>3738</v>
      </c>
      <c r="H85" s="3290"/>
      <c r="I85" s="3307" t="s">
        <v>3876</v>
      </c>
    </row>
    <row r="86" spans="1:9" ht="16.5">
      <c r="A86" s="3288">
        <v>84</v>
      </c>
      <c r="B86" s="3306" t="s">
        <v>3737</v>
      </c>
      <c r="C86" s="3291" t="s">
        <v>3877</v>
      </c>
      <c r="D86" s="3290"/>
      <c r="E86" s="3305">
        <f>VLOOKUP(C86,[5]住宅签约台账!$W$4:$X$181,2,0)</f>
        <v>114.3</v>
      </c>
      <c r="F86" s="3290" t="s">
        <v>3738</v>
      </c>
      <c r="G86" s="3290" t="s">
        <v>3738</v>
      </c>
      <c r="H86" s="3290"/>
      <c r="I86" s="3307" t="s">
        <v>3878</v>
      </c>
    </row>
    <row r="87" spans="1:9" ht="16.5">
      <c r="A87" s="3288">
        <v>85</v>
      </c>
      <c r="B87" s="3306" t="s">
        <v>3737</v>
      </c>
      <c r="C87" s="3291" t="s">
        <v>3879</v>
      </c>
      <c r="D87" s="3290"/>
      <c r="E87" s="3305">
        <f>VLOOKUP(C87,[5]住宅签约台账!$W$4:$X$181,2,0)</f>
        <v>114.3</v>
      </c>
      <c r="F87" s="3290" t="s">
        <v>3738</v>
      </c>
      <c r="G87" s="3290" t="s">
        <v>3738</v>
      </c>
      <c r="H87" s="3290"/>
      <c r="I87" s="3292" t="s">
        <v>3880</v>
      </c>
    </row>
    <row r="88" spans="1:9" ht="16.5">
      <c r="A88" s="3288">
        <v>86</v>
      </c>
      <c r="B88" s="3306" t="s">
        <v>3737</v>
      </c>
      <c r="C88" s="3291" t="s">
        <v>3881</v>
      </c>
      <c r="D88" s="3290"/>
      <c r="E88" s="3305">
        <f>VLOOKUP(C88,[5]住宅签约台账!$W$4:$X$181,2,0)</f>
        <v>109.97</v>
      </c>
      <c r="F88" s="3290" t="s">
        <v>3738</v>
      </c>
      <c r="G88" s="3290" t="s">
        <v>3738</v>
      </c>
      <c r="H88" s="3290"/>
      <c r="I88" s="3307" t="s">
        <v>3882</v>
      </c>
    </row>
    <row r="89" spans="1:9" ht="16.5">
      <c r="A89" s="3288">
        <v>87</v>
      </c>
      <c r="B89" s="3306" t="s">
        <v>3737</v>
      </c>
      <c r="C89" s="3291" t="s">
        <v>3883</v>
      </c>
      <c r="D89" s="3290"/>
      <c r="E89" s="3305">
        <f>VLOOKUP(C89,[5]住宅签约台账!$W$4:$X$181,2,0)</f>
        <v>109.97</v>
      </c>
      <c r="F89" s="3290" t="s">
        <v>3738</v>
      </c>
      <c r="G89" s="3290" t="s">
        <v>3738</v>
      </c>
      <c r="H89" s="3290"/>
      <c r="I89" s="3307" t="s">
        <v>3884</v>
      </c>
    </row>
    <row r="90" spans="1:9" ht="16.5">
      <c r="A90" s="3288">
        <v>88</v>
      </c>
      <c r="B90" s="3306" t="s">
        <v>3737</v>
      </c>
      <c r="C90" s="3291" t="s">
        <v>3885</v>
      </c>
      <c r="D90" s="3290"/>
      <c r="E90" s="3305">
        <f>VLOOKUP(C90,[5]住宅签约台账!$W$4:$X$181,2,0)</f>
        <v>110.17</v>
      </c>
      <c r="F90" s="3290" t="s">
        <v>3738</v>
      </c>
      <c r="G90" s="3290" t="s">
        <v>3738</v>
      </c>
      <c r="H90" s="3290"/>
      <c r="I90" s="3307" t="s">
        <v>3886</v>
      </c>
    </row>
    <row r="91" spans="1:9" ht="16.5">
      <c r="A91" s="3288">
        <v>89</v>
      </c>
      <c r="B91" s="3306" t="s">
        <v>3737</v>
      </c>
      <c r="C91" s="3291" t="s">
        <v>3887</v>
      </c>
      <c r="D91" s="3290"/>
      <c r="E91" s="3305">
        <f>VLOOKUP(C91,[5]住宅签约台账!$W$4:$X$181,2,0)</f>
        <v>110.17</v>
      </c>
      <c r="F91" s="3290" t="s">
        <v>3738</v>
      </c>
      <c r="G91" s="3290" t="s">
        <v>3738</v>
      </c>
      <c r="H91" s="3290"/>
      <c r="I91" s="3307" t="s">
        <v>3888</v>
      </c>
    </row>
    <row r="92" spans="1:9" ht="16.5">
      <c r="A92" s="3288">
        <v>90</v>
      </c>
      <c r="B92" s="3306" t="s">
        <v>3737</v>
      </c>
      <c r="C92" s="3291" t="s">
        <v>3889</v>
      </c>
      <c r="D92" s="3290"/>
      <c r="E92" s="3305">
        <f>VLOOKUP(C92,[5]住宅签约台账!$W$4:$X$181,2,0)</f>
        <v>134.37</v>
      </c>
      <c r="F92" s="3290" t="s">
        <v>3738</v>
      </c>
      <c r="G92" s="3290" t="s">
        <v>3738</v>
      </c>
      <c r="H92" s="3290"/>
      <c r="I92" s="3292" t="s">
        <v>3890</v>
      </c>
    </row>
    <row r="93" spans="1:9" ht="16.5">
      <c r="A93" s="3288">
        <v>91</v>
      </c>
      <c r="B93" s="3306" t="s">
        <v>3737</v>
      </c>
      <c r="C93" s="3291" t="s">
        <v>4476</v>
      </c>
      <c r="D93" s="3290"/>
      <c r="E93" s="3305">
        <f>VLOOKUP(C93,[5]住宅签约台账!$W$4:$X$181,2,0)</f>
        <v>114.3</v>
      </c>
      <c r="F93" s="3290" t="s">
        <v>3738</v>
      </c>
      <c r="G93" s="3290" t="s">
        <v>3738</v>
      </c>
      <c r="H93" s="3290"/>
      <c r="I93" s="3292" t="s">
        <v>4477</v>
      </c>
    </row>
    <row r="94" spans="1:9" ht="16.5">
      <c r="A94" s="3288">
        <v>92</v>
      </c>
      <c r="B94" s="3306" t="s">
        <v>3737</v>
      </c>
      <c r="C94" s="3291" t="s">
        <v>3891</v>
      </c>
      <c r="D94" s="3290"/>
      <c r="E94" s="3305">
        <f>VLOOKUP(C94,[5]住宅签约台账!$W$4:$X$181,2,0)</f>
        <v>110.17</v>
      </c>
      <c r="F94" s="3290" t="s">
        <v>3738</v>
      </c>
      <c r="G94" s="3290" t="s">
        <v>3738</v>
      </c>
      <c r="H94" s="3290"/>
      <c r="I94" s="3292" t="s">
        <v>3892</v>
      </c>
    </row>
    <row r="95" spans="1:9" ht="16.5">
      <c r="A95" s="3288">
        <v>93</v>
      </c>
      <c r="B95" s="3306" t="s">
        <v>3737</v>
      </c>
      <c r="C95" s="3291" t="s">
        <v>3893</v>
      </c>
      <c r="D95" s="3290"/>
      <c r="E95" s="3305">
        <f>VLOOKUP(C95,[5]住宅签约台账!$W$4:$X$181,2,0)</f>
        <v>110.06</v>
      </c>
      <c r="F95" s="3290" t="s">
        <v>3738</v>
      </c>
      <c r="G95" s="3290" t="s">
        <v>3738</v>
      </c>
      <c r="H95" s="3290"/>
      <c r="I95" s="3307" t="s">
        <v>3894</v>
      </c>
    </row>
    <row r="96" spans="1:9" ht="27" customHeight="1">
      <c r="A96" s="3288">
        <v>94</v>
      </c>
      <c r="B96" s="3306" t="s">
        <v>3737</v>
      </c>
      <c r="C96" s="3291" t="s">
        <v>3895</v>
      </c>
      <c r="D96" s="3290"/>
      <c r="E96" s="3305">
        <f>VLOOKUP(C96,[5]住宅签约台账!$W$4:$X$181,2,0)</f>
        <v>114.18</v>
      </c>
      <c r="F96" s="3290" t="s">
        <v>3738</v>
      </c>
      <c r="G96" s="3290" t="s">
        <v>3738</v>
      </c>
      <c r="H96" s="3290"/>
      <c r="I96" s="3292" t="s">
        <v>3896</v>
      </c>
    </row>
    <row r="97" spans="1:9" ht="16.5">
      <c r="A97" s="3288">
        <v>95</v>
      </c>
      <c r="B97" s="3306" t="s">
        <v>3737</v>
      </c>
      <c r="C97" s="3291" t="s">
        <v>3897</v>
      </c>
      <c r="D97" s="3290"/>
      <c r="E97" s="3305">
        <f>VLOOKUP(C97,[5]住宅签约台账!$W$4:$X$181,2,0)</f>
        <v>114.18</v>
      </c>
      <c r="F97" s="3290" t="s">
        <v>3738</v>
      </c>
      <c r="G97" s="3290" t="s">
        <v>3738</v>
      </c>
      <c r="H97" s="3290"/>
      <c r="I97" s="3292" t="s">
        <v>3898</v>
      </c>
    </row>
    <row r="98" spans="1:9" s="3303" customFormat="1" ht="16.5">
      <c r="A98" s="3288">
        <v>96</v>
      </c>
      <c r="B98" s="3306" t="s">
        <v>3737</v>
      </c>
      <c r="C98" s="3291" t="s">
        <v>3899</v>
      </c>
      <c r="D98" s="3294"/>
      <c r="E98" s="3305">
        <f>VLOOKUP(C98,[5]住宅签约台账!$W$4:$X$181,2,0)</f>
        <v>114.18</v>
      </c>
      <c r="F98" s="3290" t="s">
        <v>3738</v>
      </c>
      <c r="G98" s="3290" t="s">
        <v>3738</v>
      </c>
      <c r="H98" s="3290"/>
      <c r="I98" s="3292" t="s">
        <v>3900</v>
      </c>
    </row>
    <row r="99" spans="1:9" s="3303" customFormat="1" ht="16.5">
      <c r="A99" s="3288">
        <v>97</v>
      </c>
      <c r="B99" s="3306" t="s">
        <v>3737</v>
      </c>
      <c r="C99" s="3291" t="s">
        <v>3901</v>
      </c>
      <c r="D99" s="3290"/>
      <c r="E99" s="3305">
        <f>VLOOKUP(C99,[5]住宅签约台账!$W$4:$X$181,2,0)</f>
        <v>109.86</v>
      </c>
      <c r="F99" s="3290" t="s">
        <v>3738</v>
      </c>
      <c r="G99" s="3290" t="s">
        <v>3738</v>
      </c>
      <c r="H99" s="3290"/>
      <c r="I99" s="3292" t="s">
        <v>3902</v>
      </c>
    </row>
    <row r="100" spans="1:9" s="3303" customFormat="1" ht="16.5">
      <c r="A100" s="3288">
        <v>98</v>
      </c>
      <c r="B100" s="3306" t="s">
        <v>3737</v>
      </c>
      <c r="C100" s="3291" t="s">
        <v>3903</v>
      </c>
      <c r="D100" s="3290"/>
      <c r="E100" s="3305">
        <f>VLOOKUP(C100,[5]住宅签约台账!$W$4:$X$181,2,0)</f>
        <v>110.06</v>
      </c>
      <c r="F100" s="3290" t="s">
        <v>3738</v>
      </c>
      <c r="G100" s="3290" t="s">
        <v>3738</v>
      </c>
      <c r="H100" s="3290"/>
      <c r="I100" s="3292" t="s">
        <v>3904</v>
      </c>
    </row>
    <row r="101" spans="1:9" ht="16.5">
      <c r="A101" s="3288">
        <v>99</v>
      </c>
      <c r="B101" s="3306" t="s">
        <v>3737</v>
      </c>
      <c r="C101" s="3331" t="s">
        <v>3905</v>
      </c>
      <c r="D101" s="3290"/>
      <c r="E101" s="3305">
        <f>VLOOKUP(C101,[5]住宅签约台账!$W$4:$X$181,2,0)</f>
        <v>140.32</v>
      </c>
      <c r="F101" s="3290" t="s">
        <v>3738</v>
      </c>
      <c r="G101" s="3290" t="s">
        <v>3738</v>
      </c>
      <c r="H101" s="3290"/>
      <c r="I101" s="3308" t="s">
        <v>3906</v>
      </c>
    </row>
    <row r="102" spans="1:9" s="3303" customFormat="1" ht="16.5">
      <c r="A102" s="3288">
        <v>100</v>
      </c>
      <c r="B102" s="3306" t="s">
        <v>3737</v>
      </c>
      <c r="C102" s="3331" t="s">
        <v>3907</v>
      </c>
      <c r="D102" s="3290"/>
      <c r="E102" s="3305">
        <f>VLOOKUP(C102,[5]住宅签约台账!$W$4:$X$181,2,0)</f>
        <v>140.32</v>
      </c>
      <c r="F102" s="3290" t="s">
        <v>3738</v>
      </c>
      <c r="G102" s="3290" t="s">
        <v>3738</v>
      </c>
      <c r="H102" s="3290"/>
      <c r="I102" s="3308" t="s">
        <v>3908</v>
      </c>
    </row>
    <row r="103" spans="1:9" ht="16.5">
      <c r="A103" s="3288">
        <v>101</v>
      </c>
      <c r="B103" s="3306" t="s">
        <v>3737</v>
      </c>
      <c r="C103" s="3332" t="s">
        <v>3909</v>
      </c>
      <c r="D103" s="3290"/>
      <c r="E103" s="3305">
        <f>VLOOKUP(C103,[5]住宅签约台账!$W$4:$X$181,2,0)</f>
        <v>140.32</v>
      </c>
      <c r="F103" s="3290" t="s">
        <v>3738</v>
      </c>
      <c r="G103" s="3290" t="s">
        <v>3738</v>
      </c>
      <c r="H103" s="3290"/>
      <c r="I103" s="3307" t="s">
        <v>3910</v>
      </c>
    </row>
    <row r="104" spans="1:9" s="3303" customFormat="1" ht="16.5">
      <c r="A104" s="3288">
        <v>102</v>
      </c>
      <c r="B104" s="3306" t="s">
        <v>3737</v>
      </c>
      <c r="C104" s="3332" t="s">
        <v>3911</v>
      </c>
      <c r="D104" s="3290"/>
      <c r="E104" s="3305">
        <f>VLOOKUP(C104,[5]住宅签约台账!$W$4:$X$181,2,0)</f>
        <v>141.34</v>
      </c>
      <c r="F104" s="3290" t="s">
        <v>3738</v>
      </c>
      <c r="G104" s="3290" t="s">
        <v>3738</v>
      </c>
      <c r="H104" s="3290"/>
      <c r="I104" s="3307" t="s">
        <v>3912</v>
      </c>
    </row>
    <row r="105" spans="1:9" s="3303" customFormat="1" ht="16.5">
      <c r="A105" s="3288">
        <v>103</v>
      </c>
      <c r="B105" s="3306" t="s">
        <v>3737</v>
      </c>
      <c r="C105" s="3332" t="s">
        <v>3913</v>
      </c>
      <c r="D105" s="3290"/>
      <c r="E105" s="3305">
        <f>VLOOKUP(C105,[5]住宅签约台账!$W$4:$X$181,2,0)</f>
        <v>140.32</v>
      </c>
      <c r="F105" s="3290" t="s">
        <v>3738</v>
      </c>
      <c r="G105" s="3290" t="s">
        <v>3738</v>
      </c>
      <c r="H105" s="3290"/>
      <c r="I105" s="3307" t="s">
        <v>3914</v>
      </c>
    </row>
    <row r="106" spans="1:9" ht="16.5">
      <c r="A106" s="3288">
        <v>104</v>
      </c>
      <c r="B106" s="3306" t="s">
        <v>3737</v>
      </c>
      <c r="C106" s="3291" t="s">
        <v>3915</v>
      </c>
      <c r="D106" s="3290"/>
      <c r="E106" s="3305">
        <f>VLOOKUP(C106,[5]住宅签约台账!$W$4:$X$181,2,0)</f>
        <v>131.58000000000001</v>
      </c>
      <c r="F106" s="3290" t="s">
        <v>3738</v>
      </c>
      <c r="G106" s="3290" t="s">
        <v>3738</v>
      </c>
      <c r="H106" s="3290"/>
      <c r="I106" s="3293" t="s">
        <v>3916</v>
      </c>
    </row>
    <row r="107" spans="1:9" ht="16.5">
      <c r="A107" s="3288">
        <v>105</v>
      </c>
      <c r="B107" s="3306" t="s">
        <v>3737</v>
      </c>
      <c r="C107" s="3291" t="s">
        <v>3917</v>
      </c>
      <c r="D107" s="3290"/>
      <c r="E107" s="3305">
        <f>VLOOKUP(C107,[5]住宅签约台账!$W$4:$X$181,2,0)</f>
        <v>131.58000000000001</v>
      </c>
      <c r="F107" s="3290" t="s">
        <v>3738</v>
      </c>
      <c r="G107" s="3290" t="s">
        <v>3738</v>
      </c>
      <c r="H107" s="3290"/>
      <c r="I107" s="3292" t="s">
        <v>3918</v>
      </c>
    </row>
    <row r="108" spans="1:9" s="3303" customFormat="1" ht="16.5">
      <c r="A108" s="3288">
        <v>106</v>
      </c>
      <c r="B108" s="3306" t="s">
        <v>3737</v>
      </c>
      <c r="C108" s="3291" t="s">
        <v>3919</v>
      </c>
      <c r="D108" s="3290"/>
      <c r="E108" s="3305">
        <f>VLOOKUP(C108,[5]住宅签约台账!$W$4:$X$181,2,0)</f>
        <v>115</v>
      </c>
      <c r="F108" s="3290" t="s">
        <v>3738</v>
      </c>
      <c r="G108" s="3290" t="s">
        <v>3738</v>
      </c>
      <c r="H108" s="3290"/>
      <c r="I108" s="3295" t="s">
        <v>3920</v>
      </c>
    </row>
    <row r="109" spans="1:9" ht="16.5">
      <c r="A109" s="3288">
        <v>107</v>
      </c>
      <c r="B109" s="3306" t="s">
        <v>3737</v>
      </c>
      <c r="C109" s="3291" t="s">
        <v>3921</v>
      </c>
      <c r="D109" s="3290"/>
      <c r="E109" s="3305">
        <f>VLOOKUP(C109,[5]住宅签约台账!$W$4:$X$181,2,0)</f>
        <v>131.58000000000001</v>
      </c>
      <c r="F109" s="3290" t="s">
        <v>3738</v>
      </c>
      <c r="G109" s="3290" t="s">
        <v>3738</v>
      </c>
      <c r="H109" s="3290"/>
      <c r="I109" s="3292" t="s">
        <v>3922</v>
      </c>
    </row>
    <row r="110" spans="1:9" ht="16.5">
      <c r="A110" s="3288">
        <v>108</v>
      </c>
      <c r="B110" s="3306" t="s">
        <v>3737</v>
      </c>
      <c r="C110" s="3331" t="s">
        <v>3923</v>
      </c>
      <c r="D110" s="3290"/>
      <c r="E110" s="3305">
        <f>VLOOKUP(C110,[5]住宅签约台账!$W$4:$X$181,2,0)</f>
        <v>129.09</v>
      </c>
      <c r="F110" s="3290" t="s">
        <v>3738</v>
      </c>
      <c r="G110" s="3290" t="s">
        <v>3738</v>
      </c>
      <c r="H110" s="3290"/>
      <c r="I110" s="3307" t="s">
        <v>3924</v>
      </c>
    </row>
    <row r="111" spans="1:9" ht="16.5">
      <c r="A111" s="3288">
        <v>109</v>
      </c>
      <c r="B111" s="3306" t="s">
        <v>3737</v>
      </c>
      <c r="C111" s="3331" t="s">
        <v>3925</v>
      </c>
      <c r="D111" s="3290"/>
      <c r="E111" s="3305">
        <f>VLOOKUP(C111,[5]住宅签约台账!$W$4:$X$181,2,0)</f>
        <v>128.75</v>
      </c>
      <c r="F111" s="3290" t="s">
        <v>3738</v>
      </c>
      <c r="G111" s="3290" t="s">
        <v>3738</v>
      </c>
      <c r="H111" s="3290"/>
      <c r="I111" s="3307" t="s">
        <v>3926</v>
      </c>
    </row>
    <row r="112" spans="1:9" s="3303" customFormat="1" ht="16.5">
      <c r="A112" s="3288">
        <v>110</v>
      </c>
      <c r="B112" s="3306" t="s">
        <v>3737</v>
      </c>
      <c r="C112" s="3331" t="s">
        <v>3927</v>
      </c>
      <c r="D112" s="3290"/>
      <c r="E112" s="3305">
        <f>VLOOKUP(C112,[5]住宅签约台账!$W$4:$X$181,2,0)</f>
        <v>128.75</v>
      </c>
      <c r="F112" s="3290" t="s">
        <v>3738</v>
      </c>
      <c r="G112" s="3290" t="s">
        <v>3738</v>
      </c>
      <c r="H112" s="3290"/>
      <c r="I112" s="3308" t="s">
        <v>3928</v>
      </c>
    </row>
    <row r="113" spans="1:9" ht="16.5">
      <c r="A113" s="3288">
        <v>111</v>
      </c>
      <c r="B113" s="3306" t="s">
        <v>3737</v>
      </c>
      <c r="C113" s="3331" t="s">
        <v>3929</v>
      </c>
      <c r="D113" s="3290"/>
      <c r="E113" s="3305">
        <f>VLOOKUP(C113,[5]住宅签约台账!$W$4:$X$181,2,0)</f>
        <v>128.75</v>
      </c>
      <c r="F113" s="3290" t="s">
        <v>3738</v>
      </c>
      <c r="G113" s="3290" t="s">
        <v>3738</v>
      </c>
      <c r="H113" s="3290"/>
      <c r="I113" s="3307" t="s">
        <v>3930</v>
      </c>
    </row>
    <row r="114" spans="1:9" ht="16.5">
      <c r="A114" s="3288">
        <v>112</v>
      </c>
      <c r="B114" s="3306" t="s">
        <v>3737</v>
      </c>
      <c r="C114" s="3331" t="s">
        <v>3931</v>
      </c>
      <c r="D114" s="3290"/>
      <c r="E114" s="3305">
        <f>VLOOKUP(C114,[5]住宅签约台账!$W$4:$X$181,2,0)</f>
        <v>129.09</v>
      </c>
      <c r="F114" s="3290" t="s">
        <v>3738</v>
      </c>
      <c r="G114" s="3290" t="s">
        <v>3738</v>
      </c>
      <c r="H114" s="3290"/>
      <c r="I114" s="3307" t="s">
        <v>3932</v>
      </c>
    </row>
    <row r="115" spans="1:9" ht="16.5">
      <c r="A115" s="3288">
        <v>113</v>
      </c>
      <c r="B115" s="3306" t="s">
        <v>3737</v>
      </c>
      <c r="C115" s="3331" t="s">
        <v>3933</v>
      </c>
      <c r="D115" s="3290"/>
      <c r="E115" s="3305">
        <f>VLOOKUP(C115,[5]住宅签约台账!$W$4:$X$181,2,0)</f>
        <v>128.75</v>
      </c>
      <c r="F115" s="3290" t="s">
        <v>3738</v>
      </c>
      <c r="G115" s="3290" t="s">
        <v>3738</v>
      </c>
      <c r="H115" s="3290"/>
      <c r="I115" s="3307" t="s">
        <v>3934</v>
      </c>
    </row>
    <row r="116" spans="1:9" ht="16.5">
      <c r="A116" s="3288">
        <v>114</v>
      </c>
      <c r="B116" s="3306" t="s">
        <v>3737</v>
      </c>
      <c r="C116" s="3331" t="s">
        <v>3935</v>
      </c>
      <c r="D116" s="3290"/>
      <c r="E116" s="3305">
        <f>VLOOKUP(C116,[5]住宅签约台账!$W$4:$X$181,2,0)</f>
        <v>129.09</v>
      </c>
      <c r="F116" s="3290" t="s">
        <v>3738</v>
      </c>
      <c r="G116" s="3290" t="s">
        <v>3738</v>
      </c>
      <c r="H116" s="3290"/>
      <c r="I116" s="3307" t="s">
        <v>3936</v>
      </c>
    </row>
    <row r="117" spans="1:9" ht="16.5">
      <c r="A117" s="3288">
        <v>115</v>
      </c>
      <c r="B117" s="3306" t="s">
        <v>3737</v>
      </c>
      <c r="C117" s="3332" t="s">
        <v>3937</v>
      </c>
      <c r="D117" s="3290"/>
      <c r="E117" s="3305">
        <f>VLOOKUP(C117,[5]住宅签约台账!$W$4:$X$181,2,0)</f>
        <v>129.09</v>
      </c>
      <c r="F117" s="3290" t="s">
        <v>3738</v>
      </c>
      <c r="G117" s="3290" t="s">
        <v>3738</v>
      </c>
      <c r="H117" s="3290"/>
      <c r="I117" s="3307" t="s">
        <v>3938</v>
      </c>
    </row>
    <row r="118" spans="1:9" ht="16.5">
      <c r="A118" s="3288">
        <v>116</v>
      </c>
      <c r="B118" s="3306" t="s">
        <v>3737</v>
      </c>
      <c r="C118" s="3332" t="s">
        <v>3939</v>
      </c>
      <c r="D118" s="3290"/>
      <c r="E118" s="3305">
        <f>VLOOKUP(C118,[5]住宅签约台账!$W$4:$X$181,2,0)</f>
        <v>128.75</v>
      </c>
      <c r="F118" s="3290" t="s">
        <v>3738</v>
      </c>
      <c r="G118" s="3290" t="s">
        <v>3738</v>
      </c>
      <c r="H118" s="3290"/>
      <c r="I118" s="3307" t="s">
        <v>3940</v>
      </c>
    </row>
    <row r="119" spans="1:9" s="3303" customFormat="1" ht="16.5">
      <c r="A119" s="3288">
        <v>117</v>
      </c>
      <c r="B119" s="3306" t="s">
        <v>3737</v>
      </c>
      <c r="C119" s="3332" t="s">
        <v>3941</v>
      </c>
      <c r="D119" s="3290"/>
      <c r="E119" s="3305">
        <f>VLOOKUP(C119,[5]住宅签约台账!$W$4:$X$181,2,0)</f>
        <v>128.75</v>
      </c>
      <c r="F119" s="3290" t="s">
        <v>3738</v>
      </c>
      <c r="G119" s="3290" t="s">
        <v>3738</v>
      </c>
      <c r="H119" s="3290"/>
      <c r="I119" s="3307" t="s">
        <v>3942</v>
      </c>
    </row>
    <row r="120" spans="1:9" ht="16.5">
      <c r="A120" s="3288">
        <v>118</v>
      </c>
      <c r="B120" s="3306" t="s">
        <v>3737</v>
      </c>
      <c r="C120" s="3332" t="s">
        <v>3943</v>
      </c>
      <c r="D120" s="3290"/>
      <c r="E120" s="3305">
        <f>VLOOKUP(C120,[5]住宅签约台账!$W$4:$X$181,2,0)</f>
        <v>129.09</v>
      </c>
      <c r="F120" s="3290" t="s">
        <v>3738</v>
      </c>
      <c r="G120" s="3290" t="s">
        <v>3738</v>
      </c>
      <c r="H120" s="3290"/>
      <c r="I120" s="3307" t="s">
        <v>3944</v>
      </c>
    </row>
    <row r="121" spans="1:9" ht="16.5">
      <c r="A121" s="3288">
        <v>119</v>
      </c>
      <c r="B121" s="3306" t="s">
        <v>3737</v>
      </c>
      <c r="C121" s="3332" t="s">
        <v>3945</v>
      </c>
      <c r="D121" s="3290"/>
      <c r="E121" s="3305">
        <f>VLOOKUP(C121,[5]住宅签约台账!$W$4:$X$181,2,0)</f>
        <v>128.75</v>
      </c>
      <c r="F121" s="3290" t="s">
        <v>3738</v>
      </c>
      <c r="G121" s="3290" t="s">
        <v>3738</v>
      </c>
      <c r="H121" s="3290"/>
      <c r="I121" s="3307" t="s">
        <v>3946</v>
      </c>
    </row>
    <row r="122" spans="1:9" ht="16.5">
      <c r="A122" s="3288">
        <v>120</v>
      </c>
      <c r="B122" s="3306" t="s">
        <v>3737</v>
      </c>
      <c r="C122" s="3332" t="s">
        <v>3947</v>
      </c>
      <c r="D122" s="3290"/>
      <c r="E122" s="3305">
        <f>VLOOKUP(C122,[5]住宅签约台账!$W$4:$X$181,2,0)</f>
        <v>129.09</v>
      </c>
      <c r="F122" s="3290" t="s">
        <v>3738</v>
      </c>
      <c r="G122" s="3290" t="s">
        <v>3738</v>
      </c>
      <c r="H122" s="3290"/>
      <c r="I122" s="3293" t="s">
        <v>3948</v>
      </c>
    </row>
    <row r="123" spans="1:9" ht="16.5">
      <c r="A123" s="3288">
        <v>121</v>
      </c>
      <c r="B123" s="3306" t="s">
        <v>3737</v>
      </c>
      <c r="C123" s="3332" t="s">
        <v>3949</v>
      </c>
      <c r="D123" s="3290"/>
      <c r="E123" s="3305">
        <f>VLOOKUP(C123,[5]住宅签约台账!$W$4:$X$181,2,0)</f>
        <v>128.75</v>
      </c>
      <c r="F123" s="3290" t="s">
        <v>3738</v>
      </c>
      <c r="G123" s="3290" t="s">
        <v>3738</v>
      </c>
      <c r="H123" s="3290"/>
      <c r="I123" s="3292" t="s">
        <v>3950</v>
      </c>
    </row>
    <row r="124" spans="1:9" ht="16.5">
      <c r="A124" s="3288">
        <v>122</v>
      </c>
      <c r="B124" s="3306" t="s">
        <v>3737</v>
      </c>
      <c r="C124" s="3332" t="s">
        <v>3951</v>
      </c>
      <c r="D124" s="3290"/>
      <c r="E124" s="3305">
        <f>VLOOKUP(C124,[5]住宅签约台账!$W$4:$X$181,2,0)</f>
        <v>128.75</v>
      </c>
      <c r="F124" s="3290" t="s">
        <v>3738</v>
      </c>
      <c r="G124" s="3290" t="s">
        <v>3738</v>
      </c>
      <c r="H124" s="3290"/>
      <c r="I124" s="3292" t="s">
        <v>3952</v>
      </c>
    </row>
    <row r="125" spans="1:9" ht="16.5">
      <c r="A125" s="3288">
        <v>123</v>
      </c>
      <c r="B125" s="3306" t="s">
        <v>3737</v>
      </c>
      <c r="C125" s="3332" t="s">
        <v>3953</v>
      </c>
      <c r="D125" s="3290"/>
      <c r="E125" s="3305">
        <f>VLOOKUP(C125,[5]住宅签约台账!$W$4:$X$181,2,0)</f>
        <v>129.09</v>
      </c>
      <c r="F125" s="3290" t="s">
        <v>3738</v>
      </c>
      <c r="G125" s="3290" t="s">
        <v>3738</v>
      </c>
      <c r="H125" s="3290"/>
      <c r="I125" s="3292" t="s">
        <v>3954</v>
      </c>
    </row>
    <row r="126" spans="1:9" ht="16.5">
      <c r="A126" s="3288">
        <v>124</v>
      </c>
      <c r="B126" s="3306" t="s">
        <v>3737</v>
      </c>
      <c r="C126" s="3332" t="s">
        <v>3955</v>
      </c>
      <c r="D126" s="3290"/>
      <c r="E126" s="3305">
        <f>VLOOKUP(C126,[5]住宅签约台账!$W$4:$X$181,2,0)</f>
        <v>129.09</v>
      </c>
      <c r="F126" s="3290" t="s">
        <v>3738</v>
      </c>
      <c r="G126" s="3290" t="s">
        <v>3738</v>
      </c>
      <c r="H126" s="3290"/>
      <c r="I126" s="3292" t="s">
        <v>3956</v>
      </c>
    </row>
    <row r="127" spans="1:9" s="3303" customFormat="1" ht="16.5">
      <c r="A127" s="3288">
        <v>125</v>
      </c>
      <c r="B127" s="3306" t="s">
        <v>3737</v>
      </c>
      <c r="C127" s="3332" t="s">
        <v>3957</v>
      </c>
      <c r="D127" s="3290"/>
      <c r="E127" s="3305">
        <f>VLOOKUP(C127,[5]住宅签约台账!$W$4:$X$181,2,0)</f>
        <v>129.09</v>
      </c>
      <c r="F127" s="3290" t="s">
        <v>3738</v>
      </c>
      <c r="G127" s="3290" t="s">
        <v>3738</v>
      </c>
      <c r="H127" s="3290"/>
      <c r="I127" s="3292" t="s">
        <v>3958</v>
      </c>
    </row>
    <row r="128" spans="1:9" ht="16.5">
      <c r="A128" s="3288">
        <v>126</v>
      </c>
      <c r="B128" s="3306" t="s">
        <v>3737</v>
      </c>
      <c r="C128" s="3289" t="s">
        <v>3959</v>
      </c>
      <c r="D128" s="3290"/>
      <c r="E128" s="3305">
        <f>VLOOKUP(C128,[5]住宅签约台账!$W$4:$X$181,2,0)</f>
        <v>129.34</v>
      </c>
      <c r="F128" s="3290" t="s">
        <v>3738</v>
      </c>
      <c r="G128" s="3290" t="s">
        <v>3738</v>
      </c>
      <c r="H128" s="3290"/>
      <c r="I128" s="3308" t="s">
        <v>3960</v>
      </c>
    </row>
    <row r="129" spans="1:9" ht="16.5">
      <c r="A129" s="3288">
        <v>127</v>
      </c>
      <c r="B129" s="3306" t="s">
        <v>3737</v>
      </c>
      <c r="C129" s="3289" t="s">
        <v>3961</v>
      </c>
      <c r="D129" s="3290"/>
      <c r="E129" s="3305">
        <f>VLOOKUP(C129,[5]住宅签约台账!$W$4:$X$181,2,0)</f>
        <v>129.34</v>
      </c>
      <c r="F129" s="3290" t="s">
        <v>3738</v>
      </c>
      <c r="G129" s="3290" t="s">
        <v>3738</v>
      </c>
      <c r="H129" s="3290"/>
      <c r="I129" s="3308" t="s">
        <v>3962</v>
      </c>
    </row>
    <row r="130" spans="1:9" ht="16.5">
      <c r="A130" s="3288">
        <v>128</v>
      </c>
      <c r="B130" s="3306" t="s">
        <v>3737</v>
      </c>
      <c r="C130" s="3289" t="s">
        <v>3963</v>
      </c>
      <c r="D130" s="3290"/>
      <c r="E130" s="3305">
        <f>VLOOKUP(C130,[5]住宅签约台账!$W$4:$X$181,2,0)</f>
        <v>129.69</v>
      </c>
      <c r="F130" s="3290" t="s">
        <v>3738</v>
      </c>
      <c r="G130" s="3290" t="s">
        <v>3738</v>
      </c>
      <c r="H130" s="3290"/>
      <c r="I130" s="3307" t="s">
        <v>3964</v>
      </c>
    </row>
    <row r="131" spans="1:9" ht="16.5">
      <c r="A131" s="3288">
        <v>129</v>
      </c>
      <c r="B131" s="3306" t="s">
        <v>3737</v>
      </c>
      <c r="C131" s="3289" t="s">
        <v>3965</v>
      </c>
      <c r="D131" s="3290"/>
      <c r="E131" s="3305">
        <f>VLOOKUP(C131,[5]住宅签约台账!$W$4:$X$181,2,0)</f>
        <v>129.34</v>
      </c>
      <c r="F131" s="3290" t="s">
        <v>3738</v>
      </c>
      <c r="G131" s="3290" t="s">
        <v>3738</v>
      </c>
      <c r="H131" s="3290"/>
      <c r="I131" s="3307" t="s">
        <v>3966</v>
      </c>
    </row>
    <row r="132" spans="1:9" ht="16.5">
      <c r="A132" s="3288">
        <v>130</v>
      </c>
      <c r="B132" s="3306" t="s">
        <v>3737</v>
      </c>
      <c r="C132" s="3291" t="s">
        <v>3967</v>
      </c>
      <c r="D132" s="3290"/>
      <c r="E132" s="3305">
        <f>VLOOKUP(C132,[5]住宅签约台账!$W$4:$X$181,2,0)</f>
        <v>129.34</v>
      </c>
      <c r="F132" s="3290" t="s">
        <v>3738</v>
      </c>
      <c r="G132" s="3290" t="s">
        <v>3738</v>
      </c>
      <c r="H132" s="3290"/>
      <c r="I132" s="3293" t="s">
        <v>3968</v>
      </c>
    </row>
    <row r="133" spans="1:9" s="3303" customFormat="1" ht="16.5">
      <c r="A133" s="3288">
        <v>131</v>
      </c>
      <c r="B133" s="3306" t="s">
        <v>3737</v>
      </c>
      <c r="C133" s="3291" t="s">
        <v>3969</v>
      </c>
      <c r="D133" s="3290"/>
      <c r="E133" s="3305">
        <f>VLOOKUP(C133,[5]住宅签约台账!$W$4:$X$181,2,0)</f>
        <v>129.69</v>
      </c>
      <c r="F133" s="3290" t="s">
        <v>3738</v>
      </c>
      <c r="G133" s="3290" t="s">
        <v>3738</v>
      </c>
      <c r="H133" s="3290"/>
      <c r="I133" s="3292" t="s">
        <v>3970</v>
      </c>
    </row>
    <row r="134" spans="1:9" s="3303" customFormat="1" ht="16.5">
      <c r="A134" s="3288">
        <v>132</v>
      </c>
      <c r="B134" s="3306" t="s">
        <v>3737</v>
      </c>
      <c r="C134" s="3291" t="s">
        <v>3971</v>
      </c>
      <c r="D134" s="3290"/>
      <c r="E134" s="3305">
        <f>VLOOKUP(C134,[5]住宅签约台账!$W$4:$X$181,2,0)</f>
        <v>129.69</v>
      </c>
      <c r="F134" s="3290" t="s">
        <v>3738</v>
      </c>
      <c r="G134" s="3290" t="s">
        <v>3738</v>
      </c>
      <c r="H134" s="3290"/>
      <c r="I134" s="3292" t="s">
        <v>3972</v>
      </c>
    </row>
    <row r="135" spans="1:9" ht="16.5">
      <c r="A135" s="3288">
        <v>133</v>
      </c>
      <c r="B135" s="3306" t="s">
        <v>3737</v>
      </c>
      <c r="C135" s="3291" t="s">
        <v>3973</v>
      </c>
      <c r="D135" s="3290"/>
      <c r="E135" s="3305">
        <f>VLOOKUP(C135,[5]住宅签约台账!$W$4:$X$181,2,0)</f>
        <v>129.69</v>
      </c>
      <c r="F135" s="3290" t="s">
        <v>3738</v>
      </c>
      <c r="G135" s="3290" t="s">
        <v>3738</v>
      </c>
      <c r="H135" s="3290"/>
      <c r="I135" s="3292" t="s">
        <v>3974</v>
      </c>
    </row>
    <row r="136" spans="1:9" ht="16.5">
      <c r="A136" s="3288">
        <v>134</v>
      </c>
      <c r="B136" s="3306" t="s">
        <v>3737</v>
      </c>
      <c r="C136" s="3291" t="s">
        <v>3975</v>
      </c>
      <c r="D136" s="3290"/>
      <c r="E136" s="3305">
        <f>VLOOKUP(C136,[5]住宅签约台账!$W$4:$X$181,2,0)</f>
        <v>129.34</v>
      </c>
      <c r="F136" s="3290" t="s">
        <v>3738</v>
      </c>
      <c r="G136" s="3290" t="s">
        <v>3738</v>
      </c>
      <c r="H136" s="3290"/>
      <c r="I136" s="3292" t="s">
        <v>3976</v>
      </c>
    </row>
    <row r="137" spans="1:9" ht="16.5">
      <c r="A137" s="3288">
        <v>135</v>
      </c>
      <c r="B137" s="3306" t="s">
        <v>3737</v>
      </c>
      <c r="C137" s="3291" t="s">
        <v>3977</v>
      </c>
      <c r="D137" s="3290"/>
      <c r="E137" s="3305">
        <f>VLOOKUP(C137,[5]住宅签约台账!$W$4:$X$181,2,0)</f>
        <v>129.69</v>
      </c>
      <c r="F137" s="3290" t="s">
        <v>3738</v>
      </c>
      <c r="G137" s="3290" t="s">
        <v>3738</v>
      </c>
      <c r="H137" s="3290"/>
      <c r="I137" s="3292" t="s">
        <v>3978</v>
      </c>
    </row>
    <row r="138" spans="1:9" ht="16.5">
      <c r="A138" s="3288">
        <v>136</v>
      </c>
      <c r="B138" s="3306" t="s">
        <v>3737</v>
      </c>
      <c r="C138" s="3291" t="s">
        <v>3979</v>
      </c>
      <c r="D138" s="3290"/>
      <c r="E138" s="3305">
        <f>VLOOKUP(C138,[5]住宅签约台账!$W$4:$X$181,2,0)</f>
        <v>129.69</v>
      </c>
      <c r="F138" s="3290" t="s">
        <v>3738</v>
      </c>
      <c r="G138" s="3290" t="s">
        <v>3738</v>
      </c>
      <c r="H138" s="3290"/>
      <c r="I138" s="3292" t="s">
        <v>3980</v>
      </c>
    </row>
    <row r="139" spans="1:9" ht="14.25">
      <c r="A139" s="3288"/>
      <c r="B139" s="3290"/>
      <c r="C139" s="3294"/>
      <c r="D139" s="3290"/>
      <c r="E139" s="3294">
        <f>SUM(E3:E138)</f>
        <v>16336.380000000005</v>
      </c>
      <c r="F139" s="3290"/>
      <c r="G139" s="3290"/>
      <c r="H139" s="3290"/>
      <c r="I139" s="3290"/>
    </row>
    <row r="140" spans="1:9" ht="14.25">
      <c r="A140" s="3288"/>
      <c r="B140" s="3290"/>
      <c r="C140" s="3294"/>
      <c r="D140" s="3290"/>
      <c r="E140" s="3294"/>
      <c r="F140" s="3290"/>
      <c r="G140" s="3290"/>
      <c r="H140" s="3290"/>
      <c r="I140" s="3290"/>
    </row>
    <row r="141" spans="1:9" ht="14.25">
      <c r="A141" s="3288"/>
      <c r="B141" s="3290"/>
      <c r="C141" s="3294"/>
      <c r="D141" s="3290"/>
      <c r="E141" s="3294"/>
      <c r="F141" s="3290"/>
      <c r="G141" s="3290"/>
      <c r="H141" s="3290"/>
      <c r="I141" s="3296"/>
    </row>
    <row r="142" spans="1:9" ht="14.25">
      <c r="A142" s="3288"/>
      <c r="B142" s="3290"/>
      <c r="C142" s="3294"/>
      <c r="D142" s="3290"/>
      <c r="E142" s="3294"/>
      <c r="F142" s="3290"/>
      <c r="G142" s="3290"/>
      <c r="H142" s="3290"/>
      <c r="I142" s="3290"/>
    </row>
    <row r="143" spans="1:9" ht="14.25">
      <c r="A143" s="3288"/>
      <c r="B143" s="3290"/>
      <c r="C143" s="3294"/>
      <c r="D143" s="3290"/>
      <c r="E143" s="3294"/>
      <c r="F143" s="3290"/>
      <c r="G143" s="3290"/>
      <c r="H143" s="3290"/>
      <c r="I143" s="3290"/>
    </row>
    <row r="144" spans="1:9" ht="14.25">
      <c r="A144" s="3288"/>
      <c r="B144" s="3290"/>
      <c r="C144" s="3294"/>
      <c r="D144" s="3294"/>
      <c r="E144" s="3294"/>
      <c r="F144" s="3290"/>
      <c r="G144" s="3290"/>
      <c r="H144" s="3290"/>
      <c r="I144" s="3290"/>
    </row>
    <row r="145" spans="1:9" ht="14.25">
      <c r="A145" s="3288"/>
      <c r="B145" s="3290"/>
      <c r="C145" s="3294"/>
      <c r="D145" s="3294"/>
      <c r="E145" s="3294"/>
      <c r="F145" s="3290"/>
      <c r="G145" s="3290"/>
      <c r="H145" s="3290"/>
      <c r="I145" s="3290"/>
    </row>
    <row r="146" spans="1:9" ht="14.25">
      <c r="A146" s="3288"/>
      <c r="B146" s="3290"/>
      <c r="C146" s="3294"/>
      <c r="D146" s="3294"/>
      <c r="E146" s="3294"/>
      <c r="F146" s="3290"/>
      <c r="G146" s="3290"/>
      <c r="H146" s="3290"/>
      <c r="I146" s="3290"/>
    </row>
    <row r="147" spans="1:9" s="3303" customFormat="1" ht="14.25">
      <c r="A147" s="3288"/>
      <c r="B147" s="3290"/>
      <c r="C147" s="3294"/>
      <c r="D147" s="3294"/>
      <c r="E147" s="3294"/>
      <c r="F147" s="3290"/>
      <c r="G147" s="3290"/>
      <c r="H147" s="3290"/>
      <c r="I147" s="3290"/>
    </row>
    <row r="148" spans="1:9" s="3303" customFormat="1" ht="14.25">
      <c r="A148" s="3288"/>
      <c r="B148" s="3290"/>
      <c r="C148" s="3294"/>
      <c r="D148" s="3294"/>
      <c r="E148" s="3294"/>
      <c r="F148" s="3290"/>
      <c r="G148" s="3290"/>
      <c r="H148" s="3290"/>
      <c r="I148" s="3290"/>
    </row>
    <row r="149" spans="1:9" s="3303" customFormat="1" ht="14.25">
      <c r="A149" s="3288"/>
      <c r="B149" s="3290"/>
      <c r="C149" s="3294"/>
      <c r="D149" s="3294"/>
      <c r="E149" s="3294"/>
      <c r="F149" s="3290"/>
      <c r="G149" s="3290"/>
      <c r="H149" s="3290"/>
      <c r="I149" s="3290"/>
    </row>
    <row r="150" spans="1:9" ht="14.25">
      <c r="A150" s="3288"/>
      <c r="B150" s="3290"/>
      <c r="C150" s="3294"/>
      <c r="D150" s="3294"/>
      <c r="E150" s="3294"/>
      <c r="F150" s="3290"/>
      <c r="G150" s="3290"/>
      <c r="H150" s="3290"/>
      <c r="I150" s="3290"/>
    </row>
    <row r="151" spans="1:9" s="3303" customFormat="1" ht="14.25">
      <c r="A151" s="3288"/>
      <c r="B151" s="3290"/>
      <c r="C151" s="3294"/>
      <c r="D151" s="3294"/>
      <c r="E151" s="3294"/>
      <c r="F151" s="3290"/>
      <c r="G151" s="3290"/>
      <c r="H151" s="3290"/>
      <c r="I151" s="3290"/>
    </row>
    <row r="152" spans="1:9" ht="14.25">
      <c r="A152" s="3288"/>
      <c r="B152" s="3290"/>
      <c r="C152" s="3294"/>
      <c r="D152" s="3294"/>
      <c r="E152" s="3294"/>
      <c r="F152" s="3290"/>
      <c r="G152" s="3290"/>
      <c r="H152" s="3290"/>
      <c r="I152" s="3290"/>
    </row>
    <row r="153" spans="1:9" s="3303" customFormat="1" ht="14.25">
      <c r="A153" s="3288"/>
      <c r="B153" s="3290"/>
      <c r="C153" s="3294"/>
      <c r="D153" s="3294"/>
      <c r="E153" s="3294"/>
      <c r="F153" s="3290"/>
      <c r="G153" s="3290"/>
      <c r="H153" s="3290"/>
      <c r="I153" s="3290"/>
    </row>
    <row r="154" spans="1:9" ht="14.25">
      <c r="A154" s="3288"/>
      <c r="B154" s="3290"/>
      <c r="C154" s="3294"/>
      <c r="D154" s="3294"/>
      <c r="E154" s="3294"/>
      <c r="F154" s="3290"/>
      <c r="G154" s="3290"/>
      <c r="H154" s="3290"/>
      <c r="I154" s="3290"/>
    </row>
    <row r="155" spans="1:9" s="3303" customFormat="1" ht="14.25">
      <c r="A155" s="3288"/>
      <c r="B155" s="3290"/>
      <c r="C155" s="3294"/>
      <c r="D155" s="3294"/>
      <c r="E155" s="3294"/>
      <c r="F155" s="3290"/>
      <c r="G155" s="3290"/>
      <c r="H155" s="3290"/>
      <c r="I155" s="3290"/>
    </row>
    <row r="156" spans="1:9" ht="14.25">
      <c r="A156" s="3288"/>
      <c r="B156" s="3290"/>
      <c r="C156" s="3294"/>
      <c r="D156" s="3294"/>
      <c r="E156" s="3294"/>
      <c r="F156" s="3290"/>
      <c r="G156" s="3290"/>
      <c r="H156" s="3290"/>
      <c r="I156" s="3290"/>
    </row>
    <row r="157" spans="1:9" s="3303" customFormat="1" ht="14.25">
      <c r="A157" s="3288"/>
      <c r="B157" s="3290"/>
      <c r="C157" s="3294"/>
      <c r="D157" s="3294"/>
      <c r="E157" s="3294"/>
      <c r="F157" s="3290"/>
      <c r="G157" s="3290"/>
      <c r="H157" s="3290"/>
      <c r="I157" s="3290"/>
    </row>
    <row r="158" spans="1:9" ht="14.25">
      <c r="A158" s="3288"/>
      <c r="B158" s="3290"/>
      <c r="C158" s="3294"/>
      <c r="D158" s="3294"/>
      <c r="E158" s="3294"/>
      <c r="F158" s="3290"/>
      <c r="G158" s="3290"/>
      <c r="H158" s="3290"/>
      <c r="I158" s="3290"/>
    </row>
    <row r="159" spans="1:9" ht="14.25">
      <c r="A159" s="3288"/>
      <c r="B159" s="3290"/>
      <c r="C159" s="3294"/>
      <c r="D159" s="3294"/>
      <c r="E159" s="3294"/>
      <c r="F159" s="3290"/>
      <c r="G159" s="3290"/>
      <c r="H159" s="3290"/>
      <c r="I159" s="3290"/>
    </row>
    <row r="160" spans="1:9" ht="14.25">
      <c r="A160" s="3288"/>
      <c r="B160" s="3290"/>
      <c r="C160" s="3294"/>
      <c r="D160" s="3290"/>
      <c r="E160" s="3294"/>
      <c r="F160" s="3290"/>
      <c r="G160" s="3290"/>
      <c r="H160" s="3290"/>
      <c r="I160" s="3290"/>
    </row>
    <row r="161" spans="1:9" ht="14.25">
      <c r="A161" s="3288"/>
      <c r="B161" s="3290"/>
      <c r="C161" s="3294"/>
      <c r="D161" s="3290"/>
      <c r="E161" s="3294"/>
      <c r="F161" s="3290"/>
      <c r="G161" s="3290"/>
      <c r="H161" s="3290"/>
      <c r="I161" s="3290"/>
    </row>
    <row r="162" spans="1:9" ht="14.25">
      <c r="A162" s="3288"/>
      <c r="B162" s="3290"/>
      <c r="C162" s="3294"/>
      <c r="D162" s="3290"/>
      <c r="E162" s="3294"/>
      <c r="F162" s="3290"/>
      <c r="G162" s="3290"/>
      <c r="H162" s="3290"/>
      <c r="I162" s="3290"/>
    </row>
    <row r="163" spans="1:9" ht="14.25">
      <c r="A163" s="3288"/>
      <c r="B163" s="3290"/>
      <c r="C163" s="3294"/>
      <c r="D163" s="3290"/>
      <c r="E163" s="3294"/>
      <c r="F163" s="3290"/>
      <c r="G163" s="3290"/>
      <c r="H163" s="3290"/>
      <c r="I163" s="3290"/>
    </row>
    <row r="164" spans="1:9" ht="14.25">
      <c r="A164" s="3288"/>
      <c r="B164" s="3290"/>
      <c r="C164" s="3294"/>
      <c r="D164" s="3290"/>
      <c r="E164" s="3294"/>
      <c r="F164" s="3290"/>
      <c r="G164" s="3290"/>
      <c r="H164" s="3290"/>
      <c r="I164" s="3290"/>
    </row>
    <row r="165" spans="1:9" ht="14.25">
      <c r="A165" s="3288"/>
      <c r="B165" s="3290"/>
      <c r="C165" s="3294"/>
      <c r="D165" s="3290"/>
      <c r="E165" s="3294"/>
      <c r="F165" s="3290"/>
      <c r="G165" s="3290"/>
      <c r="H165" s="3290"/>
      <c r="I165" s="3290"/>
    </row>
    <row r="166" spans="1:9" ht="14.25">
      <c r="A166" s="3288"/>
      <c r="B166" s="3290"/>
      <c r="C166" s="3294"/>
      <c r="D166" s="3290"/>
      <c r="E166" s="3294"/>
      <c r="F166" s="3290"/>
      <c r="G166" s="3290"/>
      <c r="H166" s="3290"/>
      <c r="I166" s="3290"/>
    </row>
    <row r="167" spans="1:9" ht="14.25">
      <c r="A167" s="3288"/>
      <c r="B167" s="3290"/>
      <c r="C167" s="3294"/>
      <c r="D167" s="3290"/>
      <c r="E167" s="3294"/>
      <c r="F167" s="3290"/>
      <c r="G167" s="3290"/>
      <c r="H167" s="3290"/>
      <c r="I167" s="3290"/>
    </row>
    <row r="168" spans="1:9" ht="14.25">
      <c r="A168" s="3288"/>
      <c r="B168" s="3290"/>
      <c r="C168" s="3294"/>
      <c r="D168" s="3290"/>
      <c r="E168" s="3294"/>
      <c r="F168" s="3290"/>
      <c r="G168" s="3290"/>
      <c r="H168" s="3290"/>
      <c r="I168" s="3290"/>
    </row>
    <row r="169" spans="1:9" ht="14.25">
      <c r="A169" s="3288"/>
      <c r="B169" s="3290"/>
      <c r="C169" s="3294"/>
      <c r="D169" s="3290"/>
      <c r="E169" s="3294"/>
      <c r="F169" s="3290"/>
      <c r="G169" s="3290"/>
      <c r="H169" s="3290"/>
      <c r="I169" s="3290"/>
    </row>
    <row r="170" spans="1:9" ht="14.25">
      <c r="A170" s="3288"/>
      <c r="B170" s="3290"/>
      <c r="C170" s="3294"/>
      <c r="D170" s="3290"/>
      <c r="E170" s="3294"/>
      <c r="F170" s="3290"/>
      <c r="G170" s="3290"/>
      <c r="H170" s="3290"/>
      <c r="I170" s="3290"/>
    </row>
    <row r="171" spans="1:9" ht="14.25">
      <c r="A171" s="3288"/>
      <c r="B171" s="3290"/>
      <c r="C171" s="3294"/>
      <c r="D171" s="3290"/>
      <c r="E171" s="3294"/>
      <c r="F171" s="3290"/>
      <c r="G171" s="3290"/>
      <c r="H171" s="3290"/>
      <c r="I171" s="3290"/>
    </row>
    <row r="172" spans="1:9" s="3303" customFormat="1" ht="14.25">
      <c r="A172" s="3288"/>
      <c r="B172" s="3290"/>
      <c r="C172" s="3294"/>
      <c r="D172" s="3290"/>
      <c r="E172" s="3294"/>
      <c r="F172" s="3290"/>
      <c r="G172" s="3290"/>
      <c r="H172" s="3290"/>
      <c r="I172" s="3290"/>
    </row>
    <row r="173" spans="1:9" s="3303" customFormat="1" ht="14.25">
      <c r="A173" s="3288"/>
      <c r="B173" s="3290"/>
      <c r="C173" s="3294"/>
      <c r="D173" s="3290"/>
      <c r="E173" s="3294"/>
      <c r="F173" s="3290"/>
      <c r="G173" s="3290"/>
      <c r="H173" s="3290"/>
      <c r="I173" s="3290"/>
    </row>
    <row r="174" spans="1:9" s="3303" customFormat="1" ht="14.25">
      <c r="A174" s="3288"/>
      <c r="B174" s="3290"/>
      <c r="C174" s="3294"/>
      <c r="D174" s="3290"/>
      <c r="E174" s="3294"/>
      <c r="F174" s="3290"/>
      <c r="G174" s="3290"/>
      <c r="H174" s="3290"/>
      <c r="I174" s="3290"/>
    </row>
    <row r="175" spans="1:9" ht="14.25">
      <c r="A175" s="3288"/>
      <c r="B175" s="3290"/>
      <c r="C175" s="3294"/>
      <c r="D175" s="3290"/>
      <c r="E175" s="3294"/>
      <c r="F175" s="3290"/>
      <c r="G175" s="3290"/>
      <c r="H175" s="3290"/>
      <c r="I175" s="3290"/>
    </row>
    <row r="176" spans="1:9" s="3303" customFormat="1" ht="14.25">
      <c r="A176" s="3288"/>
      <c r="B176" s="3290"/>
      <c r="C176" s="3294"/>
      <c r="D176" s="3290"/>
      <c r="E176" s="3294"/>
      <c r="F176" s="3290"/>
      <c r="G176" s="3290"/>
      <c r="H176" s="3290"/>
      <c r="I176" s="3290"/>
    </row>
    <row r="177" spans="1:9" ht="14.25">
      <c r="A177" s="3288"/>
      <c r="B177" s="3290"/>
      <c r="C177" s="3294"/>
      <c r="D177" s="3290"/>
      <c r="E177" s="3294"/>
      <c r="F177" s="3290"/>
      <c r="G177" s="3290"/>
      <c r="H177" s="3290"/>
      <c r="I177" s="3290"/>
    </row>
    <row r="178" spans="1:9" ht="14.25">
      <c r="A178" s="3288"/>
      <c r="B178" s="3290"/>
      <c r="C178" s="3294"/>
      <c r="D178" s="3290"/>
      <c r="E178" s="3294"/>
      <c r="F178" s="3290"/>
      <c r="G178" s="3290"/>
      <c r="H178" s="3290"/>
      <c r="I178" s="3290"/>
    </row>
    <row r="179" spans="1:9" ht="14.25">
      <c r="A179" s="3288"/>
      <c r="B179" s="3290"/>
      <c r="C179" s="3294"/>
      <c r="D179" s="3290"/>
      <c r="E179" s="3294"/>
      <c r="F179" s="3290"/>
      <c r="G179" s="3290"/>
      <c r="H179" s="3290"/>
      <c r="I179" s="3290"/>
    </row>
    <row r="180" spans="1:9" ht="14.25">
      <c r="A180" s="3288"/>
      <c r="B180" s="3290"/>
      <c r="C180" s="3294"/>
      <c r="D180" s="3290"/>
      <c r="E180" s="3294"/>
      <c r="F180" s="3290"/>
      <c r="G180" s="3290"/>
      <c r="H180" s="3290"/>
      <c r="I180" s="3290"/>
    </row>
    <row r="181" spans="1:9" ht="14.25">
      <c r="A181" s="3288"/>
      <c r="B181" s="3290"/>
      <c r="C181" s="3294"/>
      <c r="D181" s="3290"/>
      <c r="E181" s="3294"/>
      <c r="F181" s="3290"/>
      <c r="G181" s="3290"/>
      <c r="H181" s="3290"/>
      <c r="I181" s="3290"/>
    </row>
    <row r="182" spans="1:9" ht="14.25">
      <c r="A182" s="3288"/>
      <c r="B182" s="3290"/>
      <c r="C182" s="3294"/>
      <c r="D182" s="3290"/>
      <c r="E182" s="3294"/>
      <c r="F182" s="3290"/>
      <c r="G182" s="3290"/>
      <c r="H182" s="3290"/>
      <c r="I182" s="3290"/>
    </row>
    <row r="183" spans="1:9" ht="14.25">
      <c r="A183" s="3288"/>
      <c r="B183" s="3290"/>
      <c r="C183" s="3294"/>
      <c r="D183" s="3290"/>
      <c r="E183" s="3294"/>
      <c r="F183" s="3290"/>
      <c r="G183" s="3290"/>
      <c r="H183" s="3290"/>
      <c r="I183" s="3290"/>
    </row>
    <row r="184" spans="1:9" s="3303" customFormat="1" ht="14.25">
      <c r="A184" s="3288"/>
      <c r="B184" s="3290"/>
      <c r="C184" s="3294"/>
      <c r="D184" s="3290"/>
      <c r="E184" s="3294"/>
      <c r="F184" s="3290"/>
      <c r="G184" s="3290"/>
      <c r="H184" s="3290"/>
      <c r="I184" s="3290"/>
    </row>
    <row r="185" spans="1:9" ht="14.25">
      <c r="A185" s="3288"/>
      <c r="B185" s="3290"/>
      <c r="C185" s="3294"/>
      <c r="D185" s="3290"/>
      <c r="E185" s="3294"/>
      <c r="F185" s="3290"/>
      <c r="G185" s="3290"/>
      <c r="H185" s="3290"/>
      <c r="I185" s="3290"/>
    </row>
    <row r="186" spans="1:9" ht="14.25">
      <c r="A186" s="3288"/>
      <c r="B186" s="3290"/>
      <c r="C186" s="3294"/>
      <c r="D186" s="3290"/>
      <c r="E186" s="3294"/>
      <c r="F186" s="3290"/>
      <c r="G186" s="3290"/>
      <c r="H186" s="3290"/>
      <c r="I186" s="3290"/>
    </row>
    <row r="187" spans="1:9" ht="14.25">
      <c r="A187" s="3288"/>
      <c r="B187" s="3290"/>
      <c r="C187" s="3294"/>
      <c r="D187" s="3290"/>
      <c r="E187" s="3294"/>
      <c r="F187" s="3290"/>
      <c r="G187" s="3290"/>
      <c r="H187" s="3290"/>
      <c r="I187" s="3290"/>
    </row>
    <row r="188" spans="1:9" ht="14.25">
      <c r="A188" s="3288"/>
      <c r="B188" s="3290"/>
      <c r="C188" s="3294"/>
      <c r="D188" s="3290"/>
      <c r="E188" s="3294"/>
      <c r="F188" s="3290"/>
      <c r="G188" s="3290"/>
      <c r="H188" s="3290"/>
      <c r="I188" s="3290"/>
    </row>
    <row r="189" spans="1:9" ht="14.25">
      <c r="A189" s="3288"/>
      <c r="B189" s="3290"/>
      <c r="C189" s="3294"/>
      <c r="D189" s="3290"/>
      <c r="E189" s="3294"/>
      <c r="F189" s="3290"/>
      <c r="G189" s="3290"/>
      <c r="H189" s="3290"/>
      <c r="I189" s="3290"/>
    </row>
    <row r="190" spans="1:9" s="3303" customFormat="1" ht="14.25">
      <c r="A190" s="3288"/>
      <c r="B190" s="3290"/>
      <c r="C190" s="3294"/>
      <c r="D190" s="3290"/>
      <c r="E190" s="3294"/>
      <c r="F190" s="3290"/>
      <c r="G190" s="3290"/>
      <c r="H190" s="3290"/>
      <c r="I190" s="3290"/>
    </row>
    <row r="191" spans="1:9" ht="14.25">
      <c r="A191" s="3288"/>
      <c r="B191" s="3290"/>
      <c r="C191" s="3294"/>
      <c r="D191" s="3290"/>
      <c r="E191" s="3294"/>
      <c r="F191" s="3290"/>
      <c r="G191" s="3290"/>
      <c r="H191" s="3290"/>
      <c r="I191" s="3290"/>
    </row>
    <row r="192" spans="1:9" ht="14.25">
      <c r="A192" s="3288"/>
      <c r="B192" s="3290"/>
      <c r="C192" s="3294"/>
      <c r="D192" s="3290"/>
      <c r="E192" s="3294"/>
      <c r="F192" s="3290"/>
      <c r="G192" s="3290"/>
      <c r="H192" s="3290"/>
      <c r="I192" s="3290"/>
    </row>
    <row r="193" spans="1:9" ht="14.25">
      <c r="A193" s="3288">
        <v>381</v>
      </c>
      <c r="B193" s="3290" t="s">
        <v>3981</v>
      </c>
      <c r="C193" s="3294" t="s">
        <v>3982</v>
      </c>
      <c r="D193" s="3290"/>
      <c r="E193" s="3294">
        <v>111.22</v>
      </c>
      <c r="F193" s="3290" t="s">
        <v>3738</v>
      </c>
      <c r="G193" s="3290" t="s">
        <v>3983</v>
      </c>
      <c r="H193" s="3290" t="s">
        <v>3984</v>
      </c>
      <c r="I193" s="3296" t="s">
        <v>3985</v>
      </c>
    </row>
    <row r="194" spans="1:9" ht="14.25">
      <c r="A194" s="3288">
        <v>269</v>
      </c>
      <c r="B194" s="3290" t="s">
        <v>3986</v>
      </c>
      <c r="C194" s="3294" t="s">
        <v>3987</v>
      </c>
      <c r="D194" s="3290"/>
      <c r="E194" s="3294">
        <v>198.71</v>
      </c>
      <c r="F194" s="3290" t="s">
        <v>3738</v>
      </c>
      <c r="G194" s="3290" t="s">
        <v>3983</v>
      </c>
      <c r="H194" s="3290" t="s">
        <v>3984</v>
      </c>
      <c r="I194" s="3290" t="s">
        <v>3988</v>
      </c>
    </row>
    <row r="195" spans="1:9" ht="14.25">
      <c r="A195" s="3288">
        <v>270</v>
      </c>
      <c r="B195" s="3290" t="s">
        <v>3986</v>
      </c>
      <c r="C195" s="3294" t="s">
        <v>3989</v>
      </c>
      <c r="D195" s="3290"/>
      <c r="E195" s="3294">
        <v>125.38</v>
      </c>
      <c r="F195" s="3290" t="s">
        <v>3738</v>
      </c>
      <c r="G195" s="3290" t="s">
        <v>3983</v>
      </c>
      <c r="H195" s="3290" t="s">
        <v>3984</v>
      </c>
      <c r="I195" s="3290" t="s">
        <v>3990</v>
      </c>
    </row>
    <row r="196" spans="1:9" ht="14.25">
      <c r="A196" s="3288">
        <v>271</v>
      </c>
      <c r="B196" s="3290" t="s">
        <v>3986</v>
      </c>
      <c r="C196" s="3294" t="s">
        <v>3991</v>
      </c>
      <c r="D196" s="3290"/>
      <c r="E196" s="3294">
        <v>124.36</v>
      </c>
      <c r="F196" s="3290" t="s">
        <v>3738</v>
      </c>
      <c r="G196" s="3290" t="s">
        <v>3983</v>
      </c>
      <c r="H196" s="3290" t="s">
        <v>3984</v>
      </c>
      <c r="I196" s="3290" t="s">
        <v>3992</v>
      </c>
    </row>
    <row r="197" spans="1:9" ht="14.25">
      <c r="A197" s="3288">
        <v>272</v>
      </c>
      <c r="B197" s="3290" t="s">
        <v>3986</v>
      </c>
      <c r="C197" s="3294" t="s">
        <v>3993</v>
      </c>
      <c r="D197" s="3290"/>
      <c r="E197" s="3294">
        <v>198.71</v>
      </c>
      <c r="F197" s="3290" t="s">
        <v>3738</v>
      </c>
      <c r="G197" s="3290" t="s">
        <v>3983</v>
      </c>
      <c r="H197" s="3290" t="s">
        <v>3984</v>
      </c>
      <c r="I197" s="3290" t="s">
        <v>3994</v>
      </c>
    </row>
    <row r="198" spans="1:9" s="3303" customFormat="1" ht="14.25">
      <c r="A198" s="3288">
        <v>273</v>
      </c>
      <c r="B198" s="3290" t="s">
        <v>3986</v>
      </c>
      <c r="C198" s="3294" t="s">
        <v>3995</v>
      </c>
      <c r="D198" s="3290"/>
      <c r="E198" s="3294">
        <v>198.71</v>
      </c>
      <c r="F198" s="3290" t="s">
        <v>3738</v>
      </c>
      <c r="G198" s="3290" t="s">
        <v>3983</v>
      </c>
      <c r="H198" s="3290" t="s">
        <v>3984</v>
      </c>
      <c r="I198" s="3290" t="s">
        <v>3996</v>
      </c>
    </row>
    <row r="199" spans="1:9" ht="14.25">
      <c r="A199" s="3288">
        <v>274</v>
      </c>
      <c r="B199" s="3290" t="s">
        <v>3986</v>
      </c>
      <c r="C199" s="3294" t="s">
        <v>3997</v>
      </c>
      <c r="D199" s="3290"/>
      <c r="E199" s="3294">
        <v>124.36</v>
      </c>
      <c r="F199" s="3290" t="s">
        <v>3738</v>
      </c>
      <c r="G199" s="3290" t="s">
        <v>3983</v>
      </c>
      <c r="H199" s="3290" t="s">
        <v>3984</v>
      </c>
      <c r="I199" s="3290" t="s">
        <v>3998</v>
      </c>
    </row>
    <row r="200" spans="1:9" s="3303" customFormat="1" ht="14.25">
      <c r="A200" s="3288">
        <v>275</v>
      </c>
      <c r="B200" s="3290" t="s">
        <v>3986</v>
      </c>
      <c r="C200" s="3294" t="s">
        <v>3999</v>
      </c>
      <c r="D200" s="3290"/>
      <c r="E200" s="3294">
        <v>124.36</v>
      </c>
      <c r="F200" s="3290" t="s">
        <v>3738</v>
      </c>
      <c r="G200" s="3290" t="s">
        <v>3983</v>
      </c>
      <c r="H200" s="3290" t="s">
        <v>3984</v>
      </c>
      <c r="I200" s="3290" t="s">
        <v>4000</v>
      </c>
    </row>
    <row r="201" spans="1:9" s="3303" customFormat="1" ht="14.25">
      <c r="A201" s="3288">
        <v>277</v>
      </c>
      <c r="B201" s="3290" t="s">
        <v>3986</v>
      </c>
      <c r="C201" s="3294" t="s">
        <v>4001</v>
      </c>
      <c r="D201" s="3290"/>
      <c r="E201" s="3294">
        <v>199.39</v>
      </c>
      <c r="F201" s="3290" t="s">
        <v>3738</v>
      </c>
      <c r="G201" s="3290" t="s">
        <v>3983</v>
      </c>
      <c r="H201" s="3290" t="s">
        <v>3984</v>
      </c>
      <c r="I201" s="3290" t="s">
        <v>4002</v>
      </c>
    </row>
    <row r="202" spans="1:9" s="3303" customFormat="1" ht="14.25">
      <c r="A202" s="3288">
        <v>278</v>
      </c>
      <c r="B202" s="3290" t="s">
        <v>3986</v>
      </c>
      <c r="C202" s="3294" t="s">
        <v>4003</v>
      </c>
      <c r="D202" s="3290"/>
      <c r="E202" s="3294">
        <v>124.36</v>
      </c>
      <c r="F202" s="3290" t="s">
        <v>3738</v>
      </c>
      <c r="G202" s="3290" t="s">
        <v>3983</v>
      </c>
      <c r="H202" s="3290" t="s">
        <v>3984</v>
      </c>
      <c r="I202" s="3290" t="s">
        <v>4004</v>
      </c>
    </row>
    <row r="203" spans="1:9" s="3303" customFormat="1" ht="14.25">
      <c r="A203" s="3288"/>
      <c r="B203" s="3290"/>
      <c r="C203" s="3294"/>
      <c r="D203" s="3290"/>
      <c r="E203" s="3294"/>
      <c r="F203" s="3290"/>
      <c r="G203" s="3290"/>
      <c r="H203" s="3290"/>
      <c r="I203" s="3290"/>
    </row>
    <row r="204" spans="1:9" ht="14.25">
      <c r="A204" s="3288"/>
      <c r="B204" s="3290"/>
      <c r="C204" s="3294"/>
      <c r="D204" s="3290"/>
      <c r="E204" s="3294"/>
      <c r="F204" s="3290"/>
      <c r="G204" s="3290"/>
      <c r="H204" s="3290"/>
      <c r="I204" s="3290"/>
    </row>
    <row r="205" spans="1:9" ht="14.25">
      <c r="A205" s="3288"/>
      <c r="B205" s="3290"/>
      <c r="C205" s="3294"/>
      <c r="D205" s="3290"/>
      <c r="E205" s="3294"/>
      <c r="F205" s="3290"/>
      <c r="G205" s="3290"/>
      <c r="H205" s="3290"/>
      <c r="I205" s="3290"/>
    </row>
    <row r="206" spans="1:9" ht="14.25">
      <c r="A206" s="3288">
        <v>188</v>
      </c>
      <c r="B206" s="3290" t="s">
        <v>4005</v>
      </c>
      <c r="C206" s="3294" t="s">
        <v>4006</v>
      </c>
      <c r="D206" s="3290"/>
      <c r="E206" s="3294">
        <v>199.39</v>
      </c>
      <c r="F206" s="3290" t="s">
        <v>3738</v>
      </c>
      <c r="G206" s="3290" t="s">
        <v>3983</v>
      </c>
      <c r="H206" s="3290" t="s">
        <v>3984</v>
      </c>
      <c r="I206" s="3290" t="s">
        <v>4007</v>
      </c>
    </row>
    <row r="207" spans="1:9" ht="14.25">
      <c r="A207" s="3288">
        <v>279</v>
      </c>
      <c r="B207" s="3290" t="s">
        <v>4005</v>
      </c>
      <c r="C207" s="3294" t="s">
        <v>4008</v>
      </c>
      <c r="D207" s="3290"/>
      <c r="E207" s="3294">
        <v>198.71</v>
      </c>
      <c r="F207" s="3290" t="s">
        <v>3738</v>
      </c>
      <c r="G207" s="3290" t="s">
        <v>3983</v>
      </c>
      <c r="H207" s="3290" t="s">
        <v>3984</v>
      </c>
      <c r="I207" s="3290" t="s">
        <v>4009</v>
      </c>
    </row>
    <row r="208" spans="1:9" ht="14.25">
      <c r="A208" s="3288">
        <v>280</v>
      </c>
      <c r="B208" s="3290" t="s">
        <v>4005</v>
      </c>
      <c r="C208" s="3294" t="s">
        <v>4010</v>
      </c>
      <c r="D208" s="3290"/>
      <c r="E208" s="3294">
        <v>125.38</v>
      </c>
      <c r="F208" s="3290" t="s">
        <v>3738</v>
      </c>
      <c r="G208" s="3290" t="s">
        <v>3983</v>
      </c>
      <c r="H208" s="3290" t="s">
        <v>3984</v>
      </c>
      <c r="I208" s="3290" t="s">
        <v>4011</v>
      </c>
    </row>
    <row r="209" spans="1:9" ht="14.25">
      <c r="A209" s="3288">
        <v>281</v>
      </c>
      <c r="B209" s="3290" t="s">
        <v>4005</v>
      </c>
      <c r="C209" s="3294" t="s">
        <v>4012</v>
      </c>
      <c r="D209" s="3290"/>
      <c r="E209" s="3294">
        <v>124.36</v>
      </c>
      <c r="F209" s="3290" t="s">
        <v>3738</v>
      </c>
      <c r="G209" s="3290" t="s">
        <v>3983</v>
      </c>
      <c r="H209" s="3290" t="s">
        <v>3984</v>
      </c>
      <c r="I209" s="3290" t="s">
        <v>4013</v>
      </c>
    </row>
    <row r="210" spans="1:9" ht="14.25">
      <c r="A210" s="3288">
        <v>283</v>
      </c>
      <c r="B210" s="3290" t="s">
        <v>4005</v>
      </c>
      <c r="C210" s="3294" t="s">
        <v>4014</v>
      </c>
      <c r="D210" s="3290"/>
      <c r="E210" s="3294">
        <v>124.36</v>
      </c>
      <c r="F210" s="3290" t="s">
        <v>3738</v>
      </c>
      <c r="G210" s="3290" t="s">
        <v>3983</v>
      </c>
      <c r="H210" s="3290" t="s">
        <v>3984</v>
      </c>
      <c r="I210" s="3290" t="s">
        <v>4015</v>
      </c>
    </row>
    <row r="211" spans="1:9" ht="14.25">
      <c r="A211" s="3288">
        <v>284</v>
      </c>
      <c r="B211" s="3290" t="s">
        <v>4005</v>
      </c>
      <c r="C211" s="3294" t="s">
        <v>4016</v>
      </c>
      <c r="D211" s="3290"/>
      <c r="E211" s="3294">
        <v>124.36</v>
      </c>
      <c r="F211" s="3290" t="s">
        <v>3738</v>
      </c>
      <c r="G211" s="3290" t="s">
        <v>3983</v>
      </c>
      <c r="H211" s="3290" t="s">
        <v>3984</v>
      </c>
      <c r="I211" s="3290" t="s">
        <v>4017</v>
      </c>
    </row>
    <row r="212" spans="1:9" ht="14.25">
      <c r="A212" s="3288">
        <v>285</v>
      </c>
      <c r="B212" s="3290" t="s">
        <v>4005</v>
      </c>
      <c r="C212" s="3294" t="s">
        <v>4018</v>
      </c>
      <c r="D212" s="3290"/>
      <c r="E212" s="3294">
        <v>124.36</v>
      </c>
      <c r="F212" s="3290" t="s">
        <v>3738</v>
      </c>
      <c r="G212" s="3290" t="s">
        <v>3983</v>
      </c>
      <c r="H212" s="3290" t="s">
        <v>3984</v>
      </c>
      <c r="I212" s="3290" t="s">
        <v>4019</v>
      </c>
    </row>
    <row r="213" spans="1:9" s="3303" customFormat="1" ht="14.25">
      <c r="A213" s="3288">
        <v>286</v>
      </c>
      <c r="B213" s="3290" t="s">
        <v>4005</v>
      </c>
      <c r="C213" s="3294" t="s">
        <v>4020</v>
      </c>
      <c r="D213" s="3290"/>
      <c r="E213" s="3294">
        <v>125.38</v>
      </c>
      <c r="F213" s="3290" t="s">
        <v>3738</v>
      </c>
      <c r="G213" s="3290" t="s">
        <v>3983</v>
      </c>
      <c r="H213" s="3290" t="s">
        <v>3984</v>
      </c>
      <c r="I213" s="3290" t="s">
        <v>4021</v>
      </c>
    </row>
    <row r="214" spans="1:9" s="3303" customFormat="1" ht="14.25">
      <c r="A214" s="3288"/>
      <c r="B214" s="3290"/>
      <c r="C214" s="3294"/>
      <c r="D214" s="3290"/>
      <c r="E214" s="3294"/>
      <c r="F214" s="3290"/>
      <c r="G214" s="3290"/>
      <c r="H214" s="3290"/>
      <c r="I214" s="3290"/>
    </row>
    <row r="215" spans="1:9" ht="14.25">
      <c r="A215" s="3288"/>
      <c r="B215" s="3290"/>
      <c r="C215" s="3294"/>
      <c r="D215" s="3290"/>
      <c r="E215" s="3294"/>
      <c r="F215" s="3290"/>
      <c r="G215" s="3290"/>
      <c r="H215" s="3290"/>
      <c r="I215" s="3290"/>
    </row>
    <row r="216" spans="1:9" ht="14.25">
      <c r="A216" s="3288"/>
      <c r="B216" s="3290"/>
      <c r="C216" s="3294"/>
      <c r="D216" s="3290"/>
      <c r="E216" s="3294"/>
      <c r="F216" s="3290"/>
      <c r="G216" s="3290"/>
      <c r="H216" s="3290"/>
      <c r="I216" s="3290"/>
    </row>
    <row r="217" spans="1:9" s="3303" customFormat="1" ht="14.25">
      <c r="A217" s="3288"/>
      <c r="B217" s="3290"/>
      <c r="C217" s="3294"/>
      <c r="D217" s="3290"/>
      <c r="E217" s="3294"/>
      <c r="F217" s="3290"/>
      <c r="G217" s="3290"/>
      <c r="H217" s="3290"/>
      <c r="I217" s="3290"/>
    </row>
    <row r="218" spans="1:9" ht="14.25">
      <c r="A218" s="3288">
        <v>196</v>
      </c>
      <c r="B218" s="3290" t="s">
        <v>4022</v>
      </c>
      <c r="C218" s="3294" t="s">
        <v>4023</v>
      </c>
      <c r="D218" s="3290"/>
      <c r="E218" s="3294">
        <v>198.71</v>
      </c>
      <c r="F218" s="3290" t="s">
        <v>3738</v>
      </c>
      <c r="G218" s="3290" t="s">
        <v>3983</v>
      </c>
      <c r="H218" s="3290" t="s">
        <v>3984</v>
      </c>
      <c r="I218" s="3290" t="s">
        <v>4024</v>
      </c>
    </row>
    <row r="219" spans="1:9" s="3303" customFormat="1" ht="14.25">
      <c r="A219" s="3288">
        <v>287</v>
      </c>
      <c r="B219" s="3290" t="s">
        <v>4022</v>
      </c>
      <c r="C219" s="3294" t="s">
        <v>4025</v>
      </c>
      <c r="D219" s="3290"/>
      <c r="E219" s="3294">
        <v>125.38</v>
      </c>
      <c r="F219" s="3290" t="s">
        <v>3738</v>
      </c>
      <c r="G219" s="3290" t="s">
        <v>3983</v>
      </c>
      <c r="H219" s="3290" t="s">
        <v>3984</v>
      </c>
      <c r="I219" s="3290" t="s">
        <v>4026</v>
      </c>
    </row>
    <row r="220" spans="1:9" s="3303" customFormat="1" ht="14.25">
      <c r="A220" s="3288">
        <v>288</v>
      </c>
      <c r="B220" s="3290" t="s">
        <v>4022</v>
      </c>
      <c r="C220" s="3294" t="s">
        <v>4027</v>
      </c>
      <c r="D220" s="3290"/>
      <c r="E220" s="3294">
        <v>124.36</v>
      </c>
      <c r="F220" s="3290" t="s">
        <v>3738</v>
      </c>
      <c r="G220" s="3290" t="s">
        <v>3983</v>
      </c>
      <c r="H220" s="3290" t="s">
        <v>3984</v>
      </c>
      <c r="I220" s="3290" t="s">
        <v>4028</v>
      </c>
    </row>
    <row r="221" spans="1:9" s="3303" customFormat="1" ht="14.25">
      <c r="A221" s="3288">
        <v>289</v>
      </c>
      <c r="B221" s="3290" t="s">
        <v>4022</v>
      </c>
      <c r="C221" s="3294" t="s">
        <v>4029</v>
      </c>
      <c r="D221" s="3290"/>
      <c r="E221" s="3294">
        <v>124.36</v>
      </c>
      <c r="F221" s="3290" t="s">
        <v>3738</v>
      </c>
      <c r="G221" s="3290" t="s">
        <v>3983</v>
      </c>
      <c r="H221" s="3290" t="s">
        <v>3984</v>
      </c>
      <c r="I221" s="3290" t="s">
        <v>4030</v>
      </c>
    </row>
    <row r="222" spans="1:9" ht="14.25">
      <c r="A222" s="3288">
        <v>291</v>
      </c>
      <c r="B222" s="3290" t="s">
        <v>4022</v>
      </c>
      <c r="C222" s="3294" t="s">
        <v>4031</v>
      </c>
      <c r="D222" s="3290"/>
      <c r="E222" s="3294">
        <v>199.39</v>
      </c>
      <c r="F222" s="3290" t="s">
        <v>3738</v>
      </c>
      <c r="G222" s="3290" t="s">
        <v>3983</v>
      </c>
      <c r="H222" s="3290" t="s">
        <v>3984</v>
      </c>
      <c r="I222" s="3290" t="s">
        <v>4032</v>
      </c>
    </row>
    <row r="223" spans="1:9" ht="14.25">
      <c r="A223" s="3288">
        <v>292</v>
      </c>
      <c r="B223" s="3290" t="s">
        <v>4022</v>
      </c>
      <c r="C223" s="3294" t="s">
        <v>4033</v>
      </c>
      <c r="D223" s="3290"/>
      <c r="E223" s="3294">
        <v>124.36</v>
      </c>
      <c r="F223" s="3290" t="s">
        <v>3738</v>
      </c>
      <c r="G223" s="3290" t="s">
        <v>3983</v>
      </c>
      <c r="H223" s="3290" t="s">
        <v>3984</v>
      </c>
      <c r="I223" s="3290" t="s">
        <v>4034</v>
      </c>
    </row>
    <row r="224" spans="1:9" ht="14.25">
      <c r="A224" s="3288">
        <v>293</v>
      </c>
      <c r="B224" s="3290" t="s">
        <v>4022</v>
      </c>
      <c r="C224" s="3294" t="s">
        <v>4035</v>
      </c>
      <c r="D224" s="3290"/>
      <c r="E224" s="3294">
        <v>125.38</v>
      </c>
      <c r="F224" s="3290" t="s">
        <v>3738</v>
      </c>
      <c r="G224" s="3290" t="s">
        <v>3983</v>
      </c>
      <c r="H224" s="3290" t="s">
        <v>3984</v>
      </c>
      <c r="I224" s="3290" t="s">
        <v>4036</v>
      </c>
    </row>
    <row r="225" spans="1:9" ht="14.25">
      <c r="A225" s="3288"/>
      <c r="B225" s="3290"/>
      <c r="C225" s="3294"/>
      <c r="D225" s="3290"/>
      <c r="E225" s="3294"/>
      <c r="F225" s="3290"/>
      <c r="G225" s="3290"/>
      <c r="H225" s="3290"/>
      <c r="I225" s="3290"/>
    </row>
    <row r="226" spans="1:9" ht="14.25">
      <c r="A226" s="3288"/>
      <c r="B226" s="3290"/>
      <c r="C226" s="3294"/>
      <c r="D226" s="3290"/>
      <c r="E226" s="3294"/>
      <c r="F226" s="3290"/>
      <c r="G226" s="3290"/>
      <c r="H226" s="3290"/>
      <c r="I226" s="3290"/>
    </row>
    <row r="227" spans="1:9" ht="14.25">
      <c r="A227" s="3288"/>
      <c r="B227" s="3290"/>
      <c r="C227" s="3294"/>
      <c r="D227" s="3290"/>
      <c r="E227" s="3294"/>
      <c r="F227" s="3290"/>
      <c r="G227" s="3290"/>
      <c r="H227" s="3290"/>
      <c r="I227" s="3290"/>
    </row>
    <row r="228" spans="1:9" ht="14.25">
      <c r="A228" s="3288"/>
      <c r="B228" s="3290"/>
      <c r="C228" s="3294"/>
      <c r="D228" s="3290"/>
      <c r="E228" s="3294"/>
      <c r="F228" s="3290"/>
      <c r="G228" s="3290"/>
      <c r="H228" s="3290"/>
      <c r="I228" s="3290"/>
    </row>
    <row r="229" spans="1:9" ht="14.25">
      <c r="A229" s="3288"/>
      <c r="B229" s="3290"/>
      <c r="C229" s="3294"/>
      <c r="D229" s="3290"/>
      <c r="E229" s="3294"/>
      <c r="F229" s="3290"/>
      <c r="G229" s="3290"/>
      <c r="H229" s="3290"/>
      <c r="I229" s="3290"/>
    </row>
    <row r="230" spans="1:9" ht="14.25">
      <c r="A230" s="3288">
        <v>198</v>
      </c>
      <c r="B230" s="3290" t="s">
        <v>4037</v>
      </c>
      <c r="C230" s="3294" t="s">
        <v>4038</v>
      </c>
      <c r="D230" s="3290"/>
      <c r="E230" s="3294">
        <v>85.16</v>
      </c>
      <c r="F230" s="3290" t="s">
        <v>3738</v>
      </c>
      <c r="G230" s="3290" t="s">
        <v>3983</v>
      </c>
      <c r="H230" s="3290" t="s">
        <v>3984</v>
      </c>
      <c r="I230" s="3290" t="s">
        <v>4039</v>
      </c>
    </row>
    <row r="231" spans="1:9" s="3303" customFormat="1" ht="14.25">
      <c r="A231" s="3288">
        <v>199</v>
      </c>
      <c r="B231" s="3290" t="s">
        <v>4037</v>
      </c>
      <c r="C231" s="3294" t="s">
        <v>4040</v>
      </c>
      <c r="D231" s="3290"/>
      <c r="E231" s="3294">
        <v>85.16</v>
      </c>
      <c r="F231" s="3290" t="s">
        <v>3738</v>
      </c>
      <c r="G231" s="3290" t="s">
        <v>3983</v>
      </c>
      <c r="H231" s="3290" t="s">
        <v>3984</v>
      </c>
      <c r="I231" s="3290" t="s">
        <v>4041</v>
      </c>
    </row>
    <row r="232" spans="1:9" ht="14.25">
      <c r="A232" s="3288">
        <v>200</v>
      </c>
      <c r="B232" s="3290" t="s">
        <v>4037</v>
      </c>
      <c r="C232" s="3294" t="s">
        <v>4042</v>
      </c>
      <c r="D232" s="3290"/>
      <c r="E232" s="3294">
        <v>85.16</v>
      </c>
      <c r="F232" s="3290" t="s">
        <v>3738</v>
      </c>
      <c r="G232" s="3290" t="s">
        <v>3983</v>
      </c>
      <c r="H232" s="3290" t="s">
        <v>3984</v>
      </c>
      <c r="I232" s="3290" t="s">
        <v>4043</v>
      </c>
    </row>
    <row r="233" spans="1:9" ht="14.25">
      <c r="A233" s="3288">
        <v>201</v>
      </c>
      <c r="B233" s="3290" t="s">
        <v>4037</v>
      </c>
      <c r="C233" s="3294" t="s">
        <v>4044</v>
      </c>
      <c r="D233" s="3290"/>
      <c r="E233" s="3294">
        <v>85.16</v>
      </c>
      <c r="F233" s="3290" t="s">
        <v>3738</v>
      </c>
      <c r="G233" s="3290" t="s">
        <v>3983</v>
      </c>
      <c r="H233" s="3290" t="s">
        <v>3984</v>
      </c>
      <c r="I233" s="3290" t="s">
        <v>4045</v>
      </c>
    </row>
    <row r="234" spans="1:9" ht="14.25">
      <c r="A234" s="3288">
        <v>294</v>
      </c>
      <c r="B234" s="3290" t="s">
        <v>4037</v>
      </c>
      <c r="C234" s="3294" t="s">
        <v>4046</v>
      </c>
      <c r="D234" s="3290"/>
      <c r="E234" s="3294">
        <v>85.16</v>
      </c>
      <c r="F234" s="3290" t="s">
        <v>3738</v>
      </c>
      <c r="G234" s="3290" t="s">
        <v>3983</v>
      </c>
      <c r="H234" s="3290" t="s">
        <v>3984</v>
      </c>
      <c r="I234" s="3290" t="s">
        <v>4047</v>
      </c>
    </row>
    <row r="235" spans="1:9" s="3303" customFormat="1" ht="14.25">
      <c r="A235" s="3288">
        <v>295</v>
      </c>
      <c r="B235" s="3290" t="s">
        <v>4037</v>
      </c>
      <c r="C235" s="3294" t="s">
        <v>4048</v>
      </c>
      <c r="D235" s="3290"/>
      <c r="E235" s="3294">
        <v>85.16</v>
      </c>
      <c r="F235" s="3290" t="s">
        <v>3738</v>
      </c>
      <c r="G235" s="3290" t="s">
        <v>3983</v>
      </c>
      <c r="H235" s="3290" t="s">
        <v>3984</v>
      </c>
      <c r="I235" s="3290" t="s">
        <v>4049</v>
      </c>
    </row>
    <row r="236" spans="1:9" ht="14.25">
      <c r="A236" s="3288">
        <v>296</v>
      </c>
      <c r="B236" s="3290" t="s">
        <v>4037</v>
      </c>
      <c r="C236" s="3294" t="s">
        <v>4050</v>
      </c>
      <c r="D236" s="3290"/>
      <c r="E236" s="3294">
        <v>85.16</v>
      </c>
      <c r="F236" s="3290" t="s">
        <v>3738</v>
      </c>
      <c r="G236" s="3290" t="s">
        <v>3983</v>
      </c>
      <c r="H236" s="3290" t="s">
        <v>3984</v>
      </c>
      <c r="I236" s="3290" t="s">
        <v>4051</v>
      </c>
    </row>
    <row r="237" spans="1:9" s="3303" customFormat="1" ht="14.25">
      <c r="A237" s="3288">
        <v>297</v>
      </c>
      <c r="B237" s="3290" t="s">
        <v>4037</v>
      </c>
      <c r="C237" s="3294" t="s">
        <v>4052</v>
      </c>
      <c r="D237" s="3290"/>
      <c r="E237" s="3294">
        <v>85.16</v>
      </c>
      <c r="F237" s="3290" t="s">
        <v>3738</v>
      </c>
      <c r="G237" s="3290" t="s">
        <v>3983</v>
      </c>
      <c r="H237" s="3290" t="s">
        <v>3984</v>
      </c>
      <c r="I237" s="3290" t="s">
        <v>4053</v>
      </c>
    </row>
    <row r="238" spans="1:9" ht="14.25">
      <c r="A238" s="3288">
        <v>298</v>
      </c>
      <c r="B238" s="3290" t="s">
        <v>4037</v>
      </c>
      <c r="C238" s="3294" t="s">
        <v>4054</v>
      </c>
      <c r="D238" s="3290"/>
      <c r="E238" s="3294">
        <v>85.16</v>
      </c>
      <c r="F238" s="3290" t="s">
        <v>3738</v>
      </c>
      <c r="G238" s="3290" t="s">
        <v>3983</v>
      </c>
      <c r="H238" s="3290" t="s">
        <v>3984</v>
      </c>
      <c r="I238" s="3290" t="s">
        <v>4055</v>
      </c>
    </row>
    <row r="239" spans="1:9" ht="14.25">
      <c r="A239" s="3288">
        <v>299</v>
      </c>
      <c r="B239" s="3290" t="s">
        <v>4037</v>
      </c>
      <c r="C239" s="3294" t="s">
        <v>4056</v>
      </c>
      <c r="D239" s="3290"/>
      <c r="E239" s="3294">
        <v>85.16</v>
      </c>
      <c r="F239" s="3290" t="s">
        <v>3738</v>
      </c>
      <c r="G239" s="3290" t="s">
        <v>3983</v>
      </c>
      <c r="H239" s="3290" t="s">
        <v>3984</v>
      </c>
      <c r="I239" s="3290" t="s">
        <v>4057</v>
      </c>
    </row>
    <row r="240" spans="1:9" ht="14.25">
      <c r="A240" s="3288"/>
      <c r="B240" s="3290"/>
      <c r="C240" s="3294"/>
      <c r="D240" s="3290"/>
      <c r="E240" s="3294"/>
      <c r="F240" s="3290"/>
      <c r="G240" s="3290"/>
      <c r="H240" s="3290"/>
      <c r="I240" s="3290"/>
    </row>
    <row r="241" spans="1:9" ht="14.25">
      <c r="A241" s="3288"/>
      <c r="B241" s="3290"/>
      <c r="C241" s="3294"/>
      <c r="D241" s="3290"/>
      <c r="E241" s="3294"/>
      <c r="F241" s="3290"/>
      <c r="G241" s="3290"/>
      <c r="H241" s="3290"/>
      <c r="I241" s="3290"/>
    </row>
    <row r="242" spans="1:9" ht="14.25">
      <c r="A242" s="3288"/>
      <c r="B242" s="3290"/>
      <c r="C242" s="3294"/>
      <c r="D242" s="3290"/>
      <c r="E242" s="3294"/>
      <c r="F242" s="3290"/>
      <c r="G242" s="3290"/>
      <c r="H242" s="3290"/>
      <c r="I242" s="3290"/>
    </row>
    <row r="243" spans="1:9" ht="14.25">
      <c r="A243" s="3288"/>
      <c r="B243" s="3290"/>
      <c r="C243" s="3294"/>
      <c r="D243" s="3290"/>
      <c r="E243" s="3294"/>
      <c r="F243" s="3290"/>
      <c r="G243" s="3290"/>
      <c r="H243" s="3290"/>
      <c r="I243" s="3290"/>
    </row>
    <row r="244" spans="1:9" ht="14.25">
      <c r="A244" s="3288"/>
      <c r="B244" s="3290"/>
      <c r="C244" s="3294"/>
      <c r="D244" s="3290"/>
      <c r="E244" s="3294"/>
      <c r="F244" s="3290"/>
      <c r="G244" s="3290"/>
      <c r="H244" s="3290"/>
      <c r="I244" s="3290"/>
    </row>
    <row r="245" spans="1:9" ht="14.25">
      <c r="A245" s="3288"/>
      <c r="B245" s="3290"/>
      <c r="C245" s="3294"/>
      <c r="D245" s="3290"/>
      <c r="E245" s="3294"/>
      <c r="F245" s="3290"/>
      <c r="G245" s="3290"/>
      <c r="H245" s="3290"/>
      <c r="I245" s="3290"/>
    </row>
    <row r="246" spans="1:9" ht="14.25">
      <c r="A246" s="3288"/>
      <c r="B246" s="3290"/>
      <c r="C246" s="3294"/>
      <c r="D246" s="3290"/>
      <c r="E246" s="3294"/>
      <c r="F246" s="3290"/>
      <c r="G246" s="3290"/>
      <c r="H246" s="3290"/>
      <c r="I246" s="3290"/>
    </row>
    <row r="247" spans="1:9" ht="14.25">
      <c r="A247" s="3288"/>
      <c r="B247" s="3290"/>
      <c r="C247" s="3294"/>
      <c r="D247" s="3290"/>
      <c r="E247" s="3294"/>
      <c r="F247" s="3290"/>
      <c r="G247" s="3290"/>
      <c r="H247" s="3290"/>
      <c r="I247" s="3290"/>
    </row>
    <row r="248" spans="1:9" ht="14.25">
      <c r="A248" s="3288">
        <v>300</v>
      </c>
      <c r="B248" s="3290" t="s">
        <v>4058</v>
      </c>
      <c r="C248" s="3294" t="s">
        <v>4059</v>
      </c>
      <c r="D248" s="3290"/>
      <c r="E248" s="3294">
        <v>124.19</v>
      </c>
      <c r="F248" s="3290" t="s">
        <v>3738</v>
      </c>
      <c r="G248" s="3290" t="s">
        <v>3983</v>
      </c>
      <c r="H248" s="3290" t="s">
        <v>3984</v>
      </c>
      <c r="I248" s="3290" t="s">
        <v>4060</v>
      </c>
    </row>
    <row r="249" spans="1:9" ht="14.25">
      <c r="A249" s="3288">
        <v>301</v>
      </c>
      <c r="B249" s="3290" t="s">
        <v>4058</v>
      </c>
      <c r="C249" s="3294" t="s">
        <v>4061</v>
      </c>
      <c r="D249" s="3290"/>
      <c r="E249" s="3294">
        <v>124.19</v>
      </c>
      <c r="F249" s="3290" t="s">
        <v>3738</v>
      </c>
      <c r="G249" s="3290" t="s">
        <v>3983</v>
      </c>
      <c r="H249" s="3290" t="s">
        <v>3984</v>
      </c>
      <c r="I249" s="3290" t="s">
        <v>4062</v>
      </c>
    </row>
    <row r="250" spans="1:9" ht="14.25">
      <c r="A250" s="3288">
        <v>302</v>
      </c>
      <c r="B250" s="3290" t="s">
        <v>4058</v>
      </c>
      <c r="C250" s="3294" t="s">
        <v>4063</v>
      </c>
      <c r="D250" s="3290"/>
      <c r="E250" s="3294">
        <v>124.19</v>
      </c>
      <c r="F250" s="3290" t="s">
        <v>3738</v>
      </c>
      <c r="G250" s="3290" t="s">
        <v>3983</v>
      </c>
      <c r="H250" s="3290" t="s">
        <v>3984</v>
      </c>
      <c r="I250" s="3290" t="s">
        <v>4064</v>
      </c>
    </row>
    <row r="251" spans="1:9" ht="14.25">
      <c r="A251" s="3288">
        <v>303</v>
      </c>
      <c r="B251" s="3290" t="s">
        <v>4058</v>
      </c>
      <c r="C251" s="3294" t="s">
        <v>4065</v>
      </c>
      <c r="D251" s="3290"/>
      <c r="E251" s="3294">
        <v>124.19</v>
      </c>
      <c r="F251" s="3290" t="s">
        <v>3738</v>
      </c>
      <c r="G251" s="3290" t="s">
        <v>3983</v>
      </c>
      <c r="H251" s="3290" t="s">
        <v>3984</v>
      </c>
      <c r="I251" s="3290" t="s">
        <v>4066</v>
      </c>
    </row>
    <row r="252" spans="1:9" ht="14.25">
      <c r="A252" s="3288">
        <v>304</v>
      </c>
      <c r="B252" s="3290" t="s">
        <v>4058</v>
      </c>
      <c r="C252" s="3294" t="s">
        <v>4067</v>
      </c>
      <c r="D252" s="3290"/>
      <c r="E252" s="3294">
        <v>124.19</v>
      </c>
      <c r="F252" s="3290" t="s">
        <v>3738</v>
      </c>
      <c r="G252" s="3290" t="s">
        <v>3983</v>
      </c>
      <c r="H252" s="3290" t="s">
        <v>3984</v>
      </c>
      <c r="I252" s="3290" t="s">
        <v>4068</v>
      </c>
    </row>
    <row r="253" spans="1:9" s="3304" customFormat="1" ht="14.25">
      <c r="A253" s="3288">
        <v>305</v>
      </c>
      <c r="B253" s="3290" t="s">
        <v>4058</v>
      </c>
      <c r="C253" s="3294" t="s">
        <v>4069</v>
      </c>
      <c r="D253" s="3290"/>
      <c r="E253" s="3294">
        <v>124.19</v>
      </c>
      <c r="F253" s="3290" t="s">
        <v>3738</v>
      </c>
      <c r="G253" s="3290" t="s">
        <v>3983</v>
      </c>
      <c r="H253" s="3290" t="s">
        <v>3984</v>
      </c>
      <c r="I253" s="3290" t="s">
        <v>4070</v>
      </c>
    </row>
    <row r="254" spans="1:9" ht="14.25">
      <c r="A254" s="3288">
        <v>306</v>
      </c>
      <c r="B254" s="3290" t="s">
        <v>4058</v>
      </c>
      <c r="C254" s="3294" t="s">
        <v>4071</v>
      </c>
      <c r="D254" s="3290"/>
      <c r="E254" s="3294">
        <v>125.21</v>
      </c>
      <c r="F254" s="3290" t="s">
        <v>3738</v>
      </c>
      <c r="G254" s="3290" t="s">
        <v>3983</v>
      </c>
      <c r="H254" s="3290" t="s">
        <v>3984</v>
      </c>
      <c r="I254" s="3290" t="s">
        <v>4072</v>
      </c>
    </row>
    <row r="255" spans="1:9" ht="14.25">
      <c r="A255" s="3288"/>
      <c r="B255" s="3290"/>
      <c r="C255" s="3294"/>
      <c r="D255" s="3290"/>
      <c r="E255" s="3294"/>
      <c r="F255" s="3290"/>
      <c r="G255" s="3290"/>
      <c r="H255" s="3290"/>
      <c r="I255" s="3290"/>
    </row>
    <row r="256" spans="1:9" ht="14.25">
      <c r="A256" s="3288"/>
      <c r="B256" s="3290"/>
      <c r="C256" s="3294"/>
      <c r="D256" s="3290"/>
      <c r="E256" s="3294"/>
      <c r="F256" s="3290"/>
      <c r="G256" s="3290"/>
      <c r="H256" s="3290"/>
      <c r="I256" s="3290"/>
    </row>
    <row r="257" spans="1:9" ht="14.25">
      <c r="A257" s="3288"/>
      <c r="B257" s="3290"/>
      <c r="C257" s="3294"/>
      <c r="D257" s="3290"/>
      <c r="E257" s="3294"/>
      <c r="F257" s="3290"/>
      <c r="G257" s="3290"/>
      <c r="H257" s="3290"/>
      <c r="I257" s="3290"/>
    </row>
    <row r="258" spans="1:9" ht="14.25">
      <c r="A258" s="3288"/>
      <c r="B258" s="3290"/>
      <c r="C258" s="3294"/>
      <c r="D258" s="3290"/>
      <c r="E258" s="3294"/>
      <c r="F258" s="3290"/>
      <c r="G258" s="3290"/>
      <c r="H258" s="3290"/>
      <c r="I258" s="3290"/>
    </row>
    <row r="259" spans="1:9" ht="14.25">
      <c r="A259" s="3288"/>
      <c r="B259" s="3290"/>
      <c r="C259" s="3294"/>
      <c r="D259" s="3290"/>
      <c r="E259" s="3294"/>
      <c r="F259" s="3290"/>
      <c r="G259" s="3290"/>
      <c r="H259" s="3290"/>
      <c r="I259" s="3290"/>
    </row>
    <row r="260" spans="1:9" ht="14.25">
      <c r="A260" s="3288"/>
      <c r="B260" s="3290"/>
      <c r="C260" s="3294"/>
      <c r="D260" s="3290"/>
      <c r="E260" s="3294"/>
      <c r="F260" s="3290"/>
      <c r="G260" s="3290"/>
      <c r="H260" s="3290"/>
      <c r="I260" s="3290"/>
    </row>
    <row r="261" spans="1:9" ht="14.25">
      <c r="A261" s="3288"/>
      <c r="B261" s="3290"/>
      <c r="C261" s="3294"/>
      <c r="D261" s="3290"/>
      <c r="E261" s="3294"/>
      <c r="F261" s="3290"/>
      <c r="G261" s="3290"/>
      <c r="H261" s="3290"/>
      <c r="I261" s="3290"/>
    </row>
    <row r="262" spans="1:9" ht="14.25">
      <c r="A262" s="3288"/>
      <c r="B262" s="3290"/>
      <c r="C262" s="3294"/>
      <c r="D262" s="3290"/>
      <c r="E262" s="3294"/>
      <c r="F262" s="3290"/>
      <c r="G262" s="3290"/>
      <c r="H262" s="3290"/>
      <c r="I262" s="3290"/>
    </row>
    <row r="263" spans="1:9" ht="14.25">
      <c r="A263" s="3288"/>
      <c r="B263" s="3290"/>
      <c r="C263" s="3294"/>
      <c r="D263" s="3290"/>
      <c r="E263" s="3294"/>
      <c r="F263" s="3290"/>
      <c r="G263" s="3290"/>
      <c r="H263" s="3290"/>
      <c r="I263" s="3290"/>
    </row>
    <row r="264" spans="1:9" ht="14.25">
      <c r="A264" s="3288">
        <v>211</v>
      </c>
      <c r="B264" s="3290" t="s">
        <v>4073</v>
      </c>
      <c r="C264" s="3294" t="s">
        <v>4074</v>
      </c>
      <c r="D264" s="3290"/>
      <c r="E264" s="3294">
        <v>200.17</v>
      </c>
      <c r="F264" s="3290" t="s">
        <v>3738</v>
      </c>
      <c r="G264" s="3290" t="s">
        <v>3983</v>
      </c>
      <c r="H264" s="3290" t="s">
        <v>3984</v>
      </c>
      <c r="I264" s="3290" t="s">
        <v>4075</v>
      </c>
    </row>
    <row r="265" spans="1:9" ht="14.25">
      <c r="A265" s="3288">
        <v>212</v>
      </c>
      <c r="B265" s="3290" t="s">
        <v>4073</v>
      </c>
      <c r="C265" s="3294" t="s">
        <v>4076</v>
      </c>
      <c r="D265" s="3290"/>
      <c r="E265" s="3294">
        <v>125.73</v>
      </c>
      <c r="F265" s="3290" t="s">
        <v>3738</v>
      </c>
      <c r="G265" s="3290" t="s">
        <v>3983</v>
      </c>
      <c r="H265" s="3290" t="s">
        <v>3984</v>
      </c>
      <c r="I265" s="3290" t="s">
        <v>4077</v>
      </c>
    </row>
    <row r="266" spans="1:9" ht="14.25">
      <c r="A266" s="3288">
        <v>307</v>
      </c>
      <c r="B266" s="3290" t="s">
        <v>4073</v>
      </c>
      <c r="C266" s="3294" t="s">
        <v>4078</v>
      </c>
      <c r="D266" s="3290"/>
      <c r="E266" s="3294">
        <v>199.49</v>
      </c>
      <c r="F266" s="3290" t="s">
        <v>3738</v>
      </c>
      <c r="G266" s="3290" t="s">
        <v>3983</v>
      </c>
      <c r="H266" s="3290" t="s">
        <v>3984</v>
      </c>
      <c r="I266" s="3290" t="s">
        <v>4079</v>
      </c>
    </row>
    <row r="267" spans="1:9" ht="14.25">
      <c r="A267" s="3288">
        <v>308</v>
      </c>
      <c r="B267" s="3290" t="s">
        <v>4073</v>
      </c>
      <c r="C267" s="3294" t="s">
        <v>4080</v>
      </c>
      <c r="D267" s="3290"/>
      <c r="E267" s="3294">
        <v>124.71</v>
      </c>
      <c r="F267" s="3290" t="s">
        <v>3738</v>
      </c>
      <c r="G267" s="3290" t="s">
        <v>3983</v>
      </c>
      <c r="H267" s="3290" t="s">
        <v>3984</v>
      </c>
      <c r="I267" s="3290" t="s">
        <v>4081</v>
      </c>
    </row>
    <row r="268" spans="1:9" ht="14.25">
      <c r="A268" s="3288">
        <v>309</v>
      </c>
      <c r="B268" s="3290" t="s">
        <v>4073</v>
      </c>
      <c r="C268" s="3294" t="s">
        <v>4082</v>
      </c>
      <c r="D268" s="3290"/>
      <c r="E268" s="3294">
        <v>199.49</v>
      </c>
      <c r="F268" s="3290" t="s">
        <v>3738</v>
      </c>
      <c r="G268" s="3290" t="s">
        <v>3983</v>
      </c>
      <c r="H268" s="3290" t="s">
        <v>3984</v>
      </c>
      <c r="I268" s="3290" t="s">
        <v>4083</v>
      </c>
    </row>
    <row r="269" spans="1:9" ht="14.25">
      <c r="A269" s="3288">
        <v>310</v>
      </c>
      <c r="B269" s="3290" t="s">
        <v>4073</v>
      </c>
      <c r="C269" s="3294" t="s">
        <v>4084</v>
      </c>
      <c r="D269" s="3290"/>
      <c r="E269" s="3294">
        <v>200.17</v>
      </c>
      <c r="F269" s="3290" t="s">
        <v>3738</v>
      </c>
      <c r="G269" s="3290" t="s">
        <v>3983</v>
      </c>
      <c r="H269" s="3290" t="s">
        <v>3984</v>
      </c>
      <c r="I269" s="3290" t="s">
        <v>4085</v>
      </c>
    </row>
    <row r="270" spans="1:9" ht="14.25">
      <c r="A270" s="3288">
        <v>311</v>
      </c>
      <c r="B270" s="3290" t="s">
        <v>4073</v>
      </c>
      <c r="C270" s="3294" t="s">
        <v>4086</v>
      </c>
      <c r="D270" s="3290"/>
      <c r="E270" s="3294">
        <v>124.71</v>
      </c>
      <c r="F270" s="3290" t="s">
        <v>3738</v>
      </c>
      <c r="G270" s="3290" t="s">
        <v>3983</v>
      </c>
      <c r="H270" s="3290" t="s">
        <v>3984</v>
      </c>
      <c r="I270" s="3290" t="s">
        <v>4087</v>
      </c>
    </row>
    <row r="271" spans="1:9" ht="14.25">
      <c r="A271" s="3288">
        <v>312</v>
      </c>
      <c r="B271" s="3290" t="s">
        <v>4073</v>
      </c>
      <c r="C271" s="3294" t="s">
        <v>4088</v>
      </c>
      <c r="D271" s="3290"/>
      <c r="E271" s="3294">
        <v>125.73</v>
      </c>
      <c r="F271" s="3290" t="s">
        <v>3738</v>
      </c>
      <c r="G271" s="3290" t="s">
        <v>3983</v>
      </c>
      <c r="H271" s="3290" t="s">
        <v>3984</v>
      </c>
      <c r="I271" s="3290" t="s">
        <v>4089</v>
      </c>
    </row>
    <row r="272" spans="1:9" ht="14.25">
      <c r="A272" s="3288">
        <v>313</v>
      </c>
      <c r="B272" s="3290" t="s">
        <v>4090</v>
      </c>
      <c r="C272" s="3294" t="s">
        <v>4091</v>
      </c>
      <c r="D272" s="3290"/>
      <c r="E272" s="3294">
        <v>330.98</v>
      </c>
      <c r="F272" s="3290" t="s">
        <v>3738</v>
      </c>
      <c r="G272" s="3290" t="s">
        <v>3983</v>
      </c>
      <c r="H272" s="3290" t="s">
        <v>3984</v>
      </c>
      <c r="I272" s="3290" t="s">
        <v>4092</v>
      </c>
    </row>
    <row r="273" spans="1:9" ht="14.25">
      <c r="A273" s="3288">
        <v>314</v>
      </c>
      <c r="B273" s="3290" t="s">
        <v>4090</v>
      </c>
      <c r="C273" s="3294" t="s">
        <v>4093</v>
      </c>
      <c r="D273" s="3290"/>
      <c r="E273" s="3294">
        <v>330.98</v>
      </c>
      <c r="F273" s="3290" t="s">
        <v>3738</v>
      </c>
      <c r="G273" s="3290" t="s">
        <v>3983</v>
      </c>
      <c r="H273" s="3290" t="s">
        <v>3984</v>
      </c>
      <c r="I273" s="3290" t="s">
        <v>4094</v>
      </c>
    </row>
    <row r="274" spans="1:9" ht="14.25">
      <c r="A274" s="3288">
        <v>315</v>
      </c>
      <c r="B274" s="3290" t="s">
        <v>4090</v>
      </c>
      <c r="C274" s="3294" t="s">
        <v>4095</v>
      </c>
      <c r="D274" s="3290"/>
      <c r="E274" s="3294">
        <v>330.92</v>
      </c>
      <c r="F274" s="3290" t="s">
        <v>3738</v>
      </c>
      <c r="G274" s="3290" t="s">
        <v>3983</v>
      </c>
      <c r="H274" s="3290" t="s">
        <v>3984</v>
      </c>
      <c r="I274" s="3290" t="s">
        <v>4096</v>
      </c>
    </row>
    <row r="275" spans="1:9" ht="14.25">
      <c r="A275" s="3288">
        <v>316</v>
      </c>
      <c r="B275" s="3290" t="s">
        <v>4090</v>
      </c>
      <c r="C275" s="3294" t="s">
        <v>4097</v>
      </c>
      <c r="D275" s="3290"/>
      <c r="E275" s="3294">
        <v>330.92</v>
      </c>
      <c r="F275" s="3290" t="s">
        <v>3738</v>
      </c>
      <c r="G275" s="3290" t="s">
        <v>3983</v>
      </c>
      <c r="H275" s="3290" t="s">
        <v>3984</v>
      </c>
      <c r="I275" s="3290" t="s">
        <v>4098</v>
      </c>
    </row>
    <row r="276" spans="1:9" ht="14.25">
      <c r="A276" s="3288">
        <v>317</v>
      </c>
      <c r="B276" s="3290" t="s">
        <v>4090</v>
      </c>
      <c r="C276" s="3294" t="s">
        <v>4099</v>
      </c>
      <c r="D276" s="3290"/>
      <c r="E276" s="3294">
        <v>331.17</v>
      </c>
      <c r="F276" s="3290" t="s">
        <v>3738</v>
      </c>
      <c r="G276" s="3290" t="s">
        <v>3983</v>
      </c>
      <c r="H276" s="3290" t="s">
        <v>3984</v>
      </c>
      <c r="I276" s="3290" t="s">
        <v>4100</v>
      </c>
    </row>
    <row r="277" spans="1:9" ht="14.25">
      <c r="A277" s="3288">
        <v>318</v>
      </c>
      <c r="B277" s="3290" t="s">
        <v>4090</v>
      </c>
      <c r="C277" s="3294" t="s">
        <v>4101</v>
      </c>
      <c r="D277" s="3290"/>
      <c r="E277" s="3294">
        <v>331.14</v>
      </c>
      <c r="F277" s="3290" t="s">
        <v>3738</v>
      </c>
      <c r="G277" s="3290" t="s">
        <v>3983</v>
      </c>
      <c r="H277" s="3290" t="s">
        <v>3984</v>
      </c>
      <c r="I277" s="3290" t="s">
        <v>4102</v>
      </c>
    </row>
    <row r="278" spans="1:9" s="3304" customFormat="1" ht="14.25">
      <c r="A278" s="3288">
        <v>319</v>
      </c>
      <c r="B278" s="3290" t="s">
        <v>4103</v>
      </c>
      <c r="C278" s="3294" t="s">
        <v>4104</v>
      </c>
      <c r="D278" s="3290"/>
      <c r="E278" s="3294">
        <v>200.17</v>
      </c>
      <c r="F278" s="3290" t="s">
        <v>3738</v>
      </c>
      <c r="G278" s="3290" t="s">
        <v>3983</v>
      </c>
      <c r="H278" s="3290" t="s">
        <v>3984</v>
      </c>
      <c r="I278" s="3290" t="s">
        <v>4105</v>
      </c>
    </row>
    <row r="279" spans="1:9" ht="14.25">
      <c r="A279" s="3288">
        <v>320</v>
      </c>
      <c r="B279" s="3290" t="s">
        <v>4103</v>
      </c>
      <c r="C279" s="3294" t="s">
        <v>4106</v>
      </c>
      <c r="D279" s="3290"/>
      <c r="E279" s="3294">
        <v>125.73</v>
      </c>
      <c r="F279" s="3290" t="s">
        <v>3738</v>
      </c>
      <c r="G279" s="3290" t="s">
        <v>3983</v>
      </c>
      <c r="H279" s="3290" t="s">
        <v>3984</v>
      </c>
      <c r="I279" s="3290" t="s">
        <v>4107</v>
      </c>
    </row>
    <row r="280" spans="1:9" ht="14.25">
      <c r="A280" s="3288">
        <v>321</v>
      </c>
      <c r="B280" s="3290" t="s">
        <v>4103</v>
      </c>
      <c r="C280" s="3294" t="s">
        <v>4108</v>
      </c>
      <c r="D280" s="3290"/>
      <c r="E280" s="3294">
        <v>124.71</v>
      </c>
      <c r="F280" s="3290" t="s">
        <v>3738</v>
      </c>
      <c r="G280" s="3290" t="s">
        <v>3983</v>
      </c>
      <c r="H280" s="3290" t="s">
        <v>3984</v>
      </c>
      <c r="I280" s="3290" t="s">
        <v>4109</v>
      </c>
    </row>
    <row r="281" spans="1:9" ht="14.25">
      <c r="A281" s="3288">
        <v>322</v>
      </c>
      <c r="B281" s="3290" t="s">
        <v>4103</v>
      </c>
      <c r="C281" s="3294" t="s">
        <v>4110</v>
      </c>
      <c r="D281" s="3290"/>
      <c r="E281" s="3294">
        <v>200.17</v>
      </c>
      <c r="F281" s="3290" t="s">
        <v>3738</v>
      </c>
      <c r="G281" s="3290" t="s">
        <v>3983</v>
      </c>
      <c r="H281" s="3290" t="s">
        <v>3984</v>
      </c>
      <c r="I281" s="3290" t="s">
        <v>4111</v>
      </c>
    </row>
    <row r="282" spans="1:9" ht="14.25">
      <c r="A282" s="3288">
        <v>323</v>
      </c>
      <c r="B282" s="3290" t="s">
        <v>4103</v>
      </c>
      <c r="C282" s="3294" t="s">
        <v>4112</v>
      </c>
      <c r="D282" s="3290"/>
      <c r="E282" s="3294">
        <v>124.71</v>
      </c>
      <c r="F282" s="3290" t="s">
        <v>3738</v>
      </c>
      <c r="G282" s="3290" t="s">
        <v>3983</v>
      </c>
      <c r="H282" s="3290" t="s">
        <v>3984</v>
      </c>
      <c r="I282" s="3290" t="s">
        <v>4113</v>
      </c>
    </row>
    <row r="283" spans="1:9" ht="14.25">
      <c r="A283" s="3288">
        <v>324</v>
      </c>
      <c r="B283" s="3290" t="s">
        <v>4103</v>
      </c>
      <c r="C283" s="3294" t="s">
        <v>4114</v>
      </c>
      <c r="D283" s="3290"/>
      <c r="E283" s="3294">
        <v>125.73</v>
      </c>
      <c r="F283" s="3290" t="s">
        <v>3738</v>
      </c>
      <c r="G283" s="3290" t="s">
        <v>3983</v>
      </c>
      <c r="H283" s="3290" t="s">
        <v>3984</v>
      </c>
      <c r="I283" s="3290" t="s">
        <v>4115</v>
      </c>
    </row>
    <row r="284" spans="1:9" s="3304" customFormat="1" ht="14.25">
      <c r="A284" s="3288"/>
      <c r="B284" s="3290"/>
      <c r="C284" s="3294"/>
      <c r="D284" s="3290"/>
      <c r="E284" s="3294"/>
      <c r="F284" s="3290"/>
      <c r="G284" s="3290"/>
      <c r="H284" s="3290"/>
      <c r="I284" s="3290"/>
    </row>
    <row r="285" spans="1:9" ht="14.25">
      <c r="A285" s="3288"/>
      <c r="B285" s="3290"/>
      <c r="C285" s="3294"/>
      <c r="D285" s="3290"/>
      <c r="E285" s="3294"/>
      <c r="F285" s="3290"/>
      <c r="G285" s="3290"/>
      <c r="H285" s="3290"/>
      <c r="I285" s="3290"/>
    </row>
    <row r="286" spans="1:9" ht="14.25">
      <c r="A286" s="3288">
        <v>215</v>
      </c>
      <c r="B286" s="3290" t="s">
        <v>4116</v>
      </c>
      <c r="C286" s="3294" t="s">
        <v>4117</v>
      </c>
      <c r="D286" s="3290"/>
      <c r="E286" s="3294">
        <v>199.39</v>
      </c>
      <c r="F286" s="3290" t="s">
        <v>3738</v>
      </c>
      <c r="G286" s="3290" t="s">
        <v>3983</v>
      </c>
      <c r="H286" s="3290" t="s">
        <v>3984</v>
      </c>
      <c r="I286" s="3290" t="s">
        <v>4118</v>
      </c>
    </row>
    <row r="287" spans="1:9" ht="14.25">
      <c r="A287" s="3288">
        <v>217</v>
      </c>
      <c r="B287" s="3290" t="s">
        <v>4116</v>
      </c>
      <c r="C287" s="3294" t="s">
        <v>4119</v>
      </c>
      <c r="D287" s="3290"/>
      <c r="E287" s="3294">
        <v>198.71</v>
      </c>
      <c r="F287" s="3290" t="s">
        <v>3738</v>
      </c>
      <c r="G287" s="3290" t="s">
        <v>3983</v>
      </c>
      <c r="H287" s="3290" t="s">
        <v>3984</v>
      </c>
      <c r="I287" s="3290" t="s">
        <v>4120</v>
      </c>
    </row>
    <row r="288" spans="1:9" ht="14.25">
      <c r="A288" s="3288">
        <v>218</v>
      </c>
      <c r="B288" s="3290" t="s">
        <v>4116</v>
      </c>
      <c r="C288" s="3294" t="s">
        <v>4121</v>
      </c>
      <c r="D288" s="3290"/>
      <c r="E288" s="3294">
        <v>199.39</v>
      </c>
      <c r="F288" s="3290" t="s">
        <v>3738</v>
      </c>
      <c r="G288" s="3290" t="s">
        <v>3983</v>
      </c>
      <c r="H288" s="3290" t="s">
        <v>3984</v>
      </c>
      <c r="I288" s="3290" t="s">
        <v>4122</v>
      </c>
    </row>
    <row r="289" spans="1:9" ht="14.25">
      <c r="A289" s="3288">
        <v>219</v>
      </c>
      <c r="B289" s="3290" t="s">
        <v>4116</v>
      </c>
      <c r="C289" s="3294" t="s">
        <v>4123</v>
      </c>
      <c r="D289" s="3290"/>
      <c r="E289" s="3294">
        <v>125.38</v>
      </c>
      <c r="F289" s="3290" t="s">
        <v>3738</v>
      </c>
      <c r="G289" s="3290" t="s">
        <v>3983</v>
      </c>
      <c r="H289" s="3290" t="s">
        <v>3984</v>
      </c>
      <c r="I289" s="3290" t="s">
        <v>4124</v>
      </c>
    </row>
    <row r="290" spans="1:9" ht="14.25">
      <c r="A290" s="3288">
        <v>325</v>
      </c>
      <c r="B290" s="3290" t="s">
        <v>4116</v>
      </c>
      <c r="C290" s="3294" t="s">
        <v>4125</v>
      </c>
      <c r="D290" s="3290"/>
      <c r="E290" s="3294">
        <v>198.71</v>
      </c>
      <c r="F290" s="3290" t="s">
        <v>3738</v>
      </c>
      <c r="G290" s="3290" t="s">
        <v>3983</v>
      </c>
      <c r="H290" s="3290" t="s">
        <v>3984</v>
      </c>
      <c r="I290" s="3290" t="s">
        <v>4126</v>
      </c>
    </row>
    <row r="291" spans="1:9" ht="14.25">
      <c r="A291" s="3288">
        <v>326</v>
      </c>
      <c r="B291" s="3290" t="s">
        <v>4116</v>
      </c>
      <c r="C291" s="3294" t="s">
        <v>4127</v>
      </c>
      <c r="D291" s="3290"/>
      <c r="E291" s="3294">
        <v>124.36</v>
      </c>
      <c r="F291" s="3290" t="s">
        <v>3738</v>
      </c>
      <c r="G291" s="3290" t="s">
        <v>3983</v>
      </c>
      <c r="H291" s="3290" t="s">
        <v>3984</v>
      </c>
      <c r="I291" s="3290" t="s">
        <v>4128</v>
      </c>
    </row>
    <row r="292" spans="1:9" s="3304" customFormat="1" ht="14.25">
      <c r="A292" s="3288">
        <v>327</v>
      </c>
      <c r="B292" s="3290" t="s">
        <v>4116</v>
      </c>
      <c r="C292" s="3294" t="s">
        <v>4129</v>
      </c>
      <c r="D292" s="3290"/>
      <c r="E292" s="3294">
        <v>198.71</v>
      </c>
      <c r="F292" s="3290" t="s">
        <v>3738</v>
      </c>
      <c r="G292" s="3290" t="s">
        <v>3983</v>
      </c>
      <c r="H292" s="3290" t="s">
        <v>3984</v>
      </c>
      <c r="I292" s="3290" t="s">
        <v>4130</v>
      </c>
    </row>
    <row r="293" spans="1:9" ht="14.25">
      <c r="A293" s="3288">
        <v>328</v>
      </c>
      <c r="B293" s="3290" t="s">
        <v>4116</v>
      </c>
      <c r="C293" s="3294" t="s">
        <v>4131</v>
      </c>
      <c r="D293" s="3290"/>
      <c r="E293" s="3294">
        <v>124.36</v>
      </c>
      <c r="F293" s="3290" t="s">
        <v>3738</v>
      </c>
      <c r="G293" s="3290" t="s">
        <v>3983</v>
      </c>
      <c r="H293" s="3290" t="s">
        <v>3984</v>
      </c>
      <c r="I293" s="3290" t="s">
        <v>4132</v>
      </c>
    </row>
    <row r="294" spans="1:9" ht="14.25">
      <c r="A294" s="3288">
        <v>329</v>
      </c>
      <c r="B294" s="3290" t="s">
        <v>4116</v>
      </c>
      <c r="C294" s="3294" t="s">
        <v>4133</v>
      </c>
      <c r="D294" s="3290"/>
      <c r="E294" s="3294">
        <v>124.36</v>
      </c>
      <c r="F294" s="3290" t="s">
        <v>3738</v>
      </c>
      <c r="G294" s="3290" t="s">
        <v>3983</v>
      </c>
      <c r="H294" s="3290" t="s">
        <v>3984</v>
      </c>
      <c r="I294" s="3290" t="s">
        <v>4134</v>
      </c>
    </row>
    <row r="295" spans="1:9" ht="14.25">
      <c r="A295" s="3288">
        <v>330</v>
      </c>
      <c r="B295" s="3290" t="s">
        <v>4116</v>
      </c>
      <c r="C295" s="3294" t="s">
        <v>4135</v>
      </c>
      <c r="D295" s="3290"/>
      <c r="E295" s="3294">
        <v>198.71</v>
      </c>
      <c r="F295" s="3290" t="s">
        <v>3738</v>
      </c>
      <c r="G295" s="3290" t="s">
        <v>3983</v>
      </c>
      <c r="H295" s="3290" t="s">
        <v>3984</v>
      </c>
      <c r="I295" s="3290" t="s">
        <v>4136</v>
      </c>
    </row>
    <row r="296" spans="1:9" ht="14.25">
      <c r="A296" s="3288">
        <v>331</v>
      </c>
      <c r="B296" s="3290" t="s">
        <v>4116</v>
      </c>
      <c r="C296" s="3294" t="s">
        <v>4137</v>
      </c>
      <c r="D296" s="3290"/>
      <c r="E296" s="3294">
        <v>124.36</v>
      </c>
      <c r="F296" s="3290" t="s">
        <v>3738</v>
      </c>
      <c r="G296" s="3290" t="s">
        <v>3983</v>
      </c>
      <c r="H296" s="3290" t="s">
        <v>3984</v>
      </c>
      <c r="I296" s="3290" t="s">
        <v>4138</v>
      </c>
    </row>
    <row r="297" spans="1:9" ht="14.25">
      <c r="A297" s="3288"/>
      <c r="B297" s="3290"/>
      <c r="C297" s="3294"/>
      <c r="D297" s="3290"/>
      <c r="E297" s="3294"/>
      <c r="F297" s="3290"/>
      <c r="G297" s="3290"/>
      <c r="H297" s="3290"/>
      <c r="I297" s="3290"/>
    </row>
    <row r="298" spans="1:9" ht="14.25">
      <c r="A298" s="3288">
        <v>332</v>
      </c>
      <c r="B298" s="3290" t="s">
        <v>4139</v>
      </c>
      <c r="C298" s="3294" t="s">
        <v>4140</v>
      </c>
      <c r="D298" s="3290"/>
      <c r="E298" s="3294">
        <v>85.16</v>
      </c>
      <c r="F298" s="3290" t="s">
        <v>3738</v>
      </c>
      <c r="G298" s="3290" t="s">
        <v>3983</v>
      </c>
      <c r="H298" s="3290" t="s">
        <v>3984</v>
      </c>
      <c r="I298" s="3290" t="s">
        <v>4141</v>
      </c>
    </row>
    <row r="299" spans="1:9" ht="14.25">
      <c r="A299" s="3288">
        <v>333</v>
      </c>
      <c r="B299" s="3290" t="s">
        <v>4139</v>
      </c>
      <c r="C299" s="3294" t="s">
        <v>4142</v>
      </c>
      <c r="D299" s="3290"/>
      <c r="E299" s="3294">
        <v>85.16</v>
      </c>
      <c r="F299" s="3290" t="s">
        <v>3738</v>
      </c>
      <c r="G299" s="3290" t="s">
        <v>3983</v>
      </c>
      <c r="H299" s="3290" t="s">
        <v>3984</v>
      </c>
      <c r="I299" s="3290" t="s">
        <v>4143</v>
      </c>
    </row>
    <row r="300" spans="1:9" ht="14.25">
      <c r="A300" s="3288">
        <v>334</v>
      </c>
      <c r="B300" s="3290" t="s">
        <v>4139</v>
      </c>
      <c r="C300" s="3294" t="s">
        <v>4144</v>
      </c>
      <c r="D300" s="3290"/>
      <c r="E300" s="3294">
        <v>85.16</v>
      </c>
      <c r="F300" s="3290" t="s">
        <v>3738</v>
      </c>
      <c r="G300" s="3290" t="s">
        <v>3983</v>
      </c>
      <c r="H300" s="3290" t="s">
        <v>3984</v>
      </c>
      <c r="I300" s="3290" t="s">
        <v>4145</v>
      </c>
    </row>
    <row r="301" spans="1:9" ht="14.25">
      <c r="A301" s="3288">
        <v>335</v>
      </c>
      <c r="B301" s="3290" t="s">
        <v>4139</v>
      </c>
      <c r="C301" s="3294" t="s">
        <v>4146</v>
      </c>
      <c r="D301" s="3290"/>
      <c r="E301" s="3294">
        <v>85.16</v>
      </c>
      <c r="F301" s="3290" t="s">
        <v>3738</v>
      </c>
      <c r="G301" s="3290" t="s">
        <v>3983</v>
      </c>
      <c r="H301" s="3290" t="s">
        <v>3984</v>
      </c>
      <c r="I301" s="3290" t="s">
        <v>4147</v>
      </c>
    </row>
    <row r="302" spans="1:9" ht="14.25">
      <c r="A302" s="3288">
        <v>336</v>
      </c>
      <c r="B302" s="3290" t="s">
        <v>4139</v>
      </c>
      <c r="C302" s="3294" t="s">
        <v>4148</v>
      </c>
      <c r="D302" s="3290"/>
      <c r="E302" s="3294">
        <v>85.16</v>
      </c>
      <c r="F302" s="3290" t="s">
        <v>3738</v>
      </c>
      <c r="G302" s="3290" t="s">
        <v>3983</v>
      </c>
      <c r="H302" s="3290" t="s">
        <v>3984</v>
      </c>
      <c r="I302" s="3290" t="s">
        <v>4149</v>
      </c>
    </row>
    <row r="303" spans="1:9" ht="14.25">
      <c r="A303" s="3288">
        <v>337</v>
      </c>
      <c r="B303" s="3290" t="s">
        <v>4139</v>
      </c>
      <c r="C303" s="3294" t="s">
        <v>4150</v>
      </c>
      <c r="D303" s="3290"/>
      <c r="E303" s="3294">
        <v>85.16</v>
      </c>
      <c r="F303" s="3290" t="s">
        <v>3738</v>
      </c>
      <c r="G303" s="3290" t="s">
        <v>3983</v>
      </c>
      <c r="H303" s="3290" t="s">
        <v>3984</v>
      </c>
      <c r="I303" s="3290" t="s">
        <v>4151</v>
      </c>
    </row>
    <row r="304" spans="1:9" ht="14.25">
      <c r="A304" s="3288">
        <v>338</v>
      </c>
      <c r="B304" s="3290" t="s">
        <v>4139</v>
      </c>
      <c r="C304" s="3294" t="s">
        <v>4152</v>
      </c>
      <c r="D304" s="3290"/>
      <c r="E304" s="3294">
        <v>85.16</v>
      </c>
      <c r="F304" s="3290" t="s">
        <v>3738</v>
      </c>
      <c r="G304" s="3290" t="s">
        <v>3983</v>
      </c>
      <c r="H304" s="3290" t="s">
        <v>3984</v>
      </c>
      <c r="I304" s="3290" t="s">
        <v>4153</v>
      </c>
    </row>
    <row r="305" spans="1:9" ht="14.25">
      <c r="A305" s="3288">
        <v>339</v>
      </c>
      <c r="B305" s="3290" t="s">
        <v>4139</v>
      </c>
      <c r="C305" s="3294" t="s">
        <v>4154</v>
      </c>
      <c r="D305" s="3290"/>
      <c r="E305" s="3294">
        <v>85.16</v>
      </c>
      <c r="F305" s="3290" t="s">
        <v>3738</v>
      </c>
      <c r="G305" s="3290" t="s">
        <v>3983</v>
      </c>
      <c r="H305" s="3290" t="s">
        <v>3984</v>
      </c>
      <c r="I305" s="3290" t="s">
        <v>4155</v>
      </c>
    </row>
    <row r="306" spans="1:9" ht="14.25">
      <c r="A306" s="3288">
        <v>340</v>
      </c>
      <c r="B306" s="3290" t="s">
        <v>4139</v>
      </c>
      <c r="C306" s="3294" t="s">
        <v>4156</v>
      </c>
      <c r="D306" s="3290"/>
      <c r="E306" s="3294">
        <v>85.16</v>
      </c>
      <c r="F306" s="3290" t="s">
        <v>3738</v>
      </c>
      <c r="G306" s="3290" t="s">
        <v>3983</v>
      </c>
      <c r="H306" s="3290" t="s">
        <v>3984</v>
      </c>
      <c r="I306" s="3290" t="s">
        <v>4157</v>
      </c>
    </row>
    <row r="307" spans="1:9" ht="14.25">
      <c r="A307" s="3288">
        <v>382</v>
      </c>
      <c r="B307" s="3290" t="s">
        <v>4139</v>
      </c>
      <c r="C307" s="3294" t="s">
        <v>4158</v>
      </c>
      <c r="D307" s="3290"/>
      <c r="E307" s="3294">
        <v>85.16</v>
      </c>
      <c r="F307" s="3290" t="s">
        <v>3738</v>
      </c>
      <c r="G307" s="3290" t="s">
        <v>3983</v>
      </c>
      <c r="H307" s="3290" t="s">
        <v>3984</v>
      </c>
      <c r="I307" s="3290" t="s">
        <v>4159</v>
      </c>
    </row>
    <row r="308" spans="1:9" ht="14.25">
      <c r="A308" s="3288"/>
      <c r="B308" s="3290"/>
      <c r="C308" s="3294"/>
      <c r="D308" s="3290"/>
      <c r="E308" s="3294"/>
      <c r="F308" s="3290"/>
      <c r="G308" s="3290"/>
      <c r="H308" s="3290"/>
      <c r="I308" s="3290"/>
    </row>
    <row r="309" spans="1:9" ht="14.25">
      <c r="A309" s="3288"/>
      <c r="B309" s="3290"/>
      <c r="C309" s="3294"/>
      <c r="D309" s="3290"/>
      <c r="E309" s="3294"/>
      <c r="F309" s="3290"/>
      <c r="G309" s="3290"/>
      <c r="H309" s="3290"/>
      <c r="I309" s="3290"/>
    </row>
    <row r="310" spans="1:9" ht="14.25">
      <c r="A310" s="3288"/>
      <c r="B310" s="3290"/>
      <c r="C310" s="3294"/>
      <c r="D310" s="3290"/>
      <c r="E310" s="3294"/>
      <c r="F310" s="3290"/>
      <c r="G310" s="3290"/>
      <c r="H310" s="3290"/>
      <c r="I310" s="3290"/>
    </row>
    <row r="311" spans="1:9" ht="14.25">
      <c r="A311" s="3288"/>
      <c r="B311" s="3290"/>
      <c r="C311" s="3294"/>
      <c r="D311" s="3290"/>
      <c r="E311" s="3294"/>
      <c r="F311" s="3290"/>
      <c r="G311" s="3290"/>
      <c r="H311" s="3290"/>
      <c r="I311" s="3290"/>
    </row>
    <row r="312" spans="1:9" ht="14.25">
      <c r="A312" s="3288"/>
      <c r="B312" s="3290"/>
      <c r="C312" s="3294"/>
      <c r="D312" s="3290"/>
      <c r="E312" s="3294"/>
      <c r="F312" s="3290"/>
      <c r="G312" s="3290"/>
      <c r="H312" s="3290"/>
      <c r="I312" s="3290"/>
    </row>
    <row r="313" spans="1:9" ht="14.25">
      <c r="A313" s="3288"/>
      <c r="B313" s="3290"/>
      <c r="C313" s="3294"/>
      <c r="D313" s="3290"/>
      <c r="E313" s="3294"/>
      <c r="F313" s="3290"/>
      <c r="G313" s="3290"/>
      <c r="H313" s="3290"/>
      <c r="I313" s="3290"/>
    </row>
    <row r="314" spans="1:9" ht="14.25">
      <c r="A314" s="3288"/>
      <c r="B314" s="3290"/>
      <c r="C314" s="3294"/>
      <c r="D314" s="3290"/>
      <c r="E314" s="3294"/>
      <c r="F314" s="3290"/>
      <c r="G314" s="3290"/>
      <c r="H314" s="3290"/>
      <c r="I314" s="3290"/>
    </row>
    <row r="315" spans="1:9" ht="14.25">
      <c r="A315" s="3288"/>
      <c r="B315" s="3290"/>
      <c r="C315" s="3294"/>
      <c r="D315" s="3290"/>
      <c r="E315" s="3294"/>
      <c r="F315" s="3290"/>
      <c r="G315" s="3290"/>
      <c r="H315" s="3290"/>
      <c r="I315" s="3290"/>
    </row>
    <row r="316" spans="1:9" ht="14.25">
      <c r="A316" s="3288">
        <v>36</v>
      </c>
      <c r="B316" s="3290" t="s">
        <v>4160</v>
      </c>
      <c r="C316" s="3294" t="s">
        <v>4161</v>
      </c>
      <c r="D316" s="3294">
        <v>226.66</v>
      </c>
      <c r="E316" s="3294">
        <v>226.66</v>
      </c>
      <c r="F316" s="3290" t="s">
        <v>3738</v>
      </c>
      <c r="G316" s="3290" t="s">
        <v>3983</v>
      </c>
      <c r="H316" s="3290" t="s">
        <v>3984</v>
      </c>
      <c r="I316" s="3290" t="s">
        <v>4162</v>
      </c>
    </row>
    <row r="317" spans="1:9" ht="14.25">
      <c r="A317" s="3288">
        <v>37</v>
      </c>
      <c r="B317" s="3290" t="s">
        <v>4160</v>
      </c>
      <c r="C317" s="3294" t="s">
        <v>4163</v>
      </c>
      <c r="D317" s="3294">
        <v>226.37</v>
      </c>
      <c r="E317" s="3294">
        <v>226.37</v>
      </c>
      <c r="F317" s="3290" t="s">
        <v>3738</v>
      </c>
      <c r="G317" s="3290" t="s">
        <v>3983</v>
      </c>
      <c r="H317" s="3290" t="s">
        <v>3984</v>
      </c>
      <c r="I317" s="3290" t="s">
        <v>4164</v>
      </c>
    </row>
    <row r="318" spans="1:9" ht="14.25">
      <c r="A318" s="3288">
        <v>41</v>
      </c>
      <c r="B318" s="3290" t="s">
        <v>4160</v>
      </c>
      <c r="C318" s="3294" t="s">
        <v>4165</v>
      </c>
      <c r="D318" s="3294">
        <v>251.62</v>
      </c>
      <c r="E318" s="3294">
        <v>251.62</v>
      </c>
      <c r="F318" s="3290" t="s">
        <v>3738</v>
      </c>
      <c r="G318" s="3290" t="s">
        <v>3983</v>
      </c>
      <c r="H318" s="3290" t="s">
        <v>3984</v>
      </c>
      <c r="I318" s="3290" t="s">
        <v>4166</v>
      </c>
    </row>
    <row r="319" spans="1:9" ht="14.25">
      <c r="A319" s="3288">
        <v>42</v>
      </c>
      <c r="B319" s="3290" t="s">
        <v>4160</v>
      </c>
      <c r="C319" s="3294" t="s">
        <v>4167</v>
      </c>
      <c r="D319" s="3294">
        <v>226.65</v>
      </c>
      <c r="E319" s="3294">
        <v>226.65</v>
      </c>
      <c r="F319" s="3290" t="s">
        <v>3738</v>
      </c>
      <c r="G319" s="3290" t="s">
        <v>3983</v>
      </c>
      <c r="H319" s="3290" t="s">
        <v>3984</v>
      </c>
      <c r="I319" s="3290" t="s">
        <v>4168</v>
      </c>
    </row>
    <row r="320" spans="1:9" ht="14.25">
      <c r="A320" s="3288">
        <v>44</v>
      </c>
      <c r="B320" s="3290" t="s">
        <v>4160</v>
      </c>
      <c r="C320" s="3294" t="s">
        <v>4169</v>
      </c>
      <c r="D320" s="3294">
        <v>111.26</v>
      </c>
      <c r="E320" s="3294">
        <v>111.26</v>
      </c>
      <c r="F320" s="3290" t="s">
        <v>3738</v>
      </c>
      <c r="G320" s="3290" t="s">
        <v>3983</v>
      </c>
      <c r="H320" s="3290" t="s">
        <v>3984</v>
      </c>
      <c r="I320" s="3290" t="s">
        <v>4170</v>
      </c>
    </row>
    <row r="321" spans="1:9" ht="14.25">
      <c r="A321" s="3288">
        <v>45</v>
      </c>
      <c r="B321" s="3290" t="s">
        <v>4160</v>
      </c>
      <c r="C321" s="3294" t="s">
        <v>4171</v>
      </c>
      <c r="D321" s="3294">
        <v>111.26</v>
      </c>
      <c r="E321" s="3294">
        <v>111.26</v>
      </c>
      <c r="F321" s="3290" t="s">
        <v>3738</v>
      </c>
      <c r="G321" s="3290" t="s">
        <v>3983</v>
      </c>
      <c r="H321" s="3290" t="s">
        <v>3984</v>
      </c>
      <c r="I321" s="3290" t="s">
        <v>4172</v>
      </c>
    </row>
    <row r="322" spans="1:9" ht="14.25">
      <c r="A322" s="3288">
        <v>46</v>
      </c>
      <c r="B322" s="3290" t="s">
        <v>4160</v>
      </c>
      <c r="C322" s="3294" t="s">
        <v>4173</v>
      </c>
      <c r="D322" s="3290"/>
      <c r="E322" s="3294">
        <v>111.22</v>
      </c>
      <c r="F322" s="3290" t="s">
        <v>3738</v>
      </c>
      <c r="G322" s="3290" t="s">
        <v>3983</v>
      </c>
      <c r="H322" s="3290" t="s">
        <v>3984</v>
      </c>
      <c r="I322" s="3290" t="s">
        <v>4174</v>
      </c>
    </row>
    <row r="323" spans="1:9" ht="14.25">
      <c r="A323" s="3288">
        <v>47</v>
      </c>
      <c r="B323" s="3290" t="s">
        <v>4160</v>
      </c>
      <c r="C323" s="3294" t="s">
        <v>4175</v>
      </c>
      <c r="D323" s="3290"/>
      <c r="E323" s="3294">
        <v>111.22</v>
      </c>
      <c r="F323" s="3290" t="s">
        <v>3738</v>
      </c>
      <c r="G323" s="3290" t="s">
        <v>3983</v>
      </c>
      <c r="H323" s="3290" t="s">
        <v>3984</v>
      </c>
      <c r="I323" s="3290" t="s">
        <v>4176</v>
      </c>
    </row>
    <row r="324" spans="1:9" ht="14.25">
      <c r="A324" s="3288">
        <v>48</v>
      </c>
      <c r="B324" s="3290" t="s">
        <v>4160</v>
      </c>
      <c r="C324" s="3294" t="s">
        <v>4177</v>
      </c>
      <c r="D324" s="3290"/>
      <c r="E324" s="3294">
        <v>111.22</v>
      </c>
      <c r="F324" s="3290" t="s">
        <v>3738</v>
      </c>
      <c r="G324" s="3290" t="s">
        <v>3983</v>
      </c>
      <c r="H324" s="3290" t="s">
        <v>3984</v>
      </c>
      <c r="I324" s="3290" t="s">
        <v>4178</v>
      </c>
    </row>
    <row r="325" spans="1:9" ht="14.25">
      <c r="A325" s="3288">
        <v>49</v>
      </c>
      <c r="B325" s="3290" t="s">
        <v>4160</v>
      </c>
      <c r="C325" s="3294" t="s">
        <v>4179</v>
      </c>
      <c r="D325" s="3290"/>
      <c r="E325" s="3294">
        <v>110.79</v>
      </c>
      <c r="F325" s="3290" t="s">
        <v>3738</v>
      </c>
      <c r="G325" s="3290" t="s">
        <v>3983</v>
      </c>
      <c r="H325" s="3290" t="s">
        <v>3984</v>
      </c>
      <c r="I325" s="3290" t="s">
        <v>4180</v>
      </c>
    </row>
    <row r="326" spans="1:9" ht="14.25">
      <c r="A326" s="3288">
        <v>50</v>
      </c>
      <c r="B326" s="3290" t="s">
        <v>4160</v>
      </c>
      <c r="C326" s="3294" t="s">
        <v>4181</v>
      </c>
      <c r="D326" s="3290"/>
      <c r="E326" s="3294">
        <v>110.79</v>
      </c>
      <c r="F326" s="3290" t="s">
        <v>3738</v>
      </c>
      <c r="G326" s="3290" t="s">
        <v>3983</v>
      </c>
      <c r="H326" s="3290" t="s">
        <v>3984</v>
      </c>
      <c r="I326" s="3290" t="s">
        <v>4182</v>
      </c>
    </row>
    <row r="327" spans="1:9" ht="14.25">
      <c r="A327" s="3288">
        <v>51</v>
      </c>
      <c r="B327" s="3290" t="s">
        <v>4160</v>
      </c>
      <c r="C327" s="3294" t="s">
        <v>4183</v>
      </c>
      <c r="D327" s="3290"/>
      <c r="E327" s="3294">
        <v>111.22</v>
      </c>
      <c r="F327" s="3290" t="s">
        <v>3738</v>
      </c>
      <c r="G327" s="3290" t="s">
        <v>3983</v>
      </c>
      <c r="H327" s="3290" t="s">
        <v>3984</v>
      </c>
      <c r="I327" s="3290" t="s">
        <v>4184</v>
      </c>
    </row>
    <row r="328" spans="1:9" ht="14.25">
      <c r="A328" s="3288">
        <v>52</v>
      </c>
      <c r="B328" s="3290" t="s">
        <v>4160</v>
      </c>
      <c r="C328" s="3294" t="s">
        <v>4185</v>
      </c>
      <c r="D328" s="3290"/>
      <c r="E328" s="3294">
        <v>110.79</v>
      </c>
      <c r="F328" s="3290" t="s">
        <v>3738</v>
      </c>
      <c r="G328" s="3290" t="s">
        <v>3983</v>
      </c>
      <c r="H328" s="3290" t="s">
        <v>3984</v>
      </c>
      <c r="I328" s="3290" t="s">
        <v>4186</v>
      </c>
    </row>
    <row r="329" spans="1:9" ht="14.25">
      <c r="A329" s="3288">
        <v>53</v>
      </c>
      <c r="B329" s="3290" t="s">
        <v>4160</v>
      </c>
      <c r="C329" s="3294" t="s">
        <v>4187</v>
      </c>
      <c r="D329" s="3290"/>
      <c r="E329" s="3294">
        <v>110.76</v>
      </c>
      <c r="F329" s="3290" t="s">
        <v>3738</v>
      </c>
      <c r="G329" s="3290" t="s">
        <v>3983</v>
      </c>
      <c r="H329" s="3290" t="s">
        <v>3984</v>
      </c>
      <c r="I329" s="3290" t="s">
        <v>4188</v>
      </c>
    </row>
    <row r="330" spans="1:9" ht="14.25">
      <c r="A330" s="3288">
        <v>54</v>
      </c>
      <c r="B330" s="3290" t="s">
        <v>4160</v>
      </c>
      <c r="C330" s="3294" t="s">
        <v>4189</v>
      </c>
      <c r="D330" s="3290"/>
      <c r="E330" s="3294">
        <v>110.76</v>
      </c>
      <c r="F330" s="3290" t="s">
        <v>3738</v>
      </c>
      <c r="G330" s="3290" t="s">
        <v>3983</v>
      </c>
      <c r="H330" s="3290" t="s">
        <v>3984</v>
      </c>
      <c r="I330" s="3290" t="s">
        <v>4190</v>
      </c>
    </row>
    <row r="331" spans="1:9" ht="14.25">
      <c r="A331" s="3288">
        <v>55</v>
      </c>
      <c r="B331" s="3290" t="s">
        <v>4160</v>
      </c>
      <c r="C331" s="3294" t="s">
        <v>4191</v>
      </c>
      <c r="D331" s="3290"/>
      <c r="E331" s="3294">
        <v>110.76</v>
      </c>
      <c r="F331" s="3290" t="s">
        <v>3738</v>
      </c>
      <c r="G331" s="3290" t="s">
        <v>3983</v>
      </c>
      <c r="H331" s="3290" t="s">
        <v>3984</v>
      </c>
      <c r="I331" s="3290" t="s">
        <v>4192</v>
      </c>
    </row>
    <row r="332" spans="1:9" ht="14.25">
      <c r="A332" s="3288">
        <v>56</v>
      </c>
      <c r="B332" s="3290" t="s">
        <v>4160</v>
      </c>
      <c r="C332" s="3294" t="s">
        <v>4193</v>
      </c>
      <c r="D332" s="3290"/>
      <c r="E332" s="3294">
        <v>110.76</v>
      </c>
      <c r="F332" s="3290" t="s">
        <v>3738</v>
      </c>
      <c r="G332" s="3290" t="s">
        <v>3983</v>
      </c>
      <c r="H332" s="3290" t="s">
        <v>3984</v>
      </c>
      <c r="I332" s="3290" t="s">
        <v>4194</v>
      </c>
    </row>
    <row r="333" spans="1:9" ht="14.25">
      <c r="A333" s="3288">
        <v>57</v>
      </c>
      <c r="B333" s="3290" t="s">
        <v>4160</v>
      </c>
      <c r="C333" s="3294" t="s">
        <v>4195</v>
      </c>
      <c r="D333" s="3290"/>
      <c r="E333" s="3294">
        <v>111.26</v>
      </c>
      <c r="F333" s="3290" t="s">
        <v>3738</v>
      </c>
      <c r="G333" s="3290" t="s">
        <v>3983</v>
      </c>
      <c r="H333" s="3290" t="s">
        <v>3984</v>
      </c>
      <c r="I333" s="3290" t="s">
        <v>4196</v>
      </c>
    </row>
    <row r="334" spans="1:9" ht="14.25">
      <c r="A334" s="3288">
        <v>58</v>
      </c>
      <c r="B334" s="3290" t="s">
        <v>4160</v>
      </c>
      <c r="C334" s="3294" t="s">
        <v>4197</v>
      </c>
      <c r="D334" s="3290"/>
      <c r="E334" s="3294">
        <v>110.76</v>
      </c>
      <c r="F334" s="3290" t="s">
        <v>3738</v>
      </c>
      <c r="G334" s="3290" t="s">
        <v>3983</v>
      </c>
      <c r="H334" s="3290" t="s">
        <v>3984</v>
      </c>
      <c r="I334" s="3290" t="s">
        <v>4198</v>
      </c>
    </row>
    <row r="335" spans="1:9" ht="14.25">
      <c r="A335" s="3288">
        <v>59</v>
      </c>
      <c r="B335" s="3290" t="s">
        <v>4160</v>
      </c>
      <c r="C335" s="3294" t="s">
        <v>4199</v>
      </c>
      <c r="D335" s="3290"/>
      <c r="E335" s="3294">
        <v>111.26</v>
      </c>
      <c r="F335" s="3290" t="s">
        <v>3738</v>
      </c>
      <c r="G335" s="3290" t="s">
        <v>3983</v>
      </c>
      <c r="H335" s="3290" t="s">
        <v>3984</v>
      </c>
      <c r="I335" s="3290" t="s">
        <v>4200</v>
      </c>
    </row>
    <row r="336" spans="1:9" ht="14.25">
      <c r="A336" s="3288"/>
      <c r="B336" s="3290"/>
      <c r="C336" s="3294"/>
      <c r="D336" s="3294">
        <v>110.76</v>
      </c>
      <c r="E336" s="3294"/>
      <c r="F336" s="3290"/>
      <c r="G336" s="3290"/>
      <c r="H336" s="3290"/>
      <c r="I336" s="3290"/>
    </row>
    <row r="337" spans="1:9" ht="14.25">
      <c r="A337" s="3288"/>
      <c r="B337" s="3290"/>
      <c r="C337" s="3294"/>
      <c r="D337" s="3290"/>
      <c r="E337" s="3294"/>
      <c r="F337" s="3290"/>
      <c r="G337" s="3290"/>
      <c r="H337" s="3290"/>
      <c r="I337" s="3290"/>
    </row>
    <row r="338" spans="1:9" ht="14.25">
      <c r="A338" s="3288"/>
      <c r="B338" s="3290"/>
      <c r="C338" s="3294"/>
      <c r="D338" s="3290"/>
      <c r="E338" s="3294"/>
      <c r="F338" s="3290"/>
      <c r="G338" s="3290"/>
      <c r="H338" s="3290"/>
      <c r="I338" s="3290"/>
    </row>
    <row r="339" spans="1:9" s="3303" customFormat="1" ht="14.25">
      <c r="A339" s="3288"/>
      <c r="B339" s="3290"/>
      <c r="C339" s="3294"/>
      <c r="D339" s="3290"/>
      <c r="E339" s="3294"/>
      <c r="F339" s="3290"/>
      <c r="G339" s="3290"/>
      <c r="H339" s="3290"/>
      <c r="I339" s="3290"/>
    </row>
    <row r="340" spans="1:9" ht="14.25">
      <c r="A340" s="3288"/>
      <c r="B340" s="3290"/>
      <c r="C340" s="3294"/>
      <c r="D340" s="3290"/>
      <c r="E340" s="3294"/>
      <c r="F340" s="3290"/>
      <c r="G340" s="3290"/>
      <c r="H340" s="3290"/>
      <c r="I340" s="3290"/>
    </row>
    <row r="341" spans="1:9" ht="14.25">
      <c r="A341" s="3288"/>
      <c r="B341" s="3290"/>
      <c r="C341" s="3294"/>
      <c r="D341" s="3290"/>
      <c r="E341" s="3294"/>
      <c r="F341" s="3290"/>
      <c r="G341" s="3290"/>
      <c r="H341" s="3290"/>
      <c r="I341" s="3290"/>
    </row>
    <row r="342" spans="1:9" ht="14.25">
      <c r="A342" s="3288"/>
      <c r="B342" s="3290"/>
      <c r="C342" s="3294"/>
      <c r="D342" s="3290"/>
      <c r="E342" s="3294"/>
      <c r="F342" s="3290"/>
      <c r="G342" s="3290"/>
      <c r="H342" s="3290"/>
      <c r="I342" s="3290"/>
    </row>
    <row r="343" spans="1:9" ht="14.25">
      <c r="A343" s="3288"/>
      <c r="B343" s="3290"/>
      <c r="C343" s="3294"/>
      <c r="D343" s="3290"/>
      <c r="E343" s="3294"/>
      <c r="F343" s="3290"/>
      <c r="G343" s="3290"/>
      <c r="H343" s="3290"/>
      <c r="I343" s="3290"/>
    </row>
    <row r="344" spans="1:9" ht="14.25">
      <c r="A344" s="3288"/>
      <c r="B344" s="3290"/>
      <c r="C344" s="3294"/>
      <c r="D344" s="3290"/>
      <c r="E344" s="3294"/>
      <c r="F344" s="3290"/>
      <c r="G344" s="3290"/>
      <c r="H344" s="3290"/>
      <c r="I344" s="3290"/>
    </row>
    <row r="345" spans="1:9" ht="14.25">
      <c r="A345" s="3288"/>
      <c r="B345" s="3290"/>
      <c r="C345" s="3294"/>
      <c r="D345" s="3290"/>
      <c r="E345" s="3294"/>
      <c r="F345" s="3290"/>
      <c r="G345" s="3290"/>
      <c r="H345" s="3290"/>
      <c r="I345" s="3290"/>
    </row>
    <row r="346" spans="1:9" ht="14.25">
      <c r="A346" s="3288"/>
      <c r="B346" s="3290"/>
      <c r="C346" s="3294"/>
      <c r="D346" s="3290"/>
      <c r="E346" s="3294"/>
      <c r="F346" s="3290"/>
      <c r="G346" s="3290"/>
      <c r="H346" s="3290"/>
      <c r="I346" s="3290"/>
    </row>
    <row r="347" spans="1:9" ht="14.25">
      <c r="A347" s="3288"/>
      <c r="B347" s="3290"/>
      <c r="C347" s="3294"/>
      <c r="D347" s="3290"/>
      <c r="E347" s="3294"/>
      <c r="F347" s="3290"/>
      <c r="G347" s="3290"/>
      <c r="H347" s="3290"/>
      <c r="I347" s="3290"/>
    </row>
    <row r="348" spans="1:9" ht="14.25">
      <c r="A348" s="3288"/>
      <c r="B348" s="3290"/>
      <c r="C348" s="3294"/>
      <c r="D348" s="3290"/>
      <c r="E348" s="3294"/>
      <c r="F348" s="3290"/>
      <c r="G348" s="3290"/>
      <c r="H348" s="3290"/>
      <c r="I348" s="3290"/>
    </row>
    <row r="349" spans="1:9" ht="14.25">
      <c r="A349" s="3288"/>
      <c r="B349" s="3290"/>
      <c r="C349" s="3294"/>
      <c r="D349" s="3290"/>
      <c r="E349" s="3294"/>
      <c r="F349" s="3290"/>
      <c r="G349" s="3290"/>
      <c r="H349" s="3290"/>
      <c r="I349" s="3290"/>
    </row>
    <row r="350" spans="1:9" ht="14.25">
      <c r="A350" s="3288"/>
      <c r="B350" s="3290"/>
      <c r="C350" s="3294"/>
      <c r="D350" s="3290"/>
      <c r="E350" s="3294"/>
      <c r="F350" s="3290"/>
      <c r="G350" s="3290"/>
      <c r="H350" s="3290"/>
      <c r="I350" s="3290"/>
    </row>
    <row r="351" spans="1:9" ht="14.25">
      <c r="A351" s="3288"/>
      <c r="B351" s="3290"/>
      <c r="C351" s="3294"/>
      <c r="D351" s="3294">
        <v>111.22</v>
      </c>
      <c r="E351" s="3294"/>
      <c r="F351" s="3290"/>
      <c r="G351" s="3290"/>
      <c r="H351" s="3290"/>
      <c r="I351" s="3290"/>
    </row>
    <row r="352" spans="1:9" ht="14.25">
      <c r="A352" s="3288"/>
      <c r="B352" s="3290"/>
      <c r="C352" s="3294"/>
      <c r="D352" s="3290"/>
      <c r="E352" s="3294"/>
      <c r="F352" s="3290"/>
      <c r="G352" s="3290"/>
      <c r="H352" s="3290"/>
      <c r="I352" s="3290"/>
    </row>
    <row r="353" spans="1:9" ht="14.25">
      <c r="A353" s="3288"/>
      <c r="B353" s="3290"/>
      <c r="C353" s="3294"/>
      <c r="D353" s="3290"/>
      <c r="E353" s="3294"/>
      <c r="F353" s="3290"/>
      <c r="G353" s="3290"/>
      <c r="H353" s="3290"/>
      <c r="I353" s="3290"/>
    </row>
    <row r="354" spans="1:9" ht="14.25">
      <c r="A354" s="3288"/>
      <c r="B354" s="3290"/>
      <c r="C354" s="3294"/>
      <c r="D354" s="3290"/>
      <c r="E354" s="3294"/>
      <c r="F354" s="3290"/>
      <c r="G354" s="3290"/>
      <c r="H354" s="3290"/>
      <c r="I354" s="3290"/>
    </row>
    <row r="355" spans="1:9" ht="14.25">
      <c r="A355" s="3288"/>
      <c r="B355" s="3290"/>
      <c r="C355" s="3294"/>
      <c r="D355" s="3290"/>
      <c r="E355" s="3294"/>
      <c r="F355" s="3290"/>
      <c r="G355" s="3290"/>
      <c r="H355" s="3290"/>
      <c r="I355" s="3290"/>
    </row>
    <row r="356" spans="1:9" ht="14.25">
      <c r="A356" s="3288"/>
      <c r="B356" s="3290"/>
      <c r="C356" s="3294"/>
      <c r="D356" s="3290"/>
      <c r="E356" s="3294"/>
      <c r="F356" s="3290"/>
      <c r="G356" s="3290"/>
      <c r="H356" s="3290"/>
      <c r="I356" s="3290"/>
    </row>
    <row r="357" spans="1:9" ht="14.25">
      <c r="A357" s="3288"/>
      <c r="B357" s="3290"/>
      <c r="C357" s="3294"/>
      <c r="D357" s="3290"/>
      <c r="E357" s="3294"/>
      <c r="F357" s="3290"/>
      <c r="G357" s="3290"/>
      <c r="H357" s="3290"/>
      <c r="I357" s="3290"/>
    </row>
    <row r="358" spans="1:9" ht="14.25">
      <c r="A358" s="3288"/>
      <c r="B358" s="3290"/>
      <c r="C358" s="3294"/>
      <c r="D358" s="3290"/>
      <c r="E358" s="3294"/>
      <c r="F358" s="3290"/>
      <c r="G358" s="3290"/>
      <c r="H358" s="3290"/>
      <c r="I358" s="3290"/>
    </row>
    <row r="359" spans="1:9" ht="14.25">
      <c r="A359" s="3288"/>
      <c r="B359" s="3290"/>
      <c r="C359" s="3294"/>
      <c r="D359" s="3290"/>
      <c r="E359" s="3294"/>
      <c r="F359" s="3290"/>
      <c r="G359" s="3290"/>
      <c r="H359" s="3290"/>
      <c r="I359" s="3290"/>
    </row>
    <row r="360" spans="1:9" ht="14.25">
      <c r="A360" s="3288"/>
      <c r="B360" s="3290"/>
      <c r="C360" s="3294"/>
      <c r="D360" s="3290"/>
      <c r="E360" s="3294"/>
      <c r="F360" s="3290"/>
      <c r="G360" s="3290"/>
      <c r="H360" s="3290"/>
      <c r="I360" s="3290"/>
    </row>
    <row r="361" spans="1:9" ht="14.25">
      <c r="A361" s="3288"/>
      <c r="B361" s="3290"/>
      <c r="C361" s="3294"/>
      <c r="D361" s="3290"/>
      <c r="E361" s="3294"/>
      <c r="F361" s="3290"/>
      <c r="G361" s="3290"/>
      <c r="H361" s="3290"/>
      <c r="I361" s="3290"/>
    </row>
    <row r="362" spans="1:9" ht="14.25">
      <c r="A362" s="3288"/>
      <c r="B362" s="3290"/>
      <c r="C362" s="3294"/>
      <c r="D362" s="3290"/>
      <c r="E362" s="3294"/>
      <c r="F362" s="3290"/>
      <c r="G362" s="3290"/>
      <c r="H362" s="3290"/>
      <c r="I362" s="3290"/>
    </row>
    <row r="363" spans="1:9" ht="14.25">
      <c r="A363" s="3288"/>
      <c r="B363" s="3290"/>
      <c r="C363" s="3294"/>
      <c r="D363" s="3290"/>
      <c r="E363" s="3294"/>
      <c r="F363" s="3290"/>
      <c r="G363" s="3290"/>
      <c r="H363" s="3290"/>
      <c r="I363" s="3290"/>
    </row>
    <row r="364" spans="1:9" ht="14.25">
      <c r="A364" s="3288"/>
      <c r="B364" s="3290"/>
      <c r="C364" s="3294"/>
      <c r="D364" s="3294">
        <v>110.79</v>
      </c>
      <c r="E364" s="3294"/>
      <c r="F364" s="3290"/>
      <c r="G364" s="3290"/>
      <c r="H364" s="3290"/>
      <c r="I364" s="3290"/>
    </row>
    <row r="365" spans="1:9" ht="14.25">
      <c r="A365" s="3288"/>
      <c r="B365" s="3290"/>
      <c r="C365" s="3294"/>
      <c r="D365" s="3294">
        <v>111.22</v>
      </c>
      <c r="E365" s="3294"/>
      <c r="F365" s="3290"/>
      <c r="G365" s="3290"/>
      <c r="H365" s="3290"/>
      <c r="I365" s="3290"/>
    </row>
    <row r="366" spans="1:9" ht="14.25">
      <c r="A366" s="3288">
        <v>341</v>
      </c>
      <c r="B366" s="3290" t="s">
        <v>4201</v>
      </c>
      <c r="C366" s="3294" t="s">
        <v>4202</v>
      </c>
      <c r="D366" s="3290"/>
      <c r="E366" s="3294">
        <v>125.38</v>
      </c>
      <c r="F366" s="3290" t="s">
        <v>3738</v>
      </c>
      <c r="G366" s="3290" t="s">
        <v>3983</v>
      </c>
      <c r="H366" s="3290" t="s">
        <v>3984</v>
      </c>
      <c r="I366" s="3290" t="s">
        <v>4203</v>
      </c>
    </row>
    <row r="367" spans="1:9" ht="14.25">
      <c r="A367" s="3288">
        <v>342</v>
      </c>
      <c r="B367" s="3290" t="s">
        <v>4201</v>
      </c>
      <c r="C367" s="3294" t="s">
        <v>4204</v>
      </c>
      <c r="D367" s="3290"/>
      <c r="E367" s="3294">
        <v>124.36</v>
      </c>
      <c r="F367" s="3290" t="s">
        <v>3738</v>
      </c>
      <c r="G367" s="3290" t="s">
        <v>3983</v>
      </c>
      <c r="H367" s="3290" t="s">
        <v>3984</v>
      </c>
      <c r="I367" s="3290" t="s">
        <v>4205</v>
      </c>
    </row>
    <row r="368" spans="1:9" ht="14.25">
      <c r="A368" s="3288">
        <v>343</v>
      </c>
      <c r="B368" s="3290" t="s">
        <v>4201</v>
      </c>
      <c r="C368" s="3294" t="s">
        <v>4206</v>
      </c>
      <c r="D368" s="3290"/>
      <c r="E368" s="3294">
        <v>198.71</v>
      </c>
      <c r="F368" s="3290" t="s">
        <v>3738</v>
      </c>
      <c r="G368" s="3290" t="s">
        <v>3983</v>
      </c>
      <c r="H368" s="3290" t="s">
        <v>3984</v>
      </c>
      <c r="I368" s="3290" t="s">
        <v>4207</v>
      </c>
    </row>
    <row r="369" spans="1:9" ht="14.25">
      <c r="A369" s="3288">
        <v>344</v>
      </c>
      <c r="B369" s="3290" t="s">
        <v>4201</v>
      </c>
      <c r="C369" s="3294" t="s">
        <v>4208</v>
      </c>
      <c r="D369" s="3290"/>
      <c r="E369" s="3294">
        <v>198.71</v>
      </c>
      <c r="F369" s="3290" t="s">
        <v>3738</v>
      </c>
      <c r="G369" s="3290" t="s">
        <v>3983</v>
      </c>
      <c r="H369" s="3290" t="s">
        <v>3984</v>
      </c>
      <c r="I369" s="3290" t="s">
        <v>4209</v>
      </c>
    </row>
    <row r="370" spans="1:9" ht="14.25">
      <c r="A370" s="3288">
        <v>345</v>
      </c>
      <c r="B370" s="3290" t="s">
        <v>4201</v>
      </c>
      <c r="C370" s="3294" t="s">
        <v>4210</v>
      </c>
      <c r="D370" s="3290"/>
      <c r="E370" s="3294">
        <v>124.36</v>
      </c>
      <c r="F370" s="3290" t="s">
        <v>3738</v>
      </c>
      <c r="G370" s="3290" t="s">
        <v>3983</v>
      </c>
      <c r="H370" s="3290" t="s">
        <v>3984</v>
      </c>
      <c r="I370" s="3290" t="s">
        <v>4211</v>
      </c>
    </row>
    <row r="371" spans="1:9" ht="14.25">
      <c r="A371" s="3288">
        <v>346</v>
      </c>
      <c r="B371" s="3290" t="s">
        <v>4201</v>
      </c>
      <c r="C371" s="3294" t="s">
        <v>4212</v>
      </c>
      <c r="D371" s="3290"/>
      <c r="E371" s="3294">
        <v>124.36</v>
      </c>
      <c r="F371" s="3290" t="s">
        <v>3738</v>
      </c>
      <c r="G371" s="3290" t="s">
        <v>3983</v>
      </c>
      <c r="H371" s="3290" t="s">
        <v>3984</v>
      </c>
      <c r="I371" s="3290" t="s">
        <v>4213</v>
      </c>
    </row>
    <row r="372" spans="1:9" ht="14.25">
      <c r="A372" s="3288">
        <v>347</v>
      </c>
      <c r="B372" s="3290" t="s">
        <v>4201</v>
      </c>
      <c r="C372" s="3294" t="s">
        <v>4214</v>
      </c>
      <c r="D372" s="3290"/>
      <c r="E372" s="3294">
        <v>198.71</v>
      </c>
      <c r="F372" s="3290" t="s">
        <v>3738</v>
      </c>
      <c r="G372" s="3290" t="s">
        <v>3983</v>
      </c>
      <c r="H372" s="3290" t="s">
        <v>3984</v>
      </c>
      <c r="I372" s="3290" t="s">
        <v>4215</v>
      </c>
    </row>
    <row r="373" spans="1:9" ht="14.25">
      <c r="A373" s="3288">
        <v>348</v>
      </c>
      <c r="B373" s="3290" t="s">
        <v>4201</v>
      </c>
      <c r="C373" s="3294" t="s">
        <v>4216</v>
      </c>
      <c r="D373" s="3290"/>
      <c r="E373" s="3294">
        <v>124.36</v>
      </c>
      <c r="F373" s="3290" t="s">
        <v>3738</v>
      </c>
      <c r="G373" s="3290" t="s">
        <v>3983</v>
      </c>
      <c r="H373" s="3290" t="s">
        <v>3984</v>
      </c>
      <c r="I373" s="3290" t="s">
        <v>4217</v>
      </c>
    </row>
    <row r="374" spans="1:9" ht="14.25">
      <c r="A374" s="3288">
        <v>349</v>
      </c>
      <c r="B374" s="3290" t="s">
        <v>4201</v>
      </c>
      <c r="C374" s="3294" t="s">
        <v>4218</v>
      </c>
      <c r="D374" s="3290"/>
      <c r="E374" s="3294">
        <v>125.38</v>
      </c>
      <c r="F374" s="3290" t="s">
        <v>3738</v>
      </c>
      <c r="G374" s="3290" t="s">
        <v>3983</v>
      </c>
      <c r="H374" s="3290" t="s">
        <v>3984</v>
      </c>
      <c r="I374" s="3290" t="s">
        <v>4219</v>
      </c>
    </row>
    <row r="375" spans="1:9" ht="14.25">
      <c r="A375" s="3288"/>
      <c r="B375" s="3290"/>
      <c r="C375" s="3294"/>
      <c r="D375" s="3290"/>
      <c r="E375" s="3294"/>
      <c r="F375" s="3290"/>
      <c r="G375" s="3290"/>
      <c r="H375" s="3290"/>
      <c r="I375" s="3290"/>
    </row>
    <row r="376" spans="1:9" ht="14.25">
      <c r="A376" s="3288"/>
      <c r="B376" s="3290"/>
      <c r="C376" s="3294"/>
      <c r="D376" s="3290"/>
      <c r="E376" s="3294"/>
      <c r="F376" s="3290"/>
      <c r="G376" s="3290"/>
      <c r="H376" s="3290"/>
      <c r="I376" s="3290"/>
    </row>
    <row r="377" spans="1:9" ht="14.25">
      <c r="A377" s="3288"/>
      <c r="B377" s="3290"/>
      <c r="C377" s="3294"/>
      <c r="D377" s="3290"/>
      <c r="E377" s="3294"/>
      <c r="F377" s="3290"/>
      <c r="G377" s="3290"/>
      <c r="H377" s="3290"/>
      <c r="I377" s="3290"/>
    </row>
    <row r="378" spans="1:9" ht="14.25">
      <c r="A378" s="3288">
        <v>350</v>
      </c>
      <c r="B378" s="3290" t="s">
        <v>4220</v>
      </c>
      <c r="C378" s="3294" t="s">
        <v>4221</v>
      </c>
      <c r="D378" s="3290"/>
      <c r="E378" s="3294">
        <v>199.49</v>
      </c>
      <c r="F378" s="3290" t="s">
        <v>3738</v>
      </c>
      <c r="G378" s="3290" t="s">
        <v>3983</v>
      </c>
      <c r="H378" s="3290" t="s">
        <v>3984</v>
      </c>
      <c r="I378" s="3290" t="s">
        <v>4222</v>
      </c>
    </row>
    <row r="379" spans="1:9" ht="14.25">
      <c r="A379" s="3288">
        <v>351</v>
      </c>
      <c r="B379" s="3290" t="s">
        <v>4220</v>
      </c>
      <c r="C379" s="3294" t="s">
        <v>4223</v>
      </c>
      <c r="D379" s="3290"/>
      <c r="E379" s="3294">
        <v>125.73</v>
      </c>
      <c r="F379" s="3290" t="s">
        <v>3738</v>
      </c>
      <c r="G379" s="3290" t="s">
        <v>3983</v>
      </c>
      <c r="H379" s="3290" t="s">
        <v>3984</v>
      </c>
      <c r="I379" s="3290" t="s">
        <v>4224</v>
      </c>
    </row>
    <row r="380" spans="1:9" ht="14.25">
      <c r="A380" s="3288">
        <v>352</v>
      </c>
      <c r="B380" s="3290" t="s">
        <v>4220</v>
      </c>
      <c r="C380" s="3294" t="s">
        <v>4225</v>
      </c>
      <c r="D380" s="3290"/>
      <c r="E380" s="3294">
        <v>124.71</v>
      </c>
      <c r="F380" s="3290" t="s">
        <v>3738</v>
      </c>
      <c r="G380" s="3290" t="s">
        <v>3983</v>
      </c>
      <c r="H380" s="3290" t="s">
        <v>3984</v>
      </c>
      <c r="I380" s="3290" t="s">
        <v>4226</v>
      </c>
    </row>
    <row r="381" spans="1:9" ht="14.25">
      <c r="A381" s="3288">
        <v>353</v>
      </c>
      <c r="B381" s="3290" t="s">
        <v>4220</v>
      </c>
      <c r="C381" s="3294" t="s">
        <v>4227</v>
      </c>
      <c r="D381" s="3290"/>
      <c r="E381" s="3294">
        <v>199.49</v>
      </c>
      <c r="F381" s="3290" t="s">
        <v>3738</v>
      </c>
      <c r="G381" s="3290" t="s">
        <v>3983</v>
      </c>
      <c r="H381" s="3290" t="s">
        <v>3984</v>
      </c>
      <c r="I381" s="3290" t="s">
        <v>4228</v>
      </c>
    </row>
    <row r="382" spans="1:9" ht="14.25">
      <c r="A382" s="3288">
        <v>354</v>
      </c>
      <c r="B382" s="3290" t="s">
        <v>4220</v>
      </c>
      <c r="C382" s="3294" t="s">
        <v>4229</v>
      </c>
      <c r="D382" s="3290"/>
      <c r="E382" s="3294">
        <v>200.17</v>
      </c>
      <c r="F382" s="3290" t="s">
        <v>3738</v>
      </c>
      <c r="G382" s="3290" t="s">
        <v>3983</v>
      </c>
      <c r="H382" s="3290" t="s">
        <v>3984</v>
      </c>
      <c r="I382" s="3290" t="s">
        <v>4230</v>
      </c>
    </row>
    <row r="383" spans="1:9" s="3303" customFormat="1" ht="14.25">
      <c r="A383" s="3288">
        <v>355</v>
      </c>
      <c r="B383" s="3290" t="s">
        <v>4220</v>
      </c>
      <c r="C383" s="3294" t="s">
        <v>4231</v>
      </c>
      <c r="D383" s="3290"/>
      <c r="E383" s="3294">
        <v>124.71</v>
      </c>
      <c r="F383" s="3290" t="s">
        <v>3738</v>
      </c>
      <c r="G383" s="3290" t="s">
        <v>3983</v>
      </c>
      <c r="H383" s="3290" t="s">
        <v>3984</v>
      </c>
      <c r="I383" s="3290" t="s">
        <v>4232</v>
      </c>
    </row>
    <row r="384" spans="1:9" s="3303" customFormat="1" ht="14.25">
      <c r="A384" s="3288">
        <v>356</v>
      </c>
      <c r="B384" s="3290" t="s">
        <v>4220</v>
      </c>
      <c r="C384" s="3294" t="s">
        <v>4233</v>
      </c>
      <c r="D384" s="3290"/>
      <c r="E384" s="3294">
        <v>125.73</v>
      </c>
      <c r="F384" s="3290" t="s">
        <v>3738</v>
      </c>
      <c r="G384" s="3290" t="s">
        <v>3983</v>
      </c>
      <c r="H384" s="3290" t="s">
        <v>3984</v>
      </c>
      <c r="I384" s="3290" t="s">
        <v>4234</v>
      </c>
    </row>
    <row r="385" spans="1:9" ht="14.25">
      <c r="A385" s="3288"/>
      <c r="B385" s="3290"/>
      <c r="C385" s="3294"/>
      <c r="D385" s="3290"/>
      <c r="E385" s="3294"/>
      <c r="F385" s="3290"/>
      <c r="G385" s="3290"/>
      <c r="H385" s="3290"/>
      <c r="I385" s="3290"/>
    </row>
    <row r="386" spans="1:9" ht="14.25">
      <c r="A386" s="3288">
        <v>357</v>
      </c>
      <c r="B386" s="3290" t="s">
        <v>4235</v>
      </c>
      <c r="C386" s="3294" t="s">
        <v>4236</v>
      </c>
      <c r="D386" s="3290"/>
      <c r="E386" s="3294">
        <v>200.17</v>
      </c>
      <c r="F386" s="3290" t="s">
        <v>3738</v>
      </c>
      <c r="G386" s="3290" t="s">
        <v>3983</v>
      </c>
      <c r="H386" s="3290" t="s">
        <v>3984</v>
      </c>
      <c r="I386" s="3290" t="s">
        <v>4237</v>
      </c>
    </row>
    <row r="387" spans="1:9" ht="14.25">
      <c r="A387" s="3288">
        <v>358</v>
      </c>
      <c r="B387" s="3290" t="s">
        <v>4235</v>
      </c>
      <c r="C387" s="3294" t="s">
        <v>4238</v>
      </c>
      <c r="D387" s="3290"/>
      <c r="E387" s="3294">
        <v>199.49</v>
      </c>
      <c r="F387" s="3290" t="s">
        <v>3738</v>
      </c>
      <c r="G387" s="3290" t="s">
        <v>3983</v>
      </c>
      <c r="H387" s="3290" t="s">
        <v>3984</v>
      </c>
      <c r="I387" s="3290" t="s">
        <v>4239</v>
      </c>
    </row>
    <row r="388" spans="1:9" ht="14.25">
      <c r="A388" s="3288">
        <v>359</v>
      </c>
      <c r="B388" s="3290" t="s">
        <v>4235</v>
      </c>
      <c r="C388" s="3294" t="s">
        <v>4240</v>
      </c>
      <c r="D388" s="3290"/>
      <c r="E388" s="3294">
        <v>125.73</v>
      </c>
      <c r="F388" s="3290" t="s">
        <v>3738</v>
      </c>
      <c r="G388" s="3290" t="s">
        <v>3983</v>
      </c>
      <c r="H388" s="3290" t="s">
        <v>3984</v>
      </c>
      <c r="I388" s="3290" t="s">
        <v>4241</v>
      </c>
    </row>
    <row r="389" spans="1:9" ht="14.25">
      <c r="A389" s="3288">
        <v>360</v>
      </c>
      <c r="B389" s="3290" t="s">
        <v>4235</v>
      </c>
      <c r="C389" s="3294" t="s">
        <v>4242</v>
      </c>
      <c r="D389" s="3290"/>
      <c r="E389" s="3294">
        <v>124.71</v>
      </c>
      <c r="F389" s="3290" t="s">
        <v>3738</v>
      </c>
      <c r="G389" s="3290" t="s">
        <v>3983</v>
      </c>
      <c r="H389" s="3290" t="s">
        <v>3984</v>
      </c>
      <c r="I389" s="3290" t="s">
        <v>4243</v>
      </c>
    </row>
    <row r="390" spans="1:9" ht="14.25">
      <c r="A390" s="3288">
        <v>361</v>
      </c>
      <c r="B390" s="3290" t="s">
        <v>4235</v>
      </c>
      <c r="C390" s="3294" t="s">
        <v>4244</v>
      </c>
      <c r="D390" s="3290"/>
      <c r="E390" s="3294">
        <v>199.49</v>
      </c>
      <c r="F390" s="3290" t="s">
        <v>3738</v>
      </c>
      <c r="G390" s="3290" t="s">
        <v>3983</v>
      </c>
      <c r="H390" s="3290" t="s">
        <v>3984</v>
      </c>
      <c r="I390" s="3290" t="s">
        <v>4245</v>
      </c>
    </row>
    <row r="391" spans="1:9" ht="14.25">
      <c r="A391" s="3288">
        <v>362</v>
      </c>
      <c r="B391" s="3290" t="s">
        <v>4235</v>
      </c>
      <c r="C391" s="3294" t="s">
        <v>4246</v>
      </c>
      <c r="D391" s="3290"/>
      <c r="E391" s="3294">
        <v>124.71</v>
      </c>
      <c r="F391" s="3290" t="s">
        <v>3738</v>
      </c>
      <c r="G391" s="3290" t="s">
        <v>3983</v>
      </c>
      <c r="H391" s="3290" t="s">
        <v>3984</v>
      </c>
      <c r="I391" s="3290" t="s">
        <v>4247</v>
      </c>
    </row>
    <row r="392" spans="1:9" ht="14.25">
      <c r="A392" s="3288">
        <v>363</v>
      </c>
      <c r="B392" s="3290" t="s">
        <v>4235</v>
      </c>
      <c r="C392" s="3294" t="s">
        <v>4248</v>
      </c>
      <c r="D392" s="3290"/>
      <c r="E392" s="3294">
        <v>125.73</v>
      </c>
      <c r="F392" s="3290" t="s">
        <v>3738</v>
      </c>
      <c r="G392" s="3290" t="s">
        <v>3983</v>
      </c>
      <c r="H392" s="3290" t="s">
        <v>3984</v>
      </c>
      <c r="I392" s="3290" t="s">
        <v>4249</v>
      </c>
    </row>
    <row r="393" spans="1:9" ht="14.25">
      <c r="A393" s="3288"/>
      <c r="B393" s="3290"/>
      <c r="C393" s="3294"/>
      <c r="D393" s="3290"/>
      <c r="E393" s="3294"/>
      <c r="F393" s="3290"/>
      <c r="G393" s="3290"/>
      <c r="H393" s="3290"/>
      <c r="I393" s="3290"/>
    </row>
    <row r="394" spans="1:9" ht="14.25">
      <c r="A394" s="3288">
        <v>229</v>
      </c>
      <c r="B394" s="3290" t="s">
        <v>4250</v>
      </c>
      <c r="C394" s="3294" t="s">
        <v>4251</v>
      </c>
      <c r="D394" s="3290"/>
      <c r="E394" s="3294">
        <v>124.19</v>
      </c>
      <c r="F394" s="3290" t="s">
        <v>3738</v>
      </c>
      <c r="G394" s="3290" t="s">
        <v>3983</v>
      </c>
      <c r="H394" s="3290" t="s">
        <v>3984</v>
      </c>
      <c r="I394" s="3290" t="s">
        <v>4252</v>
      </c>
    </row>
    <row r="395" spans="1:9" ht="14.25">
      <c r="A395" s="3288">
        <v>364</v>
      </c>
      <c r="B395" s="3290" t="s">
        <v>4250</v>
      </c>
      <c r="C395" s="3294" t="s">
        <v>4253</v>
      </c>
      <c r="D395" s="3290"/>
      <c r="E395" s="3294">
        <v>198.33</v>
      </c>
      <c r="F395" s="3290" t="s">
        <v>3738</v>
      </c>
      <c r="G395" s="3290" t="s">
        <v>3983</v>
      </c>
      <c r="H395" s="3290" t="s">
        <v>3984</v>
      </c>
      <c r="I395" s="3290" t="s">
        <v>4254</v>
      </c>
    </row>
    <row r="396" spans="1:9" ht="14.25">
      <c r="A396" s="3288">
        <v>365</v>
      </c>
      <c r="B396" s="3290" t="s">
        <v>4250</v>
      </c>
      <c r="C396" s="3294" t="s">
        <v>4255</v>
      </c>
      <c r="D396" s="3290"/>
      <c r="E396" s="3294">
        <v>125.21</v>
      </c>
      <c r="F396" s="3290" t="s">
        <v>3738</v>
      </c>
      <c r="G396" s="3290" t="s">
        <v>3983</v>
      </c>
      <c r="H396" s="3290" t="s">
        <v>3984</v>
      </c>
      <c r="I396" s="3290" t="s">
        <v>4256</v>
      </c>
    </row>
    <row r="397" spans="1:9" ht="14.25">
      <c r="A397" s="3288">
        <v>366</v>
      </c>
      <c r="B397" s="3290" t="s">
        <v>4250</v>
      </c>
      <c r="C397" s="3294" t="s">
        <v>4257</v>
      </c>
      <c r="D397" s="3290"/>
      <c r="E397" s="3294">
        <v>124.19</v>
      </c>
      <c r="F397" s="3290" t="s">
        <v>3738</v>
      </c>
      <c r="G397" s="3290" t="s">
        <v>3983</v>
      </c>
      <c r="H397" s="3290" t="s">
        <v>3984</v>
      </c>
      <c r="I397" s="3290" t="s">
        <v>4258</v>
      </c>
    </row>
    <row r="398" spans="1:9" ht="14.25">
      <c r="A398" s="3288">
        <v>367</v>
      </c>
      <c r="B398" s="3290" t="s">
        <v>4250</v>
      </c>
      <c r="C398" s="3294" t="s">
        <v>4259</v>
      </c>
      <c r="D398" s="3290"/>
      <c r="E398" s="3294">
        <v>198.33</v>
      </c>
      <c r="F398" s="3290" t="s">
        <v>3738</v>
      </c>
      <c r="G398" s="3290" t="s">
        <v>3983</v>
      </c>
      <c r="H398" s="3290" t="s">
        <v>3984</v>
      </c>
      <c r="I398" s="3290" t="s">
        <v>4260</v>
      </c>
    </row>
    <row r="399" spans="1:9" ht="14.25">
      <c r="A399" s="3288">
        <v>368</v>
      </c>
      <c r="B399" s="3290" t="s">
        <v>4250</v>
      </c>
      <c r="C399" s="3294" t="s">
        <v>4261</v>
      </c>
      <c r="D399" s="3290"/>
      <c r="E399" s="3294">
        <v>124.19</v>
      </c>
      <c r="F399" s="3290" t="s">
        <v>3738</v>
      </c>
      <c r="G399" s="3290" t="s">
        <v>3983</v>
      </c>
      <c r="H399" s="3290" t="s">
        <v>3984</v>
      </c>
      <c r="I399" s="3290" t="s">
        <v>4262</v>
      </c>
    </row>
    <row r="400" spans="1:9" ht="14.25">
      <c r="A400" s="3288">
        <v>369</v>
      </c>
      <c r="B400" s="3290" t="s">
        <v>4250</v>
      </c>
      <c r="C400" s="3294" t="s">
        <v>4263</v>
      </c>
      <c r="D400" s="3290"/>
      <c r="E400" s="3294">
        <v>124.19</v>
      </c>
      <c r="F400" s="3290" t="s">
        <v>3738</v>
      </c>
      <c r="G400" s="3290" t="s">
        <v>3983</v>
      </c>
      <c r="H400" s="3290" t="s">
        <v>3984</v>
      </c>
      <c r="I400" s="3290" t="s">
        <v>4264</v>
      </c>
    </row>
    <row r="401" spans="1:9" ht="14.25">
      <c r="A401" s="3288">
        <v>370</v>
      </c>
      <c r="B401" s="3290" t="s">
        <v>4250</v>
      </c>
      <c r="C401" s="3294" t="s">
        <v>4265</v>
      </c>
      <c r="D401" s="3290"/>
      <c r="E401" s="3294">
        <v>198.33</v>
      </c>
      <c r="F401" s="3290" t="s">
        <v>3738</v>
      </c>
      <c r="G401" s="3290" t="s">
        <v>3983</v>
      </c>
      <c r="H401" s="3290" t="s">
        <v>3984</v>
      </c>
      <c r="I401" s="3290" t="s">
        <v>4266</v>
      </c>
    </row>
    <row r="402" spans="1:9" ht="14.25">
      <c r="A402" s="3288">
        <v>371</v>
      </c>
      <c r="B402" s="3290" t="s">
        <v>4250</v>
      </c>
      <c r="C402" s="3294" t="s">
        <v>4267</v>
      </c>
      <c r="D402" s="3290"/>
      <c r="E402" s="3294">
        <v>124.19</v>
      </c>
      <c r="F402" s="3290" t="s">
        <v>3738</v>
      </c>
      <c r="G402" s="3290" t="s">
        <v>3983</v>
      </c>
      <c r="H402" s="3290" t="s">
        <v>3984</v>
      </c>
      <c r="I402" s="3290" t="s">
        <v>4268</v>
      </c>
    </row>
    <row r="403" spans="1:9" ht="14.25">
      <c r="A403" s="3288">
        <v>372</v>
      </c>
      <c r="B403" s="3290" t="s">
        <v>4250</v>
      </c>
      <c r="C403" s="3294" t="s">
        <v>4269</v>
      </c>
      <c r="D403" s="3290"/>
      <c r="E403" s="3294">
        <v>124.19</v>
      </c>
      <c r="F403" s="3290" t="s">
        <v>3738</v>
      </c>
      <c r="G403" s="3290" t="s">
        <v>3983</v>
      </c>
      <c r="H403" s="3290" t="s">
        <v>3984</v>
      </c>
      <c r="I403" s="3290" t="s">
        <v>4270</v>
      </c>
    </row>
    <row r="404" spans="1:9" ht="14.25">
      <c r="A404" s="3288">
        <v>373</v>
      </c>
      <c r="B404" s="3290" t="s">
        <v>4250</v>
      </c>
      <c r="C404" s="3294" t="s">
        <v>4271</v>
      </c>
      <c r="D404" s="3290"/>
      <c r="E404" s="3294">
        <v>125.21</v>
      </c>
      <c r="F404" s="3290" t="s">
        <v>3738</v>
      </c>
      <c r="G404" s="3290" t="s">
        <v>3983</v>
      </c>
      <c r="H404" s="3290" t="s">
        <v>3984</v>
      </c>
      <c r="I404" s="3290" t="s">
        <v>4272</v>
      </c>
    </row>
    <row r="405" spans="1:9" ht="14.25">
      <c r="A405" s="3288"/>
      <c r="B405" s="3290"/>
      <c r="C405" s="3294"/>
      <c r="D405" s="3290"/>
      <c r="E405" s="3294"/>
      <c r="F405" s="3290"/>
      <c r="G405" s="3290"/>
      <c r="H405" s="3290"/>
      <c r="I405" s="3290"/>
    </row>
    <row r="406" spans="1:9" ht="14.25">
      <c r="A406" s="3288"/>
      <c r="B406" s="3290"/>
      <c r="C406" s="3294"/>
      <c r="D406" s="3290"/>
      <c r="E406" s="3294"/>
      <c r="F406" s="3290"/>
      <c r="G406" s="3290"/>
      <c r="H406" s="3290"/>
      <c r="I406" s="3290"/>
    </row>
    <row r="407" spans="1:9" ht="14.25">
      <c r="A407" s="3288"/>
      <c r="B407" s="3290"/>
      <c r="C407" s="3294"/>
      <c r="D407" s="3290"/>
      <c r="E407" s="3294"/>
      <c r="F407" s="3290"/>
      <c r="G407" s="3290"/>
      <c r="H407" s="3290"/>
      <c r="I407" s="3290"/>
    </row>
    <row r="408" spans="1:9" ht="14.25">
      <c r="A408" s="3288"/>
      <c r="B408" s="3290"/>
      <c r="C408" s="3294"/>
      <c r="D408" s="3290"/>
      <c r="E408" s="3294"/>
      <c r="F408" s="3290"/>
      <c r="G408" s="3290"/>
      <c r="H408" s="3290"/>
      <c r="I408" s="3290"/>
    </row>
    <row r="409" spans="1:9" ht="14.25">
      <c r="A409" s="3288"/>
      <c r="B409" s="3290"/>
      <c r="C409" s="3294"/>
      <c r="D409" s="3290"/>
      <c r="E409" s="3294"/>
      <c r="F409" s="3290"/>
      <c r="G409" s="3290"/>
      <c r="H409" s="3290"/>
      <c r="I409" s="3290"/>
    </row>
    <row r="410" spans="1:9" ht="14.25">
      <c r="A410" s="3288">
        <v>233</v>
      </c>
      <c r="B410" s="3290" t="s">
        <v>4273</v>
      </c>
      <c r="C410" s="3294" t="s">
        <v>4274</v>
      </c>
      <c r="D410" s="3290"/>
      <c r="E410" s="3294">
        <v>85.16</v>
      </c>
      <c r="F410" s="3290" t="s">
        <v>3738</v>
      </c>
      <c r="G410" s="3290" t="s">
        <v>3983</v>
      </c>
      <c r="H410" s="3290" t="s">
        <v>3984</v>
      </c>
      <c r="I410" s="3290" t="s">
        <v>4275</v>
      </c>
    </row>
    <row r="411" spans="1:9" ht="14.25">
      <c r="A411" s="3288">
        <v>235</v>
      </c>
      <c r="B411" s="3290" t="s">
        <v>4273</v>
      </c>
      <c r="C411" s="3294" t="s">
        <v>4276</v>
      </c>
      <c r="D411" s="3290"/>
      <c r="E411" s="3294">
        <v>85.16</v>
      </c>
      <c r="F411" s="3290" t="s">
        <v>3738</v>
      </c>
      <c r="G411" s="3290" t="s">
        <v>3983</v>
      </c>
      <c r="H411" s="3290" t="s">
        <v>3984</v>
      </c>
      <c r="I411" s="3290" t="s">
        <v>4277</v>
      </c>
    </row>
    <row r="412" spans="1:9" ht="14.25">
      <c r="A412" s="3288">
        <v>374</v>
      </c>
      <c r="B412" s="3290" t="s">
        <v>4273</v>
      </c>
      <c r="C412" s="3294" t="s">
        <v>4278</v>
      </c>
      <c r="D412" s="3290"/>
      <c r="E412" s="3294">
        <v>85.16</v>
      </c>
      <c r="F412" s="3290" t="s">
        <v>3738</v>
      </c>
      <c r="G412" s="3290" t="s">
        <v>3983</v>
      </c>
      <c r="H412" s="3290" t="s">
        <v>3984</v>
      </c>
      <c r="I412" s="3290" t="s">
        <v>4279</v>
      </c>
    </row>
    <row r="413" spans="1:9" ht="14.25">
      <c r="A413" s="3288">
        <v>375</v>
      </c>
      <c r="B413" s="3290" t="s">
        <v>4273</v>
      </c>
      <c r="C413" s="3294" t="s">
        <v>4280</v>
      </c>
      <c r="D413" s="3290"/>
      <c r="E413" s="3294">
        <v>85.16</v>
      </c>
      <c r="F413" s="3290" t="s">
        <v>3738</v>
      </c>
      <c r="G413" s="3290" t="s">
        <v>3983</v>
      </c>
      <c r="H413" s="3290" t="s">
        <v>3984</v>
      </c>
      <c r="I413" s="3290" t="s">
        <v>4281</v>
      </c>
    </row>
    <row r="414" spans="1:9" ht="14.25">
      <c r="A414" s="3288">
        <v>376</v>
      </c>
      <c r="B414" s="3290" t="s">
        <v>4273</v>
      </c>
      <c r="C414" s="3294" t="s">
        <v>4282</v>
      </c>
      <c r="D414" s="3290"/>
      <c r="E414" s="3294">
        <v>85.16</v>
      </c>
      <c r="F414" s="3290" t="s">
        <v>3738</v>
      </c>
      <c r="G414" s="3290" t="s">
        <v>3983</v>
      </c>
      <c r="H414" s="3290" t="s">
        <v>3984</v>
      </c>
      <c r="I414" s="3290" t="s">
        <v>4283</v>
      </c>
    </row>
    <row r="415" spans="1:9" ht="14.25">
      <c r="A415" s="3288">
        <v>377</v>
      </c>
      <c r="B415" s="3290" t="s">
        <v>4273</v>
      </c>
      <c r="C415" s="3294" t="s">
        <v>4284</v>
      </c>
      <c r="D415" s="3290"/>
      <c r="E415" s="3294">
        <v>85.16</v>
      </c>
      <c r="F415" s="3290" t="s">
        <v>3738</v>
      </c>
      <c r="G415" s="3290" t="s">
        <v>3983</v>
      </c>
      <c r="H415" s="3290" t="s">
        <v>3984</v>
      </c>
      <c r="I415" s="3290" t="s">
        <v>4285</v>
      </c>
    </row>
    <row r="416" spans="1:9" ht="14.25">
      <c r="A416" s="3288">
        <v>378</v>
      </c>
      <c r="B416" s="3290" t="s">
        <v>4273</v>
      </c>
      <c r="C416" s="3294" t="s">
        <v>4286</v>
      </c>
      <c r="D416" s="3290"/>
      <c r="E416" s="3294">
        <v>85.16</v>
      </c>
      <c r="F416" s="3290" t="s">
        <v>3738</v>
      </c>
      <c r="G416" s="3290" t="s">
        <v>3983</v>
      </c>
      <c r="H416" s="3290" t="s">
        <v>3984</v>
      </c>
      <c r="I416" s="3290" t="s">
        <v>4287</v>
      </c>
    </row>
    <row r="417" spans="1:9" ht="14.25">
      <c r="A417" s="3288">
        <v>379</v>
      </c>
      <c r="B417" s="3290" t="s">
        <v>4273</v>
      </c>
      <c r="C417" s="3294" t="s">
        <v>4288</v>
      </c>
      <c r="D417" s="3290"/>
      <c r="E417" s="3294">
        <v>85.16</v>
      </c>
      <c r="F417" s="3290" t="s">
        <v>3738</v>
      </c>
      <c r="G417" s="3290" t="s">
        <v>3983</v>
      </c>
      <c r="H417" s="3290" t="s">
        <v>3984</v>
      </c>
      <c r="I417" s="3290" t="s">
        <v>4289</v>
      </c>
    </row>
    <row r="418" spans="1:9" ht="14.25">
      <c r="A418" s="3288">
        <v>380</v>
      </c>
      <c r="B418" s="3290" t="s">
        <v>4273</v>
      </c>
      <c r="C418" s="3294" t="s">
        <v>4290</v>
      </c>
      <c r="D418" s="3290"/>
      <c r="E418" s="3294">
        <v>85.16</v>
      </c>
      <c r="F418" s="3290" t="s">
        <v>3738</v>
      </c>
      <c r="G418" s="3290" t="s">
        <v>3983</v>
      </c>
      <c r="H418" s="3290" t="s">
        <v>3984</v>
      </c>
      <c r="I418" s="3290" t="s">
        <v>4291</v>
      </c>
    </row>
    <row r="419" spans="1:9" ht="14.25">
      <c r="A419" s="3288"/>
      <c r="B419" s="3290"/>
      <c r="C419" s="3294"/>
      <c r="D419" s="3290"/>
      <c r="E419" s="3294"/>
      <c r="F419" s="3290"/>
      <c r="G419" s="3290"/>
      <c r="H419" s="3290"/>
      <c r="I419" s="3290"/>
    </row>
    <row r="420" spans="1:9" ht="14.25">
      <c r="A420" s="3288"/>
      <c r="B420" s="3290"/>
      <c r="C420" s="3294"/>
      <c r="D420" s="3290"/>
      <c r="E420" s="3294"/>
      <c r="F420" s="3290"/>
      <c r="G420" s="3290"/>
      <c r="H420" s="3290"/>
      <c r="I420" s="3290"/>
    </row>
    <row r="421" spans="1:9" ht="14.25">
      <c r="A421" s="3288"/>
      <c r="B421" s="3290"/>
      <c r="C421" s="3294"/>
      <c r="D421" s="3290"/>
      <c r="E421" s="3294"/>
      <c r="F421" s="3290"/>
      <c r="G421" s="3290"/>
      <c r="H421" s="3290"/>
      <c r="I421" s="3290"/>
    </row>
    <row r="422" spans="1:9" ht="14.25">
      <c r="A422" s="3288"/>
      <c r="B422" s="3290"/>
      <c r="C422" s="3294"/>
      <c r="D422" s="3290"/>
      <c r="E422" s="3294"/>
      <c r="F422" s="3290"/>
      <c r="G422" s="3290"/>
      <c r="H422" s="3290"/>
      <c r="I422" s="3290"/>
    </row>
    <row r="423" spans="1:9" ht="14.25">
      <c r="A423" s="3288"/>
      <c r="B423" s="3290"/>
      <c r="C423" s="3294"/>
      <c r="D423" s="3290"/>
      <c r="E423" s="3294"/>
      <c r="F423" s="3290"/>
      <c r="G423" s="3290"/>
      <c r="H423" s="3290"/>
      <c r="I423" s="3290"/>
    </row>
    <row r="424" spans="1:9" ht="14.25">
      <c r="A424" s="3288"/>
      <c r="B424" s="3290"/>
      <c r="C424" s="3294"/>
      <c r="D424" s="3290"/>
      <c r="E424" s="3294"/>
      <c r="F424" s="3290"/>
      <c r="G424" s="3290"/>
      <c r="H424" s="3290"/>
      <c r="I424" s="3290"/>
    </row>
    <row r="425" spans="1:9" ht="14.25">
      <c r="A425" s="3288"/>
      <c r="B425" s="3290"/>
      <c r="C425" s="3294"/>
      <c r="D425" s="3290"/>
      <c r="E425" s="3294"/>
      <c r="F425" s="3290"/>
      <c r="G425" s="3290"/>
      <c r="H425" s="3290"/>
      <c r="I425" s="3290"/>
    </row>
    <row r="426" spans="1:9" ht="14.25">
      <c r="A426" s="3288"/>
      <c r="B426" s="3290"/>
      <c r="C426" s="3294"/>
      <c r="D426" s="3290"/>
      <c r="E426" s="3294"/>
      <c r="F426" s="3290"/>
      <c r="G426" s="3290"/>
      <c r="H426" s="3290"/>
      <c r="I426" s="3290"/>
    </row>
    <row r="427" spans="1:9" ht="14.25">
      <c r="A427" s="3288"/>
      <c r="B427" s="3290"/>
      <c r="C427" s="3294"/>
      <c r="D427" s="3290"/>
      <c r="E427" s="3294"/>
      <c r="F427" s="3290"/>
      <c r="G427" s="3290"/>
      <c r="H427" s="3290"/>
      <c r="I427" s="3290"/>
    </row>
    <row r="428" spans="1:9" ht="14.25">
      <c r="A428" s="3288">
        <v>60</v>
      </c>
      <c r="B428" s="3290" t="s">
        <v>4292</v>
      </c>
      <c r="C428" s="3294" t="s">
        <v>4293</v>
      </c>
      <c r="D428" s="3290"/>
      <c r="E428" s="3294">
        <v>110.68</v>
      </c>
      <c r="F428" s="3290" t="s">
        <v>3738</v>
      </c>
      <c r="G428" s="3290" t="s">
        <v>3983</v>
      </c>
      <c r="H428" s="3290" t="s">
        <v>3984</v>
      </c>
      <c r="I428" s="3290" t="s">
        <v>4294</v>
      </c>
    </row>
    <row r="429" spans="1:9" ht="14.25">
      <c r="A429" s="3288">
        <v>61</v>
      </c>
      <c r="B429" s="3290" t="s">
        <v>4292</v>
      </c>
      <c r="C429" s="3294" t="s">
        <v>4295</v>
      </c>
      <c r="D429" s="3290"/>
      <c r="E429" s="3294">
        <v>110.72</v>
      </c>
      <c r="F429" s="3290" t="s">
        <v>3738</v>
      </c>
      <c r="G429" s="3290" t="s">
        <v>3983</v>
      </c>
      <c r="H429" s="3290" t="s">
        <v>3984</v>
      </c>
      <c r="I429" s="3290" t="s">
        <v>4296</v>
      </c>
    </row>
    <row r="430" spans="1:9" ht="14.25">
      <c r="A430" s="3288">
        <v>62</v>
      </c>
      <c r="B430" s="3290" t="s">
        <v>4292</v>
      </c>
      <c r="C430" s="3294" t="s">
        <v>4297</v>
      </c>
      <c r="D430" s="3290"/>
      <c r="E430" s="3294">
        <v>110.68</v>
      </c>
      <c r="F430" s="3290" t="s">
        <v>3738</v>
      </c>
      <c r="G430" s="3290" t="s">
        <v>3983</v>
      </c>
      <c r="H430" s="3290" t="s">
        <v>3984</v>
      </c>
      <c r="I430" s="3290" t="s">
        <v>4298</v>
      </c>
    </row>
    <row r="431" spans="1:9" ht="14.25">
      <c r="A431" s="3288">
        <v>63</v>
      </c>
      <c r="B431" s="3290" t="s">
        <v>4292</v>
      </c>
      <c r="C431" s="3294" t="s">
        <v>4299</v>
      </c>
      <c r="D431" s="3290"/>
      <c r="E431" s="3294">
        <v>110.72</v>
      </c>
      <c r="F431" s="3290" t="s">
        <v>3738</v>
      </c>
      <c r="G431" s="3290" t="s">
        <v>3983</v>
      </c>
      <c r="H431" s="3290" t="s">
        <v>3984</v>
      </c>
      <c r="I431" s="3290" t="s">
        <v>4300</v>
      </c>
    </row>
    <row r="432" spans="1:9" ht="14.25">
      <c r="A432" s="3288">
        <v>64</v>
      </c>
      <c r="B432" s="3290" t="s">
        <v>4292</v>
      </c>
      <c r="C432" s="3294" t="s">
        <v>4301</v>
      </c>
      <c r="D432" s="3290"/>
      <c r="E432" s="3294">
        <v>110.68</v>
      </c>
      <c r="F432" s="3290" t="s">
        <v>3738</v>
      </c>
      <c r="G432" s="3290" t="s">
        <v>3983</v>
      </c>
      <c r="H432" s="3290" t="s">
        <v>3984</v>
      </c>
      <c r="I432" s="3290" t="s">
        <v>4302</v>
      </c>
    </row>
    <row r="433" spans="1:9" ht="14.25">
      <c r="A433" s="3288">
        <v>65</v>
      </c>
      <c r="B433" s="3290" t="s">
        <v>4292</v>
      </c>
      <c r="C433" s="3294" t="s">
        <v>4303</v>
      </c>
      <c r="D433" s="3290"/>
      <c r="E433" s="3294">
        <v>110.72</v>
      </c>
      <c r="F433" s="3290" t="s">
        <v>3738</v>
      </c>
      <c r="G433" s="3290" t="s">
        <v>3983</v>
      </c>
      <c r="H433" s="3290" t="s">
        <v>3984</v>
      </c>
      <c r="I433" s="3290" t="s">
        <v>4304</v>
      </c>
    </row>
    <row r="434" spans="1:9" ht="14.25">
      <c r="A434" s="3288">
        <v>66</v>
      </c>
      <c r="B434" s="3290" t="s">
        <v>4292</v>
      </c>
      <c r="C434" s="3294" t="s">
        <v>4305</v>
      </c>
      <c r="D434" s="3290"/>
      <c r="E434" s="3294">
        <v>238.88</v>
      </c>
      <c r="F434" s="3290" t="s">
        <v>3738</v>
      </c>
      <c r="G434" s="3290" t="s">
        <v>3983</v>
      </c>
      <c r="H434" s="3290" t="s">
        <v>3984</v>
      </c>
      <c r="I434" s="3290" t="s">
        <v>4306</v>
      </c>
    </row>
    <row r="435" spans="1:9" ht="14.25">
      <c r="A435" s="3288">
        <v>67</v>
      </c>
      <c r="B435" s="3290" t="s">
        <v>4292</v>
      </c>
      <c r="C435" s="3294" t="s">
        <v>4307</v>
      </c>
      <c r="D435" s="3290"/>
      <c r="E435" s="3294">
        <v>238.85</v>
      </c>
      <c r="F435" s="3290" t="s">
        <v>3738</v>
      </c>
      <c r="G435" s="3290" t="s">
        <v>3983</v>
      </c>
      <c r="H435" s="3290" t="s">
        <v>3984</v>
      </c>
      <c r="I435" s="3290" t="s">
        <v>4308</v>
      </c>
    </row>
    <row r="436" spans="1:9" ht="14.25">
      <c r="A436" s="3288">
        <v>68</v>
      </c>
      <c r="B436" s="3290" t="s">
        <v>4292</v>
      </c>
      <c r="C436" s="3294" t="s">
        <v>4309</v>
      </c>
      <c r="D436" s="3290"/>
      <c r="E436" s="3294">
        <v>110.68</v>
      </c>
      <c r="F436" s="3290" t="s">
        <v>3738</v>
      </c>
      <c r="G436" s="3290" t="s">
        <v>3983</v>
      </c>
      <c r="H436" s="3290" t="s">
        <v>4310</v>
      </c>
      <c r="I436" s="3290" t="s">
        <v>4311</v>
      </c>
    </row>
    <row r="437" spans="1:9" ht="14.25">
      <c r="A437" s="3288">
        <v>70</v>
      </c>
      <c r="B437" s="3290" t="s">
        <v>4292</v>
      </c>
      <c r="C437" s="3294" t="s">
        <v>4312</v>
      </c>
      <c r="D437" s="3290"/>
      <c r="E437" s="3294">
        <v>110.72</v>
      </c>
      <c r="F437" s="3290" t="s">
        <v>3738</v>
      </c>
      <c r="G437" s="3290" t="s">
        <v>3983</v>
      </c>
      <c r="H437" s="3290" t="s">
        <v>3984</v>
      </c>
      <c r="I437" s="3290" t="s">
        <v>4313</v>
      </c>
    </row>
    <row r="438" spans="1:9" ht="14.25">
      <c r="A438" s="3288">
        <v>71</v>
      </c>
      <c r="B438" s="3290" t="s">
        <v>4292</v>
      </c>
      <c r="C438" s="3294" t="s">
        <v>4314</v>
      </c>
      <c r="D438" s="3290"/>
      <c r="E438" s="3294">
        <v>110.68</v>
      </c>
      <c r="F438" s="3290" t="s">
        <v>3738</v>
      </c>
      <c r="G438" s="3290" t="s">
        <v>3983</v>
      </c>
      <c r="H438" s="3290" t="s">
        <v>3984</v>
      </c>
      <c r="I438" s="3290" t="s">
        <v>4315</v>
      </c>
    </row>
    <row r="439" spans="1:9" ht="14.25">
      <c r="A439" s="3288"/>
      <c r="B439" s="3290"/>
      <c r="C439" s="3294"/>
      <c r="D439" s="3290"/>
      <c r="E439" s="3294"/>
      <c r="F439" s="3290"/>
      <c r="G439" s="3290"/>
      <c r="H439" s="3290"/>
      <c r="I439" s="3290"/>
    </row>
    <row r="440" spans="1:9" ht="14.25">
      <c r="A440" s="3288"/>
      <c r="B440" s="3290"/>
      <c r="C440" s="3294"/>
      <c r="D440" s="3290"/>
      <c r="E440" s="3294"/>
      <c r="F440" s="3290"/>
      <c r="G440" s="3290"/>
      <c r="H440" s="3290"/>
      <c r="I440" s="3290"/>
    </row>
    <row r="441" spans="1:9" ht="14.25">
      <c r="A441" s="3288"/>
      <c r="B441" s="3290"/>
      <c r="C441" s="3294"/>
      <c r="D441" s="3290"/>
      <c r="E441" s="3294"/>
      <c r="F441" s="3290"/>
      <c r="G441" s="3290"/>
      <c r="H441" s="3290"/>
      <c r="I441" s="3290"/>
    </row>
    <row r="442" spans="1:9" ht="14.25">
      <c r="A442" s="3288"/>
      <c r="B442" s="3290"/>
      <c r="C442" s="3294"/>
      <c r="D442" s="3290"/>
      <c r="E442" s="3294"/>
      <c r="F442" s="3290"/>
      <c r="G442" s="3290"/>
      <c r="H442" s="3290"/>
      <c r="I442" s="3290"/>
    </row>
    <row r="443" spans="1:9" ht="14.25">
      <c r="A443" s="3288"/>
      <c r="B443" s="3290"/>
      <c r="C443" s="3294"/>
      <c r="D443" s="3290"/>
      <c r="E443" s="3294"/>
      <c r="F443" s="3290"/>
      <c r="G443" s="3290"/>
      <c r="H443" s="3290"/>
      <c r="I443" s="3290"/>
    </row>
    <row r="444" spans="1:9" ht="14.25">
      <c r="A444" s="3288"/>
      <c r="B444" s="3290"/>
      <c r="C444" s="3294"/>
      <c r="D444" s="3290"/>
      <c r="E444" s="3294"/>
      <c r="F444" s="3290"/>
      <c r="G444" s="3290"/>
      <c r="H444" s="3290"/>
      <c r="I444" s="3290"/>
    </row>
    <row r="445" spans="1:9" ht="14.25">
      <c r="A445" s="3288"/>
      <c r="B445" s="3290"/>
      <c r="C445" s="3294"/>
      <c r="D445" s="3290"/>
      <c r="E445" s="3294"/>
      <c r="F445" s="3290"/>
      <c r="G445" s="3290"/>
      <c r="H445" s="3290"/>
      <c r="I445" s="3290"/>
    </row>
    <row r="446" spans="1:9" ht="14.25">
      <c r="A446" s="3288"/>
      <c r="B446" s="3290"/>
      <c r="C446" s="3294"/>
      <c r="D446" s="3290"/>
      <c r="E446" s="3294"/>
      <c r="F446" s="3290"/>
      <c r="G446" s="3290"/>
      <c r="H446" s="3290"/>
      <c r="I446" s="3290"/>
    </row>
    <row r="447" spans="1:9" ht="14.25">
      <c r="A447" s="3288"/>
      <c r="B447" s="3290"/>
      <c r="C447" s="3294"/>
      <c r="D447" s="3290"/>
      <c r="E447" s="3294"/>
      <c r="F447" s="3290"/>
      <c r="G447" s="3290"/>
      <c r="H447" s="3290"/>
      <c r="I447" s="3290"/>
    </row>
    <row r="448" spans="1:9" ht="14.25">
      <c r="A448" s="3288"/>
      <c r="B448" s="3290"/>
      <c r="C448" s="3294"/>
      <c r="D448" s="3290"/>
      <c r="E448" s="3294"/>
      <c r="F448" s="3290"/>
      <c r="G448" s="3290"/>
      <c r="H448" s="3290"/>
      <c r="I448" s="3290"/>
    </row>
    <row r="449" spans="1:9" ht="14.25">
      <c r="A449" s="3288"/>
      <c r="B449" s="3290"/>
      <c r="C449" s="3294"/>
      <c r="D449" s="3290"/>
      <c r="E449" s="3294"/>
      <c r="F449" s="3290"/>
      <c r="G449" s="3290"/>
      <c r="H449" s="3290"/>
      <c r="I449" s="3290"/>
    </row>
    <row r="450" spans="1:9" ht="14.25">
      <c r="A450" s="3288"/>
      <c r="B450" s="3290"/>
      <c r="C450" s="3294"/>
      <c r="D450" s="3290"/>
      <c r="E450" s="3294"/>
      <c r="F450" s="3290"/>
      <c r="G450" s="3290"/>
      <c r="H450" s="3290"/>
      <c r="I450" s="3290"/>
    </row>
    <row r="451" spans="1:9" ht="14.25">
      <c r="A451" s="3288"/>
      <c r="B451" s="3290"/>
      <c r="C451" s="3294"/>
      <c r="D451" s="3290"/>
      <c r="E451" s="3294"/>
      <c r="F451" s="3290"/>
      <c r="G451" s="3290"/>
      <c r="H451" s="3290"/>
      <c r="I451" s="3290"/>
    </row>
    <row r="452" spans="1:9" ht="14.25">
      <c r="A452" s="3288">
        <v>74</v>
      </c>
      <c r="B452" s="3290" t="s">
        <v>4316</v>
      </c>
      <c r="C452" s="3294" t="s">
        <v>4317</v>
      </c>
      <c r="D452" s="3290"/>
      <c r="E452" s="3294">
        <v>85.16</v>
      </c>
      <c r="F452" s="3290" t="s">
        <v>3738</v>
      </c>
      <c r="G452" s="3290" t="s">
        <v>3983</v>
      </c>
      <c r="H452" s="3290" t="s">
        <v>3984</v>
      </c>
      <c r="I452" s="3290" t="s">
        <v>4318</v>
      </c>
    </row>
    <row r="453" spans="1:9" ht="14.25">
      <c r="A453" s="3288">
        <v>75</v>
      </c>
      <c r="B453" s="3290" t="s">
        <v>4316</v>
      </c>
      <c r="C453" s="3294" t="s">
        <v>4319</v>
      </c>
      <c r="D453" s="3290"/>
      <c r="E453" s="3294">
        <v>85.16</v>
      </c>
      <c r="F453" s="3290" t="s">
        <v>3738</v>
      </c>
      <c r="G453" s="3290" t="s">
        <v>3983</v>
      </c>
      <c r="H453" s="3290" t="s">
        <v>3984</v>
      </c>
      <c r="I453" s="3290" t="s">
        <v>4320</v>
      </c>
    </row>
    <row r="454" spans="1:9" ht="14.25">
      <c r="A454" s="3288">
        <v>76</v>
      </c>
      <c r="B454" s="3290" t="s">
        <v>4316</v>
      </c>
      <c r="C454" s="3294" t="s">
        <v>4321</v>
      </c>
      <c r="D454" s="3290"/>
      <c r="E454" s="3294">
        <v>85.16</v>
      </c>
      <c r="F454" s="3290" t="s">
        <v>3738</v>
      </c>
      <c r="G454" s="3290" t="s">
        <v>3983</v>
      </c>
      <c r="H454" s="3290" t="s">
        <v>3984</v>
      </c>
      <c r="I454" s="3290" t="s">
        <v>4322</v>
      </c>
    </row>
    <row r="455" spans="1:9" ht="14.25">
      <c r="A455" s="3288">
        <v>77</v>
      </c>
      <c r="B455" s="3290" t="s">
        <v>4316</v>
      </c>
      <c r="C455" s="3294" t="s">
        <v>4323</v>
      </c>
      <c r="D455" s="3290"/>
      <c r="E455" s="3294">
        <v>85.16</v>
      </c>
      <c r="F455" s="3290" t="s">
        <v>3738</v>
      </c>
      <c r="G455" s="3290" t="s">
        <v>3983</v>
      </c>
      <c r="H455" s="3290" t="s">
        <v>3984</v>
      </c>
      <c r="I455" s="3290" t="s">
        <v>4324</v>
      </c>
    </row>
    <row r="456" spans="1:9" ht="14.25">
      <c r="A456" s="3288">
        <v>78</v>
      </c>
      <c r="B456" s="3290" t="s">
        <v>4316</v>
      </c>
      <c r="C456" s="3294" t="s">
        <v>4325</v>
      </c>
      <c r="D456" s="3290"/>
      <c r="E456" s="3294">
        <v>85.16</v>
      </c>
      <c r="F456" s="3290" t="s">
        <v>3738</v>
      </c>
      <c r="G456" s="3290" t="s">
        <v>3983</v>
      </c>
      <c r="H456" s="3290" t="s">
        <v>3984</v>
      </c>
      <c r="I456" s="3290" t="s">
        <v>4326</v>
      </c>
    </row>
    <row r="457" spans="1:9" ht="14.25">
      <c r="A457" s="3288">
        <v>79</v>
      </c>
      <c r="B457" s="3290" t="s">
        <v>4316</v>
      </c>
      <c r="C457" s="3294" t="s">
        <v>4327</v>
      </c>
      <c r="D457" s="3290"/>
      <c r="E457" s="3294">
        <v>85.16</v>
      </c>
      <c r="F457" s="3290" t="s">
        <v>3738</v>
      </c>
      <c r="G457" s="3290" t="s">
        <v>3983</v>
      </c>
      <c r="H457" s="3290" t="s">
        <v>3984</v>
      </c>
      <c r="I457" s="3290" t="s">
        <v>4328</v>
      </c>
    </row>
    <row r="458" spans="1:9" ht="14.25">
      <c r="A458" s="3288">
        <v>80</v>
      </c>
      <c r="B458" s="3290" t="s">
        <v>4316</v>
      </c>
      <c r="C458" s="3294" t="s">
        <v>4329</v>
      </c>
      <c r="D458" s="3290"/>
      <c r="E458" s="3294">
        <v>85.16</v>
      </c>
      <c r="F458" s="3290" t="s">
        <v>3738</v>
      </c>
      <c r="G458" s="3290" t="s">
        <v>3983</v>
      </c>
      <c r="H458" s="3290" t="s">
        <v>3984</v>
      </c>
      <c r="I458" s="3290" t="s">
        <v>4330</v>
      </c>
    </row>
    <row r="459" spans="1:9" ht="14.25">
      <c r="A459" s="3288">
        <v>81</v>
      </c>
      <c r="B459" s="3290" t="s">
        <v>4316</v>
      </c>
      <c r="C459" s="3294" t="s">
        <v>4331</v>
      </c>
      <c r="D459" s="3290"/>
      <c r="E459" s="3294">
        <v>85.16</v>
      </c>
      <c r="F459" s="3290" t="s">
        <v>3738</v>
      </c>
      <c r="G459" s="3290" t="s">
        <v>3983</v>
      </c>
      <c r="H459" s="3290" t="s">
        <v>3984</v>
      </c>
      <c r="I459" s="3290" t="s">
        <v>4332</v>
      </c>
    </row>
    <row r="460" spans="1:9" ht="14.25">
      <c r="A460" s="3288">
        <v>82</v>
      </c>
      <c r="B460" s="3290" t="s">
        <v>4316</v>
      </c>
      <c r="C460" s="3294" t="s">
        <v>4333</v>
      </c>
      <c r="D460" s="3290"/>
      <c r="E460" s="3294">
        <v>85.16</v>
      </c>
      <c r="F460" s="3290" t="s">
        <v>3738</v>
      </c>
      <c r="G460" s="3290" t="s">
        <v>3983</v>
      </c>
      <c r="H460" s="3290" t="s">
        <v>3984</v>
      </c>
      <c r="I460" s="3290" t="s">
        <v>4334</v>
      </c>
    </row>
    <row r="461" spans="1:9" ht="14.25">
      <c r="A461" s="3288"/>
      <c r="B461" s="3290"/>
      <c r="C461" s="3294"/>
      <c r="D461" s="3290"/>
      <c r="E461" s="3294"/>
      <c r="F461" s="3290"/>
      <c r="G461" s="3290"/>
      <c r="H461" s="3290"/>
      <c r="I461" s="3290"/>
    </row>
    <row r="462" spans="1:9" ht="14.25">
      <c r="A462" s="3288"/>
      <c r="B462" s="3290"/>
      <c r="C462" s="3294"/>
      <c r="D462" s="3290"/>
      <c r="E462" s="3294"/>
      <c r="F462" s="3290"/>
      <c r="G462" s="3290"/>
      <c r="H462" s="3290"/>
      <c r="I462" s="3290"/>
    </row>
    <row r="463" spans="1:9" ht="14.25">
      <c r="A463" s="3288"/>
      <c r="B463" s="3290"/>
      <c r="C463" s="3294"/>
      <c r="D463" s="3290"/>
      <c r="E463" s="3294"/>
      <c r="F463" s="3290"/>
      <c r="G463" s="3290"/>
      <c r="H463" s="3290"/>
      <c r="I463" s="3290"/>
    </row>
    <row r="464" spans="1:9" ht="14.25">
      <c r="A464" s="3288"/>
      <c r="B464" s="3290"/>
      <c r="C464" s="3294"/>
      <c r="D464" s="3290"/>
      <c r="E464" s="3294"/>
      <c r="F464" s="3290"/>
      <c r="G464" s="3290"/>
      <c r="H464" s="3290"/>
      <c r="I464" s="3290"/>
    </row>
    <row r="465" spans="1:9" ht="14.25">
      <c r="A465" s="3288"/>
      <c r="B465" s="3290"/>
      <c r="C465" s="3294"/>
      <c r="D465" s="3290"/>
      <c r="E465" s="3294"/>
      <c r="F465" s="3290"/>
      <c r="G465" s="3290"/>
      <c r="H465" s="3290"/>
      <c r="I465" s="3290"/>
    </row>
    <row r="466" spans="1:9" ht="14.25">
      <c r="A466" s="3288"/>
      <c r="B466" s="3290"/>
      <c r="C466" s="3294"/>
      <c r="D466" s="3290"/>
      <c r="E466" s="3294"/>
      <c r="F466" s="3290"/>
      <c r="G466" s="3290"/>
      <c r="H466" s="3290"/>
      <c r="I466" s="3290"/>
    </row>
    <row r="467" spans="1:9" ht="14.25">
      <c r="A467" s="3288"/>
      <c r="B467" s="3290"/>
      <c r="C467" s="3294"/>
      <c r="D467" s="3290"/>
      <c r="E467" s="3294"/>
      <c r="F467" s="3290"/>
      <c r="G467" s="3290"/>
      <c r="H467" s="3290"/>
      <c r="I467" s="3290"/>
    </row>
    <row r="468" spans="1:9" ht="14.25">
      <c r="A468" s="3288"/>
      <c r="B468" s="3290"/>
      <c r="C468" s="3294"/>
      <c r="D468" s="3290"/>
      <c r="E468" s="3294"/>
      <c r="F468" s="3290"/>
      <c r="G468" s="3290"/>
      <c r="H468" s="3290"/>
      <c r="I468" s="3290"/>
    </row>
    <row r="469" spans="1:9" ht="14.25">
      <c r="A469" s="3288"/>
      <c r="B469" s="3290"/>
      <c r="C469" s="3294"/>
      <c r="D469" s="3290"/>
      <c r="E469" s="3294"/>
      <c r="F469" s="3290"/>
      <c r="G469" s="3290"/>
      <c r="H469" s="3290"/>
      <c r="I469" s="3290"/>
    </row>
    <row r="470" spans="1:9" ht="14.25">
      <c r="A470" s="3288">
        <v>83</v>
      </c>
      <c r="B470" s="3290" t="s">
        <v>4335</v>
      </c>
      <c r="C470" s="3294" t="s">
        <v>4336</v>
      </c>
      <c r="D470" s="3290"/>
      <c r="E470" s="3294">
        <v>125.6</v>
      </c>
      <c r="F470" s="3290" t="s">
        <v>3738</v>
      </c>
      <c r="G470" s="3290" t="s">
        <v>3983</v>
      </c>
      <c r="H470" s="3290" t="s">
        <v>3984</v>
      </c>
      <c r="I470" s="3290" t="s">
        <v>4337</v>
      </c>
    </row>
    <row r="471" spans="1:9" ht="14.25">
      <c r="A471" s="3288">
        <v>84</v>
      </c>
      <c r="B471" s="3290" t="s">
        <v>4335</v>
      </c>
      <c r="C471" s="3294" t="s">
        <v>4338</v>
      </c>
      <c r="D471" s="3290"/>
      <c r="E471" s="3294">
        <v>124.57</v>
      </c>
      <c r="F471" s="3290" t="s">
        <v>3738</v>
      </c>
      <c r="G471" s="3290" t="s">
        <v>3983</v>
      </c>
      <c r="H471" s="3290" t="s">
        <v>3984</v>
      </c>
      <c r="I471" s="3290" t="s">
        <v>4339</v>
      </c>
    </row>
    <row r="472" spans="1:9" ht="14.25">
      <c r="A472" s="3288">
        <v>85</v>
      </c>
      <c r="B472" s="3290" t="s">
        <v>4335</v>
      </c>
      <c r="C472" s="3294" t="s">
        <v>4340</v>
      </c>
      <c r="D472" s="3290"/>
      <c r="E472" s="3294">
        <v>124.57</v>
      </c>
      <c r="F472" s="3290" t="s">
        <v>3738</v>
      </c>
      <c r="G472" s="3290" t="s">
        <v>3983</v>
      </c>
      <c r="H472" s="3290" t="s">
        <v>3984</v>
      </c>
      <c r="I472" s="3290" t="s">
        <v>4341</v>
      </c>
    </row>
    <row r="473" spans="1:9" ht="14.25">
      <c r="A473" s="3288">
        <v>86</v>
      </c>
      <c r="B473" s="3290" t="s">
        <v>4335</v>
      </c>
      <c r="C473" s="3294" t="s">
        <v>4342</v>
      </c>
      <c r="D473" s="3290"/>
      <c r="E473" s="3294">
        <v>124.77</v>
      </c>
      <c r="F473" s="3290" t="s">
        <v>3738</v>
      </c>
      <c r="G473" s="3290" t="s">
        <v>3983</v>
      </c>
      <c r="H473" s="3290" t="s">
        <v>3984</v>
      </c>
      <c r="I473" s="3290" t="s">
        <v>4343</v>
      </c>
    </row>
    <row r="474" spans="1:9" ht="14.25">
      <c r="A474" s="3288">
        <v>87</v>
      </c>
      <c r="B474" s="3290" t="s">
        <v>4335</v>
      </c>
      <c r="C474" s="3294" t="s">
        <v>4344</v>
      </c>
      <c r="D474" s="3290"/>
      <c r="E474" s="3294">
        <v>124.57</v>
      </c>
      <c r="F474" s="3290" t="s">
        <v>3738</v>
      </c>
      <c r="G474" s="3290" t="s">
        <v>3983</v>
      </c>
      <c r="H474" s="3290" t="s">
        <v>3984</v>
      </c>
      <c r="I474" s="3290" t="s">
        <v>4345</v>
      </c>
    </row>
    <row r="475" spans="1:9" ht="14.25">
      <c r="A475" s="3288">
        <v>88</v>
      </c>
      <c r="B475" s="3290" t="s">
        <v>4335</v>
      </c>
      <c r="C475" s="3294" t="s">
        <v>4346</v>
      </c>
      <c r="D475" s="3290"/>
      <c r="E475" s="3294">
        <v>199.73</v>
      </c>
      <c r="F475" s="3290" t="s">
        <v>3738</v>
      </c>
      <c r="G475" s="3290" t="s">
        <v>3983</v>
      </c>
      <c r="H475" s="3290" t="s">
        <v>3984</v>
      </c>
      <c r="I475" s="3290" t="s">
        <v>4347</v>
      </c>
    </row>
    <row r="476" spans="1:9" ht="14.25">
      <c r="A476" s="3288">
        <v>89</v>
      </c>
      <c r="B476" s="3290" t="s">
        <v>4335</v>
      </c>
      <c r="C476" s="3294" t="s">
        <v>4348</v>
      </c>
      <c r="D476" s="3290"/>
      <c r="E476" s="3294">
        <v>124.57</v>
      </c>
      <c r="F476" s="3290" t="s">
        <v>3738</v>
      </c>
      <c r="G476" s="3290" t="s">
        <v>3983</v>
      </c>
      <c r="H476" s="3290" t="s">
        <v>3984</v>
      </c>
      <c r="I476" s="3296" t="s">
        <v>4349</v>
      </c>
    </row>
    <row r="477" spans="1:9" ht="14.25">
      <c r="A477" s="3288">
        <v>90</v>
      </c>
      <c r="B477" s="3290" t="s">
        <v>4335</v>
      </c>
      <c r="C477" s="3294" t="s">
        <v>4350</v>
      </c>
      <c r="D477" s="3290"/>
      <c r="E477" s="3294">
        <v>125.6</v>
      </c>
      <c r="F477" s="3290" t="s">
        <v>3738</v>
      </c>
      <c r="G477" s="3290" t="s">
        <v>3983</v>
      </c>
      <c r="H477" s="3290" t="s">
        <v>3984</v>
      </c>
      <c r="I477" s="3296" t="s">
        <v>4351</v>
      </c>
    </row>
    <row r="478" spans="1:9" ht="14.25">
      <c r="A478" s="3288">
        <v>91</v>
      </c>
      <c r="B478" s="3290" t="s">
        <v>4335</v>
      </c>
      <c r="C478" s="3294" t="s">
        <v>4352</v>
      </c>
      <c r="D478" s="3290"/>
      <c r="E478" s="3294">
        <v>199.73</v>
      </c>
      <c r="F478" s="3290" t="s">
        <v>3738</v>
      </c>
      <c r="G478" s="3290" t="s">
        <v>3983</v>
      </c>
      <c r="H478" s="3290" t="s">
        <v>3984</v>
      </c>
      <c r="I478" s="3290" t="s">
        <v>4353</v>
      </c>
    </row>
    <row r="479" spans="1:9" ht="14.25">
      <c r="A479" s="3288">
        <v>92</v>
      </c>
      <c r="B479" s="3290" t="s">
        <v>4335</v>
      </c>
      <c r="C479" s="3294" t="s">
        <v>4354</v>
      </c>
      <c r="D479" s="3290"/>
      <c r="E479" s="3294">
        <v>199.05</v>
      </c>
      <c r="F479" s="3290" t="s">
        <v>3738</v>
      </c>
      <c r="G479" s="3290" t="s">
        <v>3983</v>
      </c>
      <c r="H479" s="3290" t="s">
        <v>3984</v>
      </c>
      <c r="I479" s="3290" t="s">
        <v>4355</v>
      </c>
    </row>
    <row r="480" spans="1:9" ht="14.25">
      <c r="A480" s="3288">
        <v>93</v>
      </c>
      <c r="B480" s="3290" t="s">
        <v>4335</v>
      </c>
      <c r="C480" s="3294" t="s">
        <v>4356</v>
      </c>
      <c r="D480" s="3290"/>
      <c r="E480" s="3294">
        <v>199.05</v>
      </c>
      <c r="F480" s="3290" t="s">
        <v>3738</v>
      </c>
      <c r="G480" s="3290" t="s">
        <v>3983</v>
      </c>
      <c r="H480" s="3290" t="s">
        <v>3984</v>
      </c>
      <c r="I480" s="3290" t="s">
        <v>4357</v>
      </c>
    </row>
    <row r="481" spans="1:9" ht="14.25">
      <c r="A481" s="3288">
        <v>95</v>
      </c>
      <c r="B481" s="3290" t="s">
        <v>4335</v>
      </c>
      <c r="C481" s="3294" t="s">
        <v>4358</v>
      </c>
      <c r="D481" s="3290"/>
      <c r="E481" s="3294">
        <v>124.77</v>
      </c>
      <c r="F481" s="3290" t="s">
        <v>3738</v>
      </c>
      <c r="G481" s="3290" t="s">
        <v>3983</v>
      </c>
      <c r="H481" s="3290" t="s">
        <v>3984</v>
      </c>
      <c r="I481" s="3290" t="s">
        <v>4359</v>
      </c>
    </row>
    <row r="482" spans="1:9" ht="14.25">
      <c r="A482" s="3288">
        <v>97</v>
      </c>
      <c r="B482" s="3290" t="s">
        <v>4335</v>
      </c>
      <c r="C482" s="3294" t="s">
        <v>4360</v>
      </c>
      <c r="D482" s="3290"/>
      <c r="E482" s="3294">
        <v>199.05</v>
      </c>
      <c r="F482" s="3290" t="s">
        <v>3738</v>
      </c>
      <c r="G482" s="3290" t="s">
        <v>3983</v>
      </c>
      <c r="H482" s="3290" t="s">
        <v>3984</v>
      </c>
      <c r="I482" s="3290" t="s">
        <v>4361</v>
      </c>
    </row>
    <row r="483" spans="1:9" ht="14.25">
      <c r="A483" s="3288">
        <v>98</v>
      </c>
      <c r="B483" s="3290" t="s">
        <v>4335</v>
      </c>
      <c r="C483" s="3294" t="s">
        <v>4362</v>
      </c>
      <c r="D483" s="3290"/>
      <c r="E483" s="3294">
        <v>199.05</v>
      </c>
      <c r="F483" s="3290" t="s">
        <v>3738</v>
      </c>
      <c r="G483" s="3290" t="s">
        <v>3983</v>
      </c>
      <c r="H483" s="3290" t="s">
        <v>3984</v>
      </c>
      <c r="I483" s="3290" t="s">
        <v>4363</v>
      </c>
    </row>
    <row r="484" spans="1:9" ht="14.25">
      <c r="A484" s="3288"/>
      <c r="B484" s="3290"/>
      <c r="C484" s="3294"/>
      <c r="D484" s="3290"/>
      <c r="E484" s="3294"/>
      <c r="F484" s="3290"/>
      <c r="G484" s="3290"/>
      <c r="H484" s="3290"/>
      <c r="I484" s="3290"/>
    </row>
    <row r="485" spans="1:9" ht="14.25">
      <c r="A485" s="3288"/>
      <c r="B485" s="3290"/>
      <c r="C485" s="3294"/>
      <c r="D485" s="3290"/>
      <c r="E485" s="3294"/>
      <c r="F485" s="3290"/>
      <c r="G485" s="3290"/>
      <c r="H485" s="3290"/>
      <c r="I485" s="3290"/>
    </row>
    <row r="486" spans="1:9" ht="14.25">
      <c r="A486" s="3288">
        <v>99</v>
      </c>
      <c r="B486" s="3290" t="s">
        <v>4364</v>
      </c>
      <c r="C486" s="3294" t="s">
        <v>4365</v>
      </c>
      <c r="D486" s="3290"/>
      <c r="E486" s="3294">
        <v>126.76</v>
      </c>
      <c r="F486" s="3290" t="s">
        <v>3738</v>
      </c>
      <c r="G486" s="3290" t="s">
        <v>3983</v>
      </c>
      <c r="H486" s="3290" t="s">
        <v>3984</v>
      </c>
      <c r="I486" s="3290" t="s">
        <v>4366</v>
      </c>
    </row>
    <row r="487" spans="1:9" ht="14.25">
      <c r="A487" s="3288">
        <v>100</v>
      </c>
      <c r="B487" s="3290" t="s">
        <v>4364</v>
      </c>
      <c r="C487" s="3294" t="s">
        <v>4367</v>
      </c>
      <c r="D487" s="3290"/>
      <c r="E487" s="3294">
        <v>126.76</v>
      </c>
      <c r="F487" s="3290" t="s">
        <v>3738</v>
      </c>
      <c r="G487" s="3290" t="s">
        <v>3983</v>
      </c>
      <c r="H487" s="3290" t="s">
        <v>3984</v>
      </c>
      <c r="I487" s="3290" t="s">
        <v>4368</v>
      </c>
    </row>
    <row r="488" spans="1:9" ht="14.25">
      <c r="A488" s="3288">
        <v>101</v>
      </c>
      <c r="B488" s="3290" t="s">
        <v>4364</v>
      </c>
      <c r="C488" s="3294" t="s">
        <v>4369</v>
      </c>
      <c r="D488" s="3290"/>
      <c r="E488" s="3294">
        <v>202.48</v>
      </c>
      <c r="F488" s="3290" t="s">
        <v>3738</v>
      </c>
      <c r="G488" s="3290" t="s">
        <v>3983</v>
      </c>
      <c r="H488" s="3290" t="s">
        <v>3984</v>
      </c>
      <c r="I488" s="3290" t="s">
        <v>4370</v>
      </c>
    </row>
    <row r="489" spans="1:9" ht="14.25">
      <c r="A489" s="3288"/>
      <c r="B489" s="3290"/>
      <c r="C489" s="3294"/>
      <c r="D489" s="3290"/>
      <c r="E489" s="3294"/>
      <c r="F489" s="3290"/>
      <c r="G489" s="3290"/>
      <c r="H489" s="3290"/>
      <c r="I489" s="3290"/>
    </row>
    <row r="490" spans="1:9" ht="14.25">
      <c r="A490" s="3288">
        <v>105</v>
      </c>
      <c r="B490" s="3290" t="s">
        <v>4371</v>
      </c>
      <c r="C490" s="3294" t="s">
        <v>4372</v>
      </c>
      <c r="D490" s="3290"/>
      <c r="E490" s="3294">
        <v>200.17</v>
      </c>
      <c r="F490" s="3290" t="s">
        <v>3738</v>
      </c>
      <c r="G490" s="3290" t="s">
        <v>3983</v>
      </c>
      <c r="H490" s="3290" t="s">
        <v>3984</v>
      </c>
      <c r="I490" s="3290" t="s">
        <v>4373</v>
      </c>
    </row>
    <row r="491" spans="1:9" ht="14.25">
      <c r="A491" s="3288">
        <v>106</v>
      </c>
      <c r="B491" s="3290" t="s">
        <v>4371</v>
      </c>
      <c r="C491" s="3294" t="s">
        <v>4374</v>
      </c>
      <c r="D491" s="3290"/>
      <c r="E491" s="3294">
        <v>200.17</v>
      </c>
      <c r="F491" s="3290" t="s">
        <v>3738</v>
      </c>
      <c r="G491" s="3290" t="s">
        <v>3983</v>
      </c>
      <c r="H491" s="3290" t="s">
        <v>3984</v>
      </c>
      <c r="I491" s="3290" t="s">
        <v>4375</v>
      </c>
    </row>
    <row r="492" spans="1:9" ht="14.25">
      <c r="A492" s="3288">
        <v>107</v>
      </c>
      <c r="B492" s="3290" t="s">
        <v>4371</v>
      </c>
      <c r="C492" s="3294" t="s">
        <v>4376</v>
      </c>
      <c r="D492" s="3290"/>
      <c r="E492" s="3294">
        <v>125.73</v>
      </c>
      <c r="F492" s="3290" t="s">
        <v>3738</v>
      </c>
      <c r="G492" s="3290" t="s">
        <v>3983</v>
      </c>
      <c r="H492" s="3290" t="s">
        <v>3984</v>
      </c>
      <c r="I492" s="3290" t="s">
        <v>4377</v>
      </c>
    </row>
    <row r="493" spans="1:9" ht="14.25">
      <c r="A493" s="3288">
        <v>108</v>
      </c>
      <c r="B493" s="3290" t="s">
        <v>4371</v>
      </c>
      <c r="C493" s="3294" t="s">
        <v>4378</v>
      </c>
      <c r="D493" s="3290"/>
      <c r="E493" s="3294">
        <v>199.49</v>
      </c>
      <c r="F493" s="3290" t="s">
        <v>3738</v>
      </c>
      <c r="G493" s="3290" t="s">
        <v>3983</v>
      </c>
      <c r="H493" s="3290" t="s">
        <v>3984</v>
      </c>
      <c r="I493" s="3290" t="s">
        <v>4379</v>
      </c>
    </row>
    <row r="494" spans="1:9" ht="14.25">
      <c r="A494" s="3288">
        <v>109</v>
      </c>
      <c r="B494" s="3290" t="s">
        <v>4371</v>
      </c>
      <c r="C494" s="3294" t="s">
        <v>4380</v>
      </c>
      <c r="D494" s="3290"/>
      <c r="E494" s="3294">
        <v>124.71</v>
      </c>
      <c r="F494" s="3290" t="s">
        <v>3738</v>
      </c>
      <c r="G494" s="3290" t="s">
        <v>3983</v>
      </c>
      <c r="H494" s="3290" t="s">
        <v>3984</v>
      </c>
      <c r="I494" s="3290" t="s">
        <v>4381</v>
      </c>
    </row>
    <row r="495" spans="1:9" ht="14.25">
      <c r="A495" s="3288">
        <v>110</v>
      </c>
      <c r="B495" s="3290" t="s">
        <v>4371</v>
      </c>
      <c r="C495" s="3294" t="s">
        <v>4382</v>
      </c>
      <c r="D495" s="3290"/>
      <c r="E495" s="3294">
        <v>125.73</v>
      </c>
      <c r="F495" s="3290" t="s">
        <v>3738</v>
      </c>
      <c r="G495" s="3290" t="s">
        <v>3983</v>
      </c>
      <c r="H495" s="3290" t="s">
        <v>3984</v>
      </c>
      <c r="I495" s="3290" t="s">
        <v>4383</v>
      </c>
    </row>
    <row r="496" spans="1:9" ht="14.25">
      <c r="A496" s="3288"/>
      <c r="B496" s="3290"/>
      <c r="C496" s="3294"/>
      <c r="D496" s="3290"/>
      <c r="E496" s="3294"/>
      <c r="F496" s="3290"/>
      <c r="G496" s="3290"/>
      <c r="H496" s="3290"/>
      <c r="I496" s="3290"/>
    </row>
    <row r="497" spans="1:9" ht="14.25">
      <c r="A497" s="3288"/>
      <c r="B497" s="3290"/>
      <c r="C497" s="3294"/>
      <c r="D497" s="3290"/>
      <c r="E497" s="3294"/>
      <c r="F497" s="3290"/>
      <c r="G497" s="3290"/>
      <c r="H497" s="3290"/>
      <c r="I497" s="3290"/>
    </row>
    <row r="498" spans="1:9" ht="14.25">
      <c r="A498" s="3288">
        <v>112</v>
      </c>
      <c r="B498" s="3290" t="s">
        <v>4384</v>
      </c>
      <c r="C498" s="3294" t="s">
        <v>4385</v>
      </c>
      <c r="D498" s="3290"/>
      <c r="E498" s="3294">
        <v>202.48</v>
      </c>
      <c r="F498" s="3290" t="s">
        <v>3738</v>
      </c>
      <c r="G498" s="3290" t="s">
        <v>3983</v>
      </c>
      <c r="H498" s="3290" t="s">
        <v>3984</v>
      </c>
      <c r="I498" s="3290" t="s">
        <v>4386</v>
      </c>
    </row>
    <row r="499" spans="1:9" ht="14.25">
      <c r="A499" s="3288">
        <v>113</v>
      </c>
      <c r="B499" s="3290" t="s">
        <v>4384</v>
      </c>
      <c r="C499" s="3294" t="s">
        <v>4387</v>
      </c>
      <c r="D499" s="3290"/>
      <c r="E499" s="3294">
        <v>126.76</v>
      </c>
      <c r="F499" s="3290" t="s">
        <v>3738</v>
      </c>
      <c r="G499" s="3290" t="s">
        <v>3983</v>
      </c>
      <c r="H499" s="3290" t="s">
        <v>3984</v>
      </c>
      <c r="I499" s="3290" t="s">
        <v>4388</v>
      </c>
    </row>
    <row r="500" spans="1:9" ht="14.25">
      <c r="A500" s="3288">
        <v>114</v>
      </c>
      <c r="B500" s="3290" t="s">
        <v>4384</v>
      </c>
      <c r="C500" s="3294" t="s">
        <v>4389</v>
      </c>
      <c r="D500" s="3290"/>
      <c r="E500" s="3294">
        <v>126.76</v>
      </c>
      <c r="F500" s="3290" t="s">
        <v>3738</v>
      </c>
      <c r="G500" s="3290" t="s">
        <v>3983</v>
      </c>
      <c r="H500" s="3290" t="s">
        <v>3984</v>
      </c>
      <c r="I500" s="3290" t="s">
        <v>4390</v>
      </c>
    </row>
    <row r="501" spans="1:9" ht="14.25">
      <c r="A501" s="3288"/>
      <c r="B501" s="3290"/>
      <c r="C501" s="3294"/>
      <c r="D501" s="3290"/>
      <c r="E501" s="3294"/>
      <c r="F501" s="3290"/>
      <c r="G501" s="3290"/>
      <c r="H501" s="3290"/>
      <c r="I501" s="3290"/>
    </row>
    <row r="502" spans="1:9" ht="14.25">
      <c r="A502" s="3288"/>
      <c r="B502" s="3290"/>
      <c r="C502" s="3294"/>
      <c r="D502" s="3290"/>
      <c r="E502" s="3294"/>
      <c r="F502" s="3290"/>
      <c r="G502" s="3290"/>
      <c r="H502" s="3290"/>
      <c r="I502" s="3290"/>
    </row>
    <row r="503" spans="1:9" ht="14.25">
      <c r="A503" s="3288"/>
      <c r="B503" s="3290"/>
      <c r="C503" s="3294"/>
      <c r="D503" s="3290"/>
      <c r="E503" s="3294"/>
      <c r="F503" s="3290"/>
      <c r="G503" s="3290"/>
      <c r="H503" s="3290"/>
      <c r="I503" s="3290"/>
    </row>
    <row r="504" spans="1:9" ht="14.25">
      <c r="A504" s="3288"/>
      <c r="B504" s="3290"/>
      <c r="C504" s="3294"/>
      <c r="D504" s="3290"/>
      <c r="E504" s="3294"/>
      <c r="F504" s="3290"/>
      <c r="G504" s="3290"/>
      <c r="H504" s="3290"/>
      <c r="I504" s="3290"/>
    </row>
    <row r="505" spans="1:9" ht="14.25">
      <c r="A505" s="3288"/>
      <c r="B505" s="3290"/>
      <c r="C505" s="3294"/>
      <c r="D505" s="3290"/>
      <c r="E505" s="3294"/>
      <c r="F505" s="3290"/>
      <c r="G505" s="3290"/>
      <c r="H505" s="3290"/>
      <c r="I505" s="3290"/>
    </row>
    <row r="506" spans="1:9" ht="14.25">
      <c r="A506" s="3288"/>
      <c r="B506" s="3290"/>
      <c r="C506" s="3294"/>
      <c r="D506" s="3290"/>
      <c r="E506" s="3294"/>
      <c r="F506" s="3290"/>
      <c r="G506" s="3290"/>
      <c r="H506" s="3290"/>
      <c r="I506" s="3290"/>
    </row>
    <row r="507" spans="1:9" ht="14.25">
      <c r="A507" s="3288"/>
      <c r="B507" s="3290"/>
      <c r="C507" s="3294"/>
      <c r="D507" s="3290"/>
      <c r="E507" s="3294"/>
      <c r="F507" s="3290"/>
      <c r="G507" s="3290"/>
      <c r="H507" s="3290"/>
      <c r="I507" s="3290"/>
    </row>
    <row r="508" spans="1:9" ht="14.25">
      <c r="A508" s="3288"/>
      <c r="B508" s="3290"/>
      <c r="C508" s="3294"/>
      <c r="D508" s="3290"/>
      <c r="E508" s="3294"/>
      <c r="F508" s="3290"/>
      <c r="G508" s="3290"/>
      <c r="H508" s="3290"/>
      <c r="I508" s="3290"/>
    </row>
    <row r="509" spans="1:9" ht="14.25">
      <c r="A509" s="3288"/>
      <c r="B509" s="3290"/>
      <c r="C509" s="3294"/>
      <c r="D509" s="3290"/>
      <c r="E509" s="3294"/>
      <c r="F509" s="3290"/>
      <c r="G509" s="3290"/>
      <c r="H509" s="3290"/>
      <c r="I509" s="3290"/>
    </row>
    <row r="510" spans="1:9" ht="14.25">
      <c r="A510" s="3288"/>
      <c r="B510" s="3290"/>
      <c r="C510" s="3294"/>
      <c r="D510" s="3290"/>
      <c r="E510" s="3294"/>
      <c r="F510" s="3290"/>
      <c r="G510" s="3290"/>
      <c r="H510" s="3290"/>
      <c r="I510" s="3290"/>
    </row>
    <row r="511" spans="1:9" ht="14.25">
      <c r="A511" s="3288"/>
      <c r="B511" s="3290"/>
      <c r="C511" s="3294"/>
      <c r="D511" s="3290"/>
      <c r="E511" s="3294"/>
      <c r="F511" s="3290"/>
      <c r="G511" s="3290"/>
      <c r="H511" s="3290"/>
      <c r="I511" s="3290"/>
    </row>
    <row r="512" spans="1:9" ht="14.25">
      <c r="A512" s="3288"/>
      <c r="B512" s="3290"/>
      <c r="C512" s="3294"/>
      <c r="D512" s="3290"/>
      <c r="E512" s="3294"/>
      <c r="F512" s="3290"/>
      <c r="G512" s="3290"/>
      <c r="H512" s="3290"/>
      <c r="I512" s="3290"/>
    </row>
    <row r="513" spans="1:9" ht="14.25">
      <c r="A513" s="3288"/>
      <c r="B513" s="3290"/>
      <c r="C513" s="3294"/>
      <c r="D513" s="3290"/>
      <c r="E513" s="3294"/>
      <c r="F513" s="3290"/>
      <c r="G513" s="3290"/>
      <c r="H513" s="3290"/>
      <c r="I513" s="3290"/>
    </row>
    <row r="514" spans="1:9" ht="14.25">
      <c r="A514" s="3288"/>
      <c r="B514" s="3290"/>
      <c r="C514" s="3294"/>
      <c r="D514" s="3290"/>
      <c r="E514" s="3294"/>
      <c r="F514" s="3290"/>
      <c r="G514" s="3290"/>
      <c r="H514" s="3290"/>
      <c r="I514" s="3290"/>
    </row>
    <row r="515" spans="1:9" ht="14.25">
      <c r="A515" s="3288"/>
      <c r="B515" s="3290"/>
      <c r="C515" s="3294"/>
      <c r="D515" s="3290"/>
      <c r="E515" s="3294"/>
      <c r="F515" s="3290"/>
      <c r="G515" s="3290"/>
      <c r="H515" s="3290"/>
      <c r="I515" s="3290"/>
    </row>
    <row r="516" spans="1:9" ht="14.25">
      <c r="A516" s="3288"/>
      <c r="B516" s="3290"/>
      <c r="C516" s="3294"/>
      <c r="D516" s="3290"/>
      <c r="E516" s="3294"/>
      <c r="F516" s="3290"/>
      <c r="G516" s="3290"/>
      <c r="H516" s="3290"/>
      <c r="I516" s="3290"/>
    </row>
    <row r="517" spans="1:9" ht="14.25">
      <c r="A517" s="3288"/>
      <c r="B517" s="3290"/>
      <c r="C517" s="3294"/>
      <c r="D517" s="3290"/>
      <c r="E517" s="3294"/>
      <c r="F517" s="3290"/>
      <c r="G517" s="3290"/>
      <c r="H517" s="3290"/>
      <c r="I517" s="3290"/>
    </row>
    <row r="518" spans="1:9" ht="14.25">
      <c r="A518" s="3288"/>
      <c r="B518" s="3290"/>
      <c r="C518" s="3294"/>
      <c r="D518" s="3290"/>
      <c r="E518" s="3294"/>
      <c r="F518" s="3290"/>
      <c r="G518" s="3290"/>
      <c r="H518" s="3290"/>
      <c r="I518" s="3290"/>
    </row>
    <row r="519" spans="1:9" ht="14.25">
      <c r="A519" s="3288"/>
      <c r="B519" s="3290"/>
      <c r="C519" s="3294"/>
      <c r="D519" s="3290"/>
      <c r="E519" s="3294"/>
      <c r="F519" s="3290"/>
      <c r="G519" s="3290"/>
      <c r="H519" s="3290"/>
      <c r="I519" s="3290"/>
    </row>
    <row r="520" spans="1:9" ht="14.25">
      <c r="A520" s="3288"/>
      <c r="B520" s="3290"/>
      <c r="C520" s="3294"/>
      <c r="D520" s="3290"/>
      <c r="E520" s="3294"/>
      <c r="F520" s="3290"/>
      <c r="G520" s="3290"/>
      <c r="H520" s="3290"/>
      <c r="I520" s="3290"/>
    </row>
    <row r="521" spans="1:9" ht="14.25">
      <c r="A521" s="3288"/>
      <c r="B521" s="3290"/>
      <c r="C521" s="3294"/>
      <c r="D521" s="3290"/>
      <c r="E521" s="3294"/>
      <c r="F521" s="3290"/>
      <c r="G521" s="3290"/>
      <c r="H521" s="3290"/>
      <c r="I521" s="3290"/>
    </row>
    <row r="522" spans="1:9" ht="14.25">
      <c r="A522" s="3288"/>
      <c r="B522" s="3290"/>
      <c r="C522" s="3294"/>
      <c r="D522" s="3290"/>
      <c r="E522" s="3294"/>
      <c r="F522" s="3290"/>
      <c r="G522" s="3290"/>
      <c r="H522" s="3290"/>
      <c r="I522" s="3290"/>
    </row>
    <row r="523" spans="1:9" ht="14.25">
      <c r="A523" s="3288"/>
      <c r="B523" s="3290"/>
      <c r="C523" s="3294"/>
      <c r="D523" s="3290"/>
      <c r="E523" s="3294"/>
      <c r="F523" s="3290"/>
      <c r="G523" s="3290"/>
      <c r="H523" s="3290"/>
      <c r="I523" s="3290"/>
    </row>
    <row r="524" spans="1:9" ht="14.25">
      <c r="A524" s="3288"/>
      <c r="B524" s="3290"/>
      <c r="C524" s="3294"/>
      <c r="D524" s="3290"/>
      <c r="E524" s="3294"/>
      <c r="F524" s="3290"/>
      <c r="G524" s="3290"/>
      <c r="H524" s="3290"/>
      <c r="I524" s="3290"/>
    </row>
    <row r="525" spans="1:9" ht="14.25">
      <c r="A525" s="3288"/>
      <c r="B525" s="3290"/>
      <c r="C525" s="3294"/>
      <c r="D525" s="3290"/>
      <c r="E525" s="3294"/>
      <c r="F525" s="3290"/>
      <c r="G525" s="3290"/>
      <c r="H525" s="3290"/>
      <c r="I525" s="3290"/>
    </row>
    <row r="526" spans="1:9" ht="14.25">
      <c r="A526" s="3288"/>
      <c r="B526" s="3290"/>
      <c r="C526" s="3294"/>
      <c r="D526" s="3290"/>
      <c r="E526" s="3294"/>
      <c r="F526" s="3290"/>
      <c r="G526" s="3290"/>
      <c r="H526" s="3290"/>
      <c r="I526" s="3290"/>
    </row>
    <row r="527" spans="1:9" ht="14.25">
      <c r="A527" s="3288"/>
      <c r="B527" s="3290"/>
      <c r="C527" s="3294"/>
      <c r="D527" s="3290"/>
      <c r="E527" s="3294"/>
      <c r="F527" s="3290"/>
      <c r="G527" s="3290"/>
      <c r="H527" s="3290"/>
      <c r="I527" s="3290"/>
    </row>
    <row r="528" spans="1:9" ht="14.25">
      <c r="A528" s="3288"/>
      <c r="B528" s="3290"/>
      <c r="C528" s="3294"/>
      <c r="D528" s="3290"/>
      <c r="E528" s="3294"/>
      <c r="F528" s="3290"/>
      <c r="G528" s="3290"/>
      <c r="H528" s="3290"/>
      <c r="I528" s="3290"/>
    </row>
    <row r="529" spans="1:9" ht="14.25">
      <c r="A529" s="3288"/>
      <c r="B529" s="3290"/>
      <c r="C529" s="3294"/>
      <c r="D529" s="3290"/>
      <c r="E529" s="3294"/>
      <c r="F529" s="3290"/>
      <c r="G529" s="3290"/>
      <c r="H529" s="3290"/>
      <c r="I529" s="3290"/>
    </row>
    <row r="530" spans="1:9" ht="14.25">
      <c r="A530" s="3288"/>
      <c r="B530" s="3290"/>
      <c r="C530" s="3294"/>
      <c r="D530" s="3290"/>
      <c r="E530" s="3294"/>
      <c r="F530" s="3290"/>
      <c r="G530" s="3290"/>
      <c r="H530" s="3290"/>
      <c r="I530" s="3290"/>
    </row>
    <row r="531" spans="1:9" ht="14.25">
      <c r="A531" s="3288"/>
      <c r="B531" s="3290"/>
      <c r="C531" s="3294"/>
      <c r="D531" s="3290"/>
      <c r="E531" s="3294"/>
      <c r="F531" s="3290"/>
      <c r="G531" s="3290"/>
      <c r="H531" s="3290"/>
      <c r="I531" s="3290"/>
    </row>
    <row r="532" spans="1:9" ht="14.25">
      <c r="A532" s="3288"/>
      <c r="B532" s="3290"/>
      <c r="C532" s="3294"/>
      <c r="D532" s="3290"/>
      <c r="E532" s="3294"/>
      <c r="F532" s="3290"/>
      <c r="G532" s="3290"/>
      <c r="H532" s="3290"/>
      <c r="I532" s="3290"/>
    </row>
    <row r="533" spans="1:9" ht="14.25">
      <c r="A533" s="3288"/>
      <c r="B533" s="3290"/>
      <c r="C533" s="3294"/>
      <c r="D533" s="3290"/>
      <c r="E533" s="3294"/>
      <c r="F533" s="3290"/>
      <c r="G533" s="3290"/>
      <c r="H533" s="3290"/>
      <c r="I533" s="3290"/>
    </row>
    <row r="534" spans="1:9" ht="14.25">
      <c r="A534" s="3288"/>
      <c r="B534" s="3290"/>
      <c r="C534" s="3294"/>
      <c r="D534" s="3290"/>
      <c r="E534" s="3294"/>
      <c r="F534" s="3290"/>
      <c r="G534" s="3290"/>
      <c r="H534" s="3290"/>
      <c r="I534" s="3290"/>
    </row>
    <row r="535" spans="1:9" ht="14.25">
      <c r="A535" s="3288"/>
      <c r="B535" s="3290"/>
      <c r="C535" s="3294"/>
      <c r="D535" s="3290"/>
      <c r="E535" s="3294"/>
      <c r="F535" s="3290"/>
      <c r="G535" s="3290"/>
      <c r="H535" s="3290"/>
      <c r="I535" s="3290"/>
    </row>
    <row r="536" spans="1:9" ht="14.25">
      <c r="A536" s="3288"/>
      <c r="B536" s="3290"/>
      <c r="C536" s="3294"/>
      <c r="D536" s="3290"/>
      <c r="E536" s="3294"/>
      <c r="F536" s="3290"/>
      <c r="G536" s="3290"/>
      <c r="H536" s="3290"/>
      <c r="I536" s="3290"/>
    </row>
    <row r="537" spans="1:9" ht="14.25">
      <c r="A537" s="3288"/>
      <c r="B537" s="3290"/>
      <c r="C537" s="3294"/>
      <c r="D537" s="3290"/>
      <c r="E537" s="3294"/>
      <c r="F537" s="3290"/>
      <c r="G537" s="3290"/>
      <c r="H537" s="3290"/>
      <c r="I537" s="3290"/>
    </row>
    <row r="538" spans="1:9" ht="14.25">
      <c r="A538" s="3288"/>
      <c r="B538" s="3290"/>
      <c r="C538" s="3294"/>
      <c r="D538" s="3290"/>
      <c r="E538" s="3294"/>
      <c r="F538" s="3290"/>
      <c r="G538" s="3290"/>
      <c r="H538" s="3290"/>
      <c r="I538" s="3290"/>
    </row>
    <row r="539" spans="1:9" ht="14.25">
      <c r="A539" s="3288"/>
      <c r="B539" s="3290"/>
      <c r="C539" s="3294"/>
      <c r="D539" s="3290"/>
      <c r="E539" s="3294"/>
      <c r="F539" s="3290"/>
      <c r="G539" s="3290"/>
      <c r="H539" s="3290"/>
      <c r="I539" s="3290"/>
    </row>
    <row r="540" spans="1:9" ht="14.25">
      <c r="A540" s="3288"/>
      <c r="B540" s="3290"/>
      <c r="C540" s="3294"/>
      <c r="D540" s="3290"/>
      <c r="E540" s="3294"/>
      <c r="F540" s="3290"/>
      <c r="G540" s="3290"/>
      <c r="H540" s="3290"/>
      <c r="I540" s="3290"/>
    </row>
    <row r="541" spans="1:9" ht="14.25">
      <c r="A541" s="3288"/>
      <c r="B541" s="3290"/>
      <c r="C541" s="3294"/>
      <c r="D541" s="3290"/>
      <c r="E541" s="3294"/>
      <c r="F541" s="3290"/>
      <c r="G541" s="3290"/>
      <c r="H541" s="3290"/>
      <c r="I541" s="3290"/>
    </row>
    <row r="542" spans="1:9" ht="14.25">
      <c r="A542" s="3288"/>
      <c r="B542" s="3290"/>
      <c r="C542" s="3294"/>
      <c r="D542" s="3290"/>
      <c r="E542" s="3294"/>
      <c r="F542" s="3290"/>
      <c r="G542" s="3290"/>
      <c r="H542" s="3290"/>
      <c r="I542" s="3290"/>
    </row>
    <row r="543" spans="1:9" ht="14.25">
      <c r="A543" s="3288"/>
      <c r="B543" s="3290"/>
      <c r="C543" s="3294"/>
      <c r="D543" s="3290"/>
      <c r="E543" s="3294"/>
      <c r="F543" s="3290"/>
      <c r="G543" s="3290"/>
      <c r="H543" s="3290"/>
      <c r="I543" s="3290"/>
    </row>
    <row r="544" spans="1:9" ht="14.25">
      <c r="A544" s="3288"/>
      <c r="B544" s="3290"/>
      <c r="C544" s="3294"/>
      <c r="D544" s="3290"/>
      <c r="E544" s="3294"/>
      <c r="F544" s="3290"/>
      <c r="G544" s="3290"/>
      <c r="H544" s="3290"/>
      <c r="I544" s="3290"/>
    </row>
    <row r="545" spans="1:9" ht="14.25">
      <c r="A545" s="3288"/>
      <c r="B545" s="3290"/>
      <c r="C545" s="3294"/>
      <c r="D545" s="3290"/>
      <c r="E545" s="3294"/>
      <c r="F545" s="3290"/>
      <c r="G545" s="3290"/>
      <c r="H545" s="3290"/>
      <c r="I545" s="3290"/>
    </row>
    <row r="546" spans="1:9" ht="14.25">
      <c r="A546" s="3288"/>
      <c r="B546" s="3290"/>
      <c r="C546" s="3294"/>
      <c r="D546" s="3290"/>
      <c r="E546" s="3294"/>
      <c r="F546" s="3290"/>
      <c r="G546" s="3290"/>
      <c r="H546" s="3290"/>
      <c r="I546" s="3290"/>
    </row>
    <row r="547" spans="1:9" ht="14.25">
      <c r="A547" s="3288"/>
      <c r="B547" s="3290"/>
      <c r="C547" s="3294"/>
      <c r="D547" s="3290"/>
      <c r="E547" s="3294"/>
      <c r="F547" s="3290"/>
      <c r="G547" s="3290"/>
      <c r="H547" s="3290"/>
      <c r="I547" s="3290"/>
    </row>
    <row r="548" spans="1:9" ht="14.25">
      <c r="A548" s="3288"/>
      <c r="B548" s="3290"/>
      <c r="C548" s="3294"/>
      <c r="D548" s="3290"/>
      <c r="E548" s="3294"/>
      <c r="F548" s="3290"/>
      <c r="G548" s="3290"/>
      <c r="H548" s="3290"/>
      <c r="I548" s="3290"/>
    </row>
    <row r="549" spans="1:9" ht="14.25">
      <c r="A549" s="3288"/>
      <c r="B549" s="3290"/>
      <c r="C549" s="3294"/>
      <c r="D549" s="3290"/>
      <c r="E549" s="3294"/>
      <c r="F549" s="3290"/>
      <c r="G549" s="3290"/>
      <c r="H549" s="3290"/>
      <c r="I549" s="3290"/>
    </row>
    <row r="550" spans="1:9" ht="14.25">
      <c r="A550" s="3288"/>
      <c r="B550" s="3290"/>
      <c r="C550" s="3294"/>
      <c r="D550" s="3290"/>
      <c r="E550" s="3294"/>
      <c r="F550" s="3290"/>
      <c r="G550" s="3290"/>
      <c r="H550" s="3290"/>
      <c r="I550" s="3290"/>
    </row>
    <row r="551" spans="1:9" ht="14.25">
      <c r="A551" s="3288"/>
      <c r="B551" s="3290"/>
      <c r="C551" s="3294"/>
      <c r="D551" s="3290"/>
      <c r="E551" s="3294"/>
      <c r="F551" s="3290"/>
      <c r="G551" s="3290"/>
      <c r="H551" s="3290"/>
      <c r="I551" s="3290"/>
    </row>
    <row r="552" spans="1:9" ht="14.25">
      <c r="A552" s="3288"/>
      <c r="B552" s="3290"/>
      <c r="C552" s="3294"/>
      <c r="D552" s="3290"/>
      <c r="E552" s="3294"/>
      <c r="F552" s="3290"/>
      <c r="G552" s="3290"/>
      <c r="H552" s="3290"/>
      <c r="I552" s="3290"/>
    </row>
    <row r="553" spans="1:9" ht="14.25">
      <c r="A553" s="3288"/>
      <c r="B553" s="3290"/>
      <c r="C553" s="3294"/>
      <c r="D553" s="3290"/>
      <c r="E553" s="3294"/>
      <c r="F553" s="3290"/>
      <c r="G553" s="3290"/>
      <c r="H553" s="3290"/>
      <c r="I553" s="3290"/>
    </row>
    <row r="554" spans="1:9" ht="14.25">
      <c r="A554" s="3288"/>
      <c r="B554" s="3290"/>
      <c r="C554" s="3294"/>
      <c r="D554" s="3290"/>
      <c r="E554" s="3294"/>
      <c r="F554" s="3290"/>
      <c r="G554" s="3290"/>
      <c r="H554" s="3290"/>
      <c r="I554" s="3290"/>
    </row>
    <row r="555" spans="1:9" ht="14.25">
      <c r="A555" s="3288"/>
      <c r="B555" s="3290"/>
      <c r="C555" s="3294"/>
      <c r="D555" s="3290"/>
      <c r="E555" s="3294"/>
      <c r="F555" s="3290"/>
      <c r="G555" s="3290"/>
      <c r="H555" s="3290"/>
      <c r="I555" s="3290"/>
    </row>
    <row r="556" spans="1:9" ht="14.25">
      <c r="A556" s="3288"/>
      <c r="B556" s="3290"/>
      <c r="C556" s="3294"/>
      <c r="D556" s="3290"/>
      <c r="E556" s="3294"/>
      <c r="F556" s="3290"/>
      <c r="G556" s="3290"/>
      <c r="H556" s="3290"/>
      <c r="I556" s="3290"/>
    </row>
    <row r="557" spans="1:9" ht="14.25">
      <c r="A557" s="3288"/>
      <c r="B557" s="3290"/>
      <c r="C557" s="3294"/>
      <c r="D557" s="3290"/>
      <c r="E557" s="3294"/>
      <c r="F557" s="3290"/>
      <c r="G557" s="3290"/>
      <c r="H557" s="3290"/>
      <c r="I557" s="3290"/>
    </row>
    <row r="558" spans="1:9" ht="14.25">
      <c r="A558" s="3288"/>
      <c r="B558" s="3290"/>
      <c r="C558" s="3294"/>
      <c r="D558" s="3290"/>
      <c r="E558" s="3294"/>
      <c r="F558" s="3290"/>
      <c r="G558" s="3290"/>
      <c r="H558" s="3290"/>
      <c r="I558" s="3290"/>
    </row>
    <row r="559" spans="1:9" ht="14.25">
      <c r="A559" s="3288"/>
      <c r="B559" s="3290"/>
      <c r="C559" s="3294"/>
      <c r="D559" s="3290"/>
      <c r="E559" s="3294"/>
      <c r="F559" s="3290"/>
      <c r="G559" s="3290"/>
      <c r="H559" s="3290"/>
      <c r="I559" s="3290"/>
    </row>
    <row r="560" spans="1:9" ht="14.25">
      <c r="A560" s="3288"/>
      <c r="B560" s="3290"/>
      <c r="C560" s="3294"/>
      <c r="D560" s="3290"/>
      <c r="E560" s="3294"/>
      <c r="F560" s="3290"/>
      <c r="G560" s="3290"/>
      <c r="H560" s="3290"/>
      <c r="I560" s="3290"/>
    </row>
    <row r="561" spans="1:9" ht="14.25">
      <c r="A561" s="3288"/>
      <c r="B561" s="3290"/>
      <c r="C561" s="3294"/>
      <c r="D561" s="3290"/>
      <c r="E561" s="3294"/>
      <c r="F561" s="3290"/>
      <c r="G561" s="3290"/>
      <c r="H561" s="3290"/>
      <c r="I561" s="3290"/>
    </row>
    <row r="562" spans="1:9" ht="14.25">
      <c r="A562" s="3288"/>
      <c r="B562" s="3290"/>
      <c r="C562" s="3294"/>
      <c r="D562" s="3290"/>
      <c r="E562" s="3294"/>
      <c r="F562" s="3290"/>
      <c r="G562" s="3290"/>
      <c r="H562" s="3290"/>
      <c r="I562" s="3290"/>
    </row>
    <row r="563" spans="1:9" ht="14.25">
      <c r="A563" s="3288"/>
      <c r="B563" s="3290"/>
      <c r="C563" s="3294"/>
      <c r="D563" s="3290"/>
      <c r="E563" s="3294"/>
      <c r="F563" s="3290"/>
      <c r="G563" s="3290"/>
      <c r="H563" s="3290"/>
      <c r="I563" s="3290"/>
    </row>
    <row r="564" spans="1:9" ht="14.25">
      <c r="A564" s="3288"/>
      <c r="B564" s="3290"/>
      <c r="C564" s="3294"/>
      <c r="D564" s="3290"/>
      <c r="E564" s="3294"/>
      <c r="F564" s="3290"/>
      <c r="G564" s="3290"/>
      <c r="H564" s="3290"/>
      <c r="I564" s="3290"/>
    </row>
    <row r="565" spans="1:9" ht="14.25">
      <c r="A565" s="3288"/>
      <c r="B565" s="3290"/>
      <c r="C565" s="3294"/>
      <c r="D565" s="3290"/>
      <c r="E565" s="3294"/>
      <c r="F565" s="3290"/>
      <c r="G565" s="3290"/>
      <c r="H565" s="3290"/>
      <c r="I565" s="3290"/>
    </row>
    <row r="566" spans="1:9" ht="14.25">
      <c r="A566" s="3288"/>
      <c r="B566" s="3290"/>
      <c r="C566" s="3294"/>
      <c r="D566" s="3290"/>
      <c r="E566" s="3294"/>
      <c r="F566" s="3290"/>
      <c r="G566" s="3290"/>
      <c r="H566" s="3290"/>
      <c r="I566" s="3290"/>
    </row>
    <row r="567" spans="1:9" ht="14.25">
      <c r="A567" s="3288"/>
      <c r="B567" s="3290"/>
      <c r="C567" s="3294"/>
      <c r="D567" s="3290"/>
      <c r="E567" s="3294"/>
      <c r="F567" s="3290"/>
      <c r="G567" s="3290"/>
      <c r="H567" s="3290"/>
      <c r="I567" s="3290"/>
    </row>
    <row r="568" spans="1:9" ht="14.25">
      <c r="A568" s="3288"/>
      <c r="B568" s="3290"/>
      <c r="C568" s="3294"/>
      <c r="D568" s="3290"/>
      <c r="E568" s="3294"/>
      <c r="F568" s="3290"/>
      <c r="G568" s="3290"/>
      <c r="H568" s="3290"/>
      <c r="I568" s="3290"/>
    </row>
    <row r="569" spans="1:9" ht="14.25">
      <c r="A569" s="3288"/>
      <c r="B569" s="3290"/>
      <c r="C569" s="3294"/>
      <c r="D569" s="3290"/>
      <c r="E569" s="3294"/>
      <c r="F569" s="3290"/>
      <c r="G569" s="3290"/>
      <c r="H569" s="3290"/>
      <c r="I569" s="3290"/>
    </row>
    <row r="570" spans="1:9" ht="14.25">
      <c r="A570" s="3288"/>
      <c r="B570" s="3290"/>
      <c r="C570" s="3294"/>
      <c r="D570" s="3290"/>
      <c r="E570" s="3294"/>
      <c r="F570" s="3290"/>
      <c r="G570" s="3290"/>
      <c r="H570" s="3290"/>
      <c r="I570" s="3290"/>
    </row>
    <row r="571" spans="1:9" ht="14.25">
      <c r="A571" s="3288"/>
      <c r="B571" s="3290"/>
      <c r="C571" s="3294"/>
      <c r="D571" s="3290"/>
      <c r="E571" s="3294"/>
      <c r="F571" s="3290"/>
      <c r="G571" s="3290"/>
      <c r="H571" s="3290"/>
      <c r="I571" s="3290"/>
    </row>
    <row r="572" spans="1:9" ht="14.25">
      <c r="A572" s="3288"/>
      <c r="B572" s="3290"/>
      <c r="C572" s="3294"/>
      <c r="D572" s="3290"/>
      <c r="E572" s="3294"/>
      <c r="F572" s="3290"/>
      <c r="G572" s="3290"/>
      <c r="H572" s="3290"/>
      <c r="I572" s="3290"/>
    </row>
    <row r="573" spans="1:9" ht="14.25">
      <c r="A573" s="3288"/>
      <c r="B573" s="3290"/>
      <c r="C573" s="3294"/>
      <c r="D573" s="3290"/>
      <c r="E573" s="3294"/>
      <c r="F573" s="3290"/>
      <c r="G573" s="3290"/>
      <c r="H573" s="3290"/>
      <c r="I573" s="3290"/>
    </row>
    <row r="574" spans="1:9" ht="14.25">
      <c r="A574" s="3288"/>
      <c r="B574" s="3290"/>
      <c r="C574" s="3294"/>
      <c r="D574" s="3290"/>
      <c r="E574" s="3294"/>
      <c r="F574" s="3290"/>
      <c r="G574" s="3290"/>
      <c r="H574" s="3290"/>
      <c r="I574" s="3290"/>
    </row>
    <row r="575" spans="1:9" ht="14.25">
      <c r="A575" s="3288"/>
      <c r="B575" s="3290"/>
      <c r="C575" s="3294"/>
      <c r="D575" s="3290"/>
      <c r="E575" s="3294"/>
      <c r="F575" s="3290"/>
      <c r="G575" s="3290"/>
      <c r="H575" s="3290"/>
      <c r="I575" s="3290"/>
    </row>
    <row r="576" spans="1:9" ht="14.25">
      <c r="A576" s="3288"/>
      <c r="B576" s="3290"/>
      <c r="C576" s="3294"/>
      <c r="D576" s="3290"/>
      <c r="E576" s="3294"/>
      <c r="F576" s="3290"/>
      <c r="G576" s="3290"/>
      <c r="H576" s="3290"/>
      <c r="I576" s="3290"/>
    </row>
    <row r="577" spans="1:9" ht="14.25">
      <c r="A577" s="3288"/>
      <c r="B577" s="3290"/>
      <c r="C577" s="3294"/>
      <c r="D577" s="3290"/>
      <c r="E577" s="3294"/>
      <c r="F577" s="3290"/>
      <c r="G577" s="3290"/>
      <c r="H577" s="3290"/>
      <c r="I577" s="3290"/>
    </row>
    <row r="578" spans="1:9" ht="14.25">
      <c r="A578" s="3288"/>
      <c r="B578" s="3290"/>
      <c r="C578" s="3294"/>
      <c r="D578" s="3290"/>
      <c r="E578" s="3294"/>
      <c r="F578" s="3290"/>
      <c r="G578" s="3290"/>
      <c r="H578" s="3290"/>
      <c r="I578" s="3290"/>
    </row>
    <row r="579" spans="1:9" ht="14.25">
      <c r="A579" s="3288"/>
      <c r="B579" s="3290"/>
      <c r="C579" s="3294"/>
      <c r="D579" s="3290"/>
      <c r="E579" s="3294"/>
      <c r="F579" s="3290"/>
      <c r="G579" s="3290"/>
      <c r="H579" s="3290"/>
      <c r="I579" s="3290"/>
    </row>
    <row r="580" spans="1:9" ht="14.25">
      <c r="A580" s="3288"/>
      <c r="B580" s="3290"/>
      <c r="C580" s="3294"/>
      <c r="D580" s="3290"/>
      <c r="E580" s="3294"/>
      <c r="F580" s="3290"/>
      <c r="G580" s="3290"/>
      <c r="H580" s="3290"/>
      <c r="I580" s="3290"/>
    </row>
    <row r="581" spans="1:9" ht="14.25">
      <c r="A581" s="3288"/>
      <c r="B581" s="3290"/>
      <c r="C581" s="3294"/>
      <c r="D581" s="3290"/>
      <c r="E581" s="3294"/>
      <c r="F581" s="3290"/>
      <c r="G581" s="3290"/>
      <c r="H581" s="3290"/>
      <c r="I581" s="3290"/>
    </row>
    <row r="582" spans="1:9" ht="14.25">
      <c r="A582" s="3288"/>
      <c r="B582" s="3290"/>
      <c r="C582" s="3294"/>
      <c r="D582" s="3290"/>
      <c r="E582" s="3294"/>
      <c r="F582" s="3290"/>
      <c r="G582" s="3290"/>
      <c r="H582" s="3290"/>
      <c r="I582" s="3290"/>
    </row>
    <row r="583" spans="1:9" ht="14.25">
      <c r="A583" s="3288"/>
      <c r="B583" s="3290"/>
      <c r="C583" s="3294"/>
      <c r="D583" s="3290"/>
      <c r="E583" s="3294"/>
      <c r="F583" s="3290"/>
      <c r="G583" s="3290"/>
      <c r="H583" s="3290"/>
      <c r="I583" s="3290"/>
    </row>
    <row r="584" spans="1:9" ht="14.25">
      <c r="A584" s="3288"/>
      <c r="B584" s="3290"/>
      <c r="C584" s="3294"/>
      <c r="D584" s="3290"/>
      <c r="E584" s="3294"/>
      <c r="F584" s="3290"/>
      <c r="G584" s="3290"/>
      <c r="H584" s="3290"/>
      <c r="I584" s="3290"/>
    </row>
    <row r="585" spans="1:9" ht="14.25">
      <c r="A585" s="3288"/>
      <c r="B585" s="3290"/>
      <c r="C585" s="3294"/>
      <c r="D585" s="3290"/>
      <c r="E585" s="3294"/>
      <c r="F585" s="3290"/>
      <c r="G585" s="3290"/>
      <c r="H585" s="3290"/>
      <c r="I585" s="3290"/>
    </row>
    <row r="586" spans="1:9" ht="14.25">
      <c r="A586" s="3288"/>
      <c r="B586" s="3290"/>
      <c r="C586" s="3294"/>
      <c r="D586" s="3290"/>
      <c r="E586" s="3294"/>
      <c r="F586" s="3290"/>
      <c r="G586" s="3290"/>
      <c r="H586" s="3290"/>
      <c r="I586" s="3290"/>
    </row>
    <row r="587" spans="1:9" ht="14.25">
      <c r="A587" s="3288"/>
      <c r="B587" s="3290"/>
      <c r="C587" s="3294"/>
      <c r="D587" s="3290"/>
      <c r="E587" s="3294"/>
      <c r="F587" s="3290"/>
      <c r="G587" s="3290"/>
      <c r="H587" s="3290"/>
      <c r="I587" s="3290"/>
    </row>
    <row r="588" spans="1:9" ht="14.25">
      <c r="A588" s="3288"/>
      <c r="B588" s="3290"/>
      <c r="C588" s="3294"/>
      <c r="D588" s="3290"/>
      <c r="E588" s="3294"/>
      <c r="F588" s="3290"/>
      <c r="G588" s="3290"/>
      <c r="H588" s="3290"/>
      <c r="I588" s="3290"/>
    </row>
    <row r="589" spans="1:9" ht="14.25">
      <c r="A589" s="3288"/>
      <c r="B589" s="3290"/>
      <c r="C589" s="3294"/>
      <c r="D589" s="3290"/>
      <c r="E589" s="3294"/>
      <c r="F589" s="3290"/>
      <c r="G589" s="3290"/>
      <c r="H589" s="3290"/>
      <c r="I589" s="3290"/>
    </row>
    <row r="590" spans="1:9" ht="14.25">
      <c r="A590" s="3288"/>
      <c r="B590" s="3290"/>
      <c r="C590" s="3294"/>
      <c r="D590" s="3290"/>
      <c r="E590" s="3294"/>
      <c r="F590" s="3290"/>
      <c r="G590" s="3290"/>
      <c r="H590" s="3290"/>
      <c r="I590" s="3290"/>
    </row>
    <row r="591" spans="1:9" ht="14.25">
      <c r="A591" s="3288"/>
      <c r="B591" s="3290"/>
      <c r="C591" s="3294"/>
      <c r="D591" s="3290"/>
      <c r="E591" s="3294"/>
      <c r="F591" s="3290"/>
      <c r="G591" s="3290"/>
      <c r="H591" s="3290"/>
      <c r="I591" s="3290"/>
    </row>
    <row r="592" spans="1:9" ht="14.25">
      <c r="A592" s="3288"/>
      <c r="B592" s="3290"/>
      <c r="C592" s="3294"/>
      <c r="D592" s="3290"/>
      <c r="E592" s="3294"/>
      <c r="F592" s="3290"/>
      <c r="G592" s="3290"/>
      <c r="H592" s="3290"/>
      <c r="I592" s="3290"/>
    </row>
    <row r="593" spans="1:9" ht="14.25">
      <c r="A593" s="3288"/>
      <c r="B593" s="3290"/>
      <c r="C593" s="3294"/>
      <c r="D593" s="3290"/>
      <c r="E593" s="3294"/>
      <c r="F593" s="3290"/>
      <c r="G593" s="3290"/>
      <c r="H593" s="3290"/>
      <c r="I593" s="3290"/>
    </row>
    <row r="594" spans="1:9" ht="14.25">
      <c r="A594" s="3288"/>
      <c r="B594" s="3290"/>
      <c r="C594" s="3294"/>
      <c r="D594" s="3290"/>
      <c r="E594" s="3294"/>
      <c r="F594" s="3290"/>
      <c r="G594" s="3290"/>
      <c r="H594" s="3290"/>
      <c r="I594" s="3290"/>
    </row>
    <row r="595" spans="1:9" ht="14.25">
      <c r="A595" s="3288"/>
      <c r="B595" s="3290"/>
      <c r="C595" s="3294"/>
      <c r="D595" s="3290"/>
      <c r="E595" s="3294"/>
      <c r="F595" s="3290"/>
      <c r="G595" s="3290"/>
      <c r="H595" s="3290"/>
      <c r="I595" s="3290"/>
    </row>
    <row r="596" spans="1:9" ht="14.25">
      <c r="A596" s="3288"/>
      <c r="B596" s="3290"/>
      <c r="C596" s="3294"/>
      <c r="D596" s="3290"/>
      <c r="E596" s="3294"/>
      <c r="F596" s="3290"/>
      <c r="G596" s="3290"/>
      <c r="H596" s="3290"/>
      <c r="I596" s="3290"/>
    </row>
    <row r="597" spans="1:9" ht="14.25">
      <c r="A597" s="3288"/>
      <c r="B597" s="3290"/>
      <c r="C597" s="3294"/>
      <c r="D597" s="3290"/>
      <c r="E597" s="3294"/>
      <c r="F597" s="3290"/>
      <c r="G597" s="3290"/>
      <c r="H597" s="3290"/>
      <c r="I597" s="3290"/>
    </row>
    <row r="598" spans="1:9" ht="14.25">
      <c r="A598" s="3288"/>
      <c r="B598" s="3290"/>
      <c r="C598" s="3294"/>
      <c r="D598" s="3290"/>
      <c r="E598" s="3294"/>
      <c r="F598" s="3290"/>
      <c r="G598" s="3290"/>
      <c r="H598" s="3290"/>
      <c r="I598" s="3290"/>
    </row>
    <row r="599" spans="1:9" ht="14.25">
      <c r="A599" s="3288"/>
      <c r="B599" s="3290"/>
      <c r="C599" s="3294"/>
      <c r="D599" s="3290"/>
      <c r="E599" s="3294"/>
      <c r="F599" s="3290"/>
      <c r="G599" s="3290"/>
      <c r="H599" s="3290"/>
      <c r="I599" s="3290"/>
    </row>
    <row r="600" spans="1:9" ht="14.25">
      <c r="A600" s="3288"/>
      <c r="B600" s="3290"/>
      <c r="C600" s="3294"/>
      <c r="D600" s="3290"/>
      <c r="E600" s="3294"/>
      <c r="F600" s="3290"/>
      <c r="G600" s="3290"/>
      <c r="H600" s="3290"/>
      <c r="I600" s="3290"/>
    </row>
    <row r="601" spans="1:9" ht="14.25">
      <c r="A601" s="3288"/>
      <c r="B601" s="3290"/>
      <c r="C601" s="3294"/>
      <c r="D601" s="3290"/>
      <c r="E601" s="3294"/>
      <c r="F601" s="3290"/>
      <c r="G601" s="3290"/>
      <c r="H601" s="3290"/>
      <c r="I601" s="3290"/>
    </row>
    <row r="602" spans="1:9" ht="14.25">
      <c r="A602" s="3288"/>
      <c r="B602" s="3290"/>
      <c r="C602" s="3294"/>
      <c r="D602" s="3290"/>
      <c r="E602" s="3294"/>
      <c r="F602" s="3290"/>
      <c r="G602" s="3290"/>
      <c r="H602" s="3290"/>
      <c r="I602" s="3290"/>
    </row>
    <row r="603" spans="1:9" ht="14.25">
      <c r="A603" s="3288"/>
      <c r="B603" s="3290"/>
      <c r="C603" s="3294"/>
      <c r="D603" s="3290"/>
      <c r="E603" s="3294"/>
      <c r="F603" s="3290"/>
      <c r="G603" s="3290"/>
      <c r="H603" s="3290"/>
      <c r="I603" s="3290"/>
    </row>
    <row r="604" spans="1:9" ht="14.25">
      <c r="A604" s="3288"/>
      <c r="B604" s="3290"/>
      <c r="C604" s="3294"/>
      <c r="D604" s="3290"/>
      <c r="E604" s="3294"/>
      <c r="F604" s="3290"/>
      <c r="G604" s="3290"/>
      <c r="H604" s="3290"/>
      <c r="I604" s="3290"/>
    </row>
    <row r="605" spans="1:9" ht="14.25">
      <c r="A605" s="3288"/>
      <c r="B605" s="3290"/>
      <c r="C605" s="3294"/>
      <c r="D605" s="3290"/>
      <c r="E605" s="3294"/>
      <c r="F605" s="3290"/>
      <c r="G605" s="3290"/>
      <c r="H605" s="3290"/>
      <c r="I605" s="3290"/>
    </row>
    <row r="606" spans="1:9" ht="14.25">
      <c r="A606" s="3288"/>
      <c r="B606" s="3290"/>
      <c r="C606" s="3294"/>
      <c r="D606" s="3290"/>
      <c r="E606" s="3294"/>
      <c r="F606" s="3290"/>
      <c r="G606" s="3290"/>
      <c r="H606" s="3290"/>
      <c r="I606" s="3290"/>
    </row>
    <row r="607" spans="1:9" ht="14.25">
      <c r="A607" s="3288"/>
      <c r="B607" s="3290"/>
      <c r="C607" s="3294"/>
      <c r="D607" s="3290"/>
      <c r="E607" s="3294"/>
      <c r="F607" s="3290"/>
      <c r="G607" s="3290"/>
      <c r="H607" s="3290"/>
      <c r="I607" s="3290"/>
    </row>
    <row r="608" spans="1:9" ht="14.25">
      <c r="A608" s="3288"/>
      <c r="B608" s="3290"/>
      <c r="C608" s="3294"/>
      <c r="D608" s="3290"/>
      <c r="E608" s="3294"/>
      <c r="F608" s="3290"/>
      <c r="G608" s="3290"/>
      <c r="H608" s="3290"/>
      <c r="I608" s="3290"/>
    </row>
    <row r="609" spans="1:9" ht="14.25">
      <c r="A609" s="3288"/>
      <c r="B609" s="3290"/>
      <c r="C609" s="3294"/>
      <c r="D609" s="3290"/>
      <c r="E609" s="3294"/>
      <c r="F609" s="3290"/>
      <c r="G609" s="3290"/>
      <c r="H609" s="3290"/>
      <c r="I609" s="3290"/>
    </row>
    <row r="610" spans="1:9" ht="14.25">
      <c r="A610" s="3288"/>
      <c r="B610" s="3290"/>
      <c r="C610" s="3294"/>
      <c r="D610" s="3290"/>
      <c r="E610" s="3294"/>
      <c r="F610" s="3290"/>
      <c r="G610" s="3290"/>
      <c r="H610" s="3290"/>
      <c r="I610" s="3290"/>
    </row>
    <row r="611" spans="1:9" ht="14.25">
      <c r="A611" s="3288"/>
      <c r="B611" s="3290"/>
      <c r="C611" s="3294"/>
      <c r="D611" s="3290"/>
      <c r="E611" s="3294"/>
      <c r="F611" s="3290"/>
      <c r="G611" s="3290"/>
      <c r="H611" s="3290"/>
      <c r="I611" s="3290"/>
    </row>
    <row r="612" spans="1:9" ht="14.25">
      <c r="A612" s="3288"/>
      <c r="B612" s="3290"/>
      <c r="C612" s="3294"/>
      <c r="D612" s="3290"/>
      <c r="E612" s="3294"/>
      <c r="F612" s="3290"/>
      <c r="G612" s="3290"/>
      <c r="H612" s="3290"/>
      <c r="I612" s="3290"/>
    </row>
    <row r="613" spans="1:9" ht="14.25">
      <c r="A613" s="3288"/>
      <c r="B613" s="3290"/>
      <c r="C613" s="3294"/>
      <c r="D613" s="3290"/>
      <c r="E613" s="3294"/>
      <c r="F613" s="3290"/>
      <c r="G613" s="3290"/>
      <c r="H613" s="3290"/>
      <c r="I613" s="3290"/>
    </row>
    <row r="614" spans="1:9" ht="14.25">
      <c r="A614" s="3288"/>
      <c r="B614" s="3290"/>
      <c r="C614" s="3294"/>
      <c r="D614" s="3290"/>
      <c r="E614" s="3294"/>
      <c r="F614" s="3290"/>
      <c r="G614" s="3290"/>
      <c r="H614" s="3290"/>
      <c r="I614" s="3290"/>
    </row>
    <row r="615" spans="1:9" ht="14.25">
      <c r="A615" s="3288"/>
      <c r="B615" s="3290"/>
      <c r="C615" s="3294"/>
      <c r="D615" s="3290"/>
      <c r="E615" s="3294"/>
      <c r="F615" s="3290"/>
      <c r="G615" s="3290"/>
      <c r="H615" s="3290"/>
      <c r="I615" s="3290"/>
    </row>
    <row r="616" spans="1:9" ht="14.25">
      <c r="A616" s="3288"/>
      <c r="B616" s="3290"/>
      <c r="C616" s="3294"/>
      <c r="D616" s="3290"/>
      <c r="E616" s="3294"/>
      <c r="F616" s="3290"/>
      <c r="G616" s="3290"/>
      <c r="H616" s="3290"/>
      <c r="I616" s="3290"/>
    </row>
    <row r="617" spans="1:9" ht="14.25">
      <c r="A617" s="3288"/>
      <c r="B617" s="3290"/>
      <c r="C617" s="3294"/>
      <c r="D617" s="3290"/>
      <c r="E617" s="3294"/>
      <c r="F617" s="3290"/>
      <c r="G617" s="3290"/>
      <c r="H617" s="3290"/>
      <c r="I617" s="3290"/>
    </row>
    <row r="618" spans="1:9" ht="14.25">
      <c r="A618" s="3288"/>
      <c r="B618" s="3290"/>
      <c r="C618" s="3294"/>
      <c r="D618" s="3290"/>
      <c r="E618" s="3294"/>
      <c r="F618" s="3290"/>
      <c r="G618" s="3290"/>
      <c r="H618" s="3290"/>
      <c r="I618" s="3290"/>
    </row>
    <row r="619" spans="1:9" ht="14.25">
      <c r="A619" s="3288"/>
      <c r="B619" s="3290"/>
      <c r="C619" s="3294"/>
      <c r="D619" s="3290"/>
      <c r="E619" s="3294"/>
      <c r="F619" s="3290"/>
      <c r="G619" s="3290"/>
      <c r="H619" s="3290"/>
      <c r="I619" s="3290"/>
    </row>
    <row r="620" spans="1:9" ht="14.25">
      <c r="A620" s="3288"/>
      <c r="B620" s="3290"/>
      <c r="C620" s="3294"/>
      <c r="D620" s="3290"/>
      <c r="E620" s="3294"/>
      <c r="F620" s="3290"/>
      <c r="G620" s="3290"/>
      <c r="H620" s="3290"/>
      <c r="I620" s="3290"/>
    </row>
    <row r="621" spans="1:9" ht="14.25">
      <c r="A621" s="3288"/>
      <c r="B621" s="3290"/>
      <c r="C621" s="3294"/>
      <c r="D621" s="3290"/>
      <c r="E621" s="3294"/>
      <c r="F621" s="3290"/>
      <c r="G621" s="3290"/>
      <c r="H621" s="3290"/>
      <c r="I621" s="3290"/>
    </row>
    <row r="622" spans="1:9" ht="14.25">
      <c r="A622" s="3288"/>
      <c r="B622" s="3290"/>
      <c r="C622" s="3294"/>
      <c r="D622" s="3290"/>
      <c r="E622" s="3294"/>
      <c r="F622" s="3290"/>
      <c r="G622" s="3290"/>
      <c r="H622" s="3290"/>
      <c r="I622" s="3290"/>
    </row>
    <row r="623" spans="1:9" ht="14.25">
      <c r="A623" s="3288"/>
      <c r="B623" s="3290"/>
      <c r="C623" s="3294"/>
      <c r="D623" s="3290"/>
      <c r="E623" s="3294"/>
      <c r="F623" s="3290"/>
      <c r="G623" s="3290"/>
      <c r="H623" s="3290"/>
      <c r="I623" s="3290"/>
    </row>
    <row r="624" spans="1:9" ht="14.25">
      <c r="A624" s="3288"/>
      <c r="B624" s="3290"/>
      <c r="C624" s="3294"/>
      <c r="D624" s="3290"/>
      <c r="E624" s="3294"/>
      <c r="F624" s="3290"/>
      <c r="G624" s="3290"/>
      <c r="H624" s="3290"/>
      <c r="I624" s="3290"/>
    </row>
    <row r="625" spans="1:9" ht="14.25">
      <c r="A625" s="3288"/>
      <c r="B625" s="3290"/>
      <c r="C625" s="3294"/>
      <c r="D625" s="3290"/>
      <c r="E625" s="3294"/>
      <c r="F625" s="3290"/>
      <c r="G625" s="3290"/>
      <c r="H625" s="3290"/>
      <c r="I625" s="3290"/>
    </row>
    <row r="626" spans="1:9" ht="14.25">
      <c r="A626" s="3288"/>
      <c r="B626" s="3290"/>
      <c r="C626" s="3294"/>
      <c r="D626" s="3290"/>
      <c r="E626" s="3294"/>
      <c r="F626" s="3290"/>
      <c r="G626" s="3290"/>
      <c r="H626" s="3290"/>
      <c r="I626" s="3290"/>
    </row>
    <row r="627" spans="1:9" ht="14.25">
      <c r="A627" s="3288"/>
      <c r="B627" s="3290"/>
      <c r="C627" s="3294"/>
      <c r="D627" s="3290"/>
      <c r="E627" s="3294"/>
      <c r="F627" s="3290"/>
      <c r="G627" s="3290"/>
      <c r="H627" s="3290"/>
      <c r="I627" s="3290"/>
    </row>
    <row r="628" spans="1:9" ht="14.25">
      <c r="A628" s="3288"/>
      <c r="B628" s="3290"/>
      <c r="C628" s="3294"/>
      <c r="D628" s="3290"/>
      <c r="E628" s="3294"/>
      <c r="F628" s="3290"/>
      <c r="G628" s="3290"/>
      <c r="H628" s="3290"/>
      <c r="I628" s="3290"/>
    </row>
    <row r="629" spans="1:9" ht="14.25">
      <c r="A629" s="3288"/>
      <c r="B629" s="3290"/>
      <c r="C629" s="3294"/>
      <c r="D629" s="3290"/>
      <c r="E629" s="3294"/>
      <c r="F629" s="3290"/>
      <c r="G629" s="3290"/>
      <c r="H629" s="3290"/>
      <c r="I629" s="3290"/>
    </row>
    <row r="630" spans="1:9" ht="14.25">
      <c r="A630" s="3288"/>
      <c r="B630" s="3290"/>
      <c r="C630" s="3294"/>
      <c r="D630" s="3290"/>
      <c r="E630" s="3294"/>
      <c r="F630" s="3290"/>
      <c r="G630" s="3290"/>
      <c r="H630" s="3290"/>
      <c r="I630" s="3290"/>
    </row>
    <row r="631" spans="1:9" ht="14.25">
      <c r="A631" s="3288"/>
      <c r="B631" s="3290"/>
      <c r="C631" s="3294"/>
      <c r="D631" s="3290"/>
      <c r="E631" s="3294"/>
      <c r="F631" s="3290"/>
      <c r="G631" s="3290"/>
      <c r="H631" s="3290"/>
      <c r="I631" s="3290"/>
    </row>
    <row r="632" spans="1:9" ht="14.25">
      <c r="A632" s="3288"/>
      <c r="B632" s="3290"/>
      <c r="C632" s="3294"/>
      <c r="D632" s="3290"/>
      <c r="E632" s="3294"/>
      <c r="F632" s="3290"/>
      <c r="G632" s="3290"/>
      <c r="H632" s="3290"/>
      <c r="I632" s="3290"/>
    </row>
    <row r="633" spans="1:9" ht="14.25">
      <c r="A633" s="3288"/>
      <c r="B633" s="3290"/>
      <c r="C633" s="3294"/>
      <c r="D633" s="3290"/>
      <c r="E633" s="3294"/>
      <c r="F633" s="3290"/>
      <c r="G633" s="3290"/>
      <c r="H633" s="3290"/>
      <c r="I633" s="3290"/>
    </row>
    <row r="634" spans="1:9" ht="14.25">
      <c r="A634" s="3288"/>
      <c r="B634" s="3290"/>
      <c r="C634" s="3294"/>
      <c r="D634" s="3290"/>
      <c r="E634" s="3294"/>
      <c r="F634" s="3290"/>
      <c r="G634" s="3290"/>
      <c r="H634" s="3290"/>
      <c r="I634" s="3290"/>
    </row>
    <row r="635" spans="1:9" ht="14.25">
      <c r="A635" s="3288"/>
      <c r="B635" s="3290"/>
      <c r="C635" s="3294"/>
      <c r="D635" s="3290"/>
      <c r="E635" s="3294"/>
      <c r="F635" s="3290"/>
      <c r="G635" s="3290"/>
      <c r="H635" s="3290"/>
      <c r="I635" s="3290"/>
    </row>
    <row r="636" spans="1:9" ht="14.25">
      <c r="A636" s="3288"/>
      <c r="B636" s="3290"/>
      <c r="C636" s="3294"/>
      <c r="D636" s="3290"/>
      <c r="E636" s="3294"/>
      <c r="F636" s="3290"/>
      <c r="G636" s="3290"/>
      <c r="H636" s="3290"/>
      <c r="I636" s="3290"/>
    </row>
    <row r="637" spans="1:9" ht="14.25">
      <c r="A637" s="3288"/>
      <c r="B637" s="3290"/>
      <c r="C637" s="3294"/>
      <c r="D637" s="3290"/>
      <c r="E637" s="3294"/>
      <c r="F637" s="3290"/>
      <c r="G637" s="3290"/>
      <c r="H637" s="3290"/>
      <c r="I637" s="3290"/>
    </row>
    <row r="638" spans="1:9" ht="14.25">
      <c r="A638" s="3288"/>
      <c r="B638" s="3290"/>
      <c r="C638" s="3294"/>
      <c r="D638" s="3290"/>
      <c r="E638" s="3294"/>
      <c r="F638" s="3290"/>
      <c r="G638" s="3290"/>
      <c r="H638" s="3290"/>
      <c r="I638" s="3290"/>
    </row>
    <row r="639" spans="1:9" ht="14.25">
      <c r="A639" s="3288"/>
      <c r="B639" s="3290"/>
      <c r="C639" s="3294"/>
      <c r="D639" s="3290"/>
      <c r="E639" s="3294"/>
      <c r="F639" s="3290"/>
      <c r="G639" s="3290"/>
      <c r="H639" s="3290"/>
      <c r="I639" s="3290"/>
    </row>
    <row r="640" spans="1:9" ht="14.25">
      <c r="A640" s="3288"/>
      <c r="B640" s="3290"/>
      <c r="C640" s="3294"/>
      <c r="D640" s="3290"/>
      <c r="E640" s="3294"/>
      <c r="F640" s="3290"/>
      <c r="G640" s="3290"/>
      <c r="H640" s="3290"/>
      <c r="I640" s="3290"/>
    </row>
    <row r="641" spans="1:9" ht="14.25">
      <c r="A641" s="3288"/>
      <c r="B641" s="3290"/>
      <c r="C641" s="3294"/>
      <c r="D641" s="3290"/>
      <c r="E641" s="3294"/>
      <c r="F641" s="3290"/>
      <c r="G641" s="3290"/>
      <c r="H641" s="3290"/>
      <c r="I641" s="3290"/>
    </row>
    <row r="642" spans="1:9" ht="14.25">
      <c r="A642" s="3288"/>
      <c r="B642" s="3290"/>
      <c r="C642" s="3294"/>
      <c r="D642" s="3290"/>
      <c r="E642" s="3294"/>
      <c r="F642" s="3290"/>
      <c r="G642" s="3290"/>
      <c r="H642" s="3290"/>
      <c r="I642" s="3290"/>
    </row>
    <row r="643" spans="1:9" ht="14.25">
      <c r="A643" s="3288"/>
      <c r="B643" s="3290"/>
      <c r="C643" s="3294"/>
      <c r="D643" s="3290"/>
      <c r="E643" s="3294"/>
      <c r="F643" s="3290"/>
      <c r="G643" s="3290"/>
      <c r="H643" s="3290"/>
      <c r="I643" s="3290"/>
    </row>
    <row r="644" spans="1:9" ht="14.25">
      <c r="A644" s="3288"/>
      <c r="B644" s="3290"/>
      <c r="C644" s="3294"/>
      <c r="D644" s="3290"/>
      <c r="E644" s="3294"/>
      <c r="F644" s="3290"/>
      <c r="G644" s="3290"/>
      <c r="H644" s="3290"/>
      <c r="I644" s="3290"/>
    </row>
    <row r="645" spans="1:9" ht="14.25">
      <c r="A645" s="3288"/>
      <c r="B645" s="3290"/>
      <c r="C645" s="3294"/>
      <c r="D645" s="3290"/>
      <c r="E645" s="3294"/>
      <c r="F645" s="3290"/>
      <c r="G645" s="3290"/>
      <c r="H645" s="3290"/>
      <c r="I645" s="3290"/>
    </row>
    <row r="646" spans="1:9" ht="14.25">
      <c r="A646" s="3288"/>
      <c r="B646" s="3290"/>
      <c r="C646" s="3294"/>
      <c r="D646" s="3290"/>
      <c r="E646" s="3294"/>
      <c r="F646" s="3290"/>
      <c r="G646" s="3290"/>
      <c r="H646" s="3290"/>
      <c r="I646" s="3290"/>
    </row>
    <row r="647" spans="1:9" ht="14.25">
      <c r="A647" s="3288"/>
      <c r="B647" s="3290"/>
      <c r="C647" s="3294"/>
      <c r="D647" s="3290"/>
      <c r="E647" s="3294"/>
      <c r="F647" s="3290"/>
      <c r="G647" s="3290"/>
      <c r="H647" s="3290"/>
      <c r="I647" s="3290"/>
    </row>
    <row r="648" spans="1:9" ht="14.25">
      <c r="A648" s="3288"/>
      <c r="B648" s="3290"/>
      <c r="C648" s="3294"/>
      <c r="D648" s="3290"/>
      <c r="E648" s="3294"/>
      <c r="F648" s="3290"/>
      <c r="G648" s="3290"/>
      <c r="H648" s="3290"/>
      <c r="I648" s="3290"/>
    </row>
    <row r="649" spans="1:9" ht="14.25">
      <c r="A649" s="3288"/>
      <c r="B649" s="3290"/>
      <c r="C649" s="3294"/>
      <c r="D649" s="3290"/>
      <c r="E649" s="3294"/>
      <c r="F649" s="3290"/>
      <c r="G649" s="3290"/>
      <c r="H649" s="3290"/>
      <c r="I649" s="3290"/>
    </row>
    <row r="650" spans="1:9" ht="14.25">
      <c r="A650" s="3288"/>
      <c r="B650" s="3290"/>
      <c r="C650" s="3294"/>
      <c r="D650" s="3290"/>
      <c r="E650" s="3294"/>
      <c r="F650" s="3290"/>
      <c r="G650" s="3290"/>
      <c r="H650" s="3290"/>
      <c r="I650" s="3290"/>
    </row>
    <row r="651" spans="1:9" ht="14.25">
      <c r="A651" s="3288"/>
      <c r="B651" s="3290"/>
      <c r="C651" s="3294"/>
      <c r="D651" s="3290"/>
      <c r="E651" s="3294"/>
      <c r="F651" s="3290"/>
      <c r="G651" s="3290"/>
      <c r="H651" s="3290"/>
      <c r="I651" s="3290"/>
    </row>
    <row r="652" spans="1:9" ht="14.25">
      <c r="A652" s="3288"/>
      <c r="B652" s="3290"/>
      <c r="C652" s="3294"/>
      <c r="D652" s="3290"/>
      <c r="E652" s="3294"/>
      <c r="F652" s="3290"/>
      <c r="G652" s="3290"/>
      <c r="H652" s="3290"/>
      <c r="I652" s="3290"/>
    </row>
    <row r="653" spans="1:9" ht="14.25">
      <c r="A653" s="3288"/>
      <c r="B653" s="3290"/>
      <c r="C653" s="3294"/>
      <c r="D653" s="3290"/>
      <c r="E653" s="3294"/>
      <c r="F653" s="3290"/>
      <c r="G653" s="3290"/>
      <c r="H653" s="3290"/>
      <c r="I653" s="3290"/>
    </row>
    <row r="654" spans="1:9" ht="14.25">
      <c r="A654" s="3288"/>
      <c r="B654" s="3290"/>
      <c r="C654" s="3294"/>
      <c r="D654" s="3290"/>
      <c r="E654" s="3294"/>
      <c r="F654" s="3290"/>
      <c r="G654" s="3290"/>
      <c r="H654" s="3290"/>
      <c r="I654" s="3290"/>
    </row>
    <row r="655" spans="1:9" ht="14.25">
      <c r="A655" s="3288"/>
      <c r="B655" s="3290"/>
      <c r="C655" s="3294"/>
      <c r="D655" s="3290"/>
      <c r="E655" s="3294"/>
      <c r="F655" s="3290"/>
      <c r="G655" s="3290"/>
      <c r="H655" s="3290"/>
      <c r="I655" s="3290"/>
    </row>
    <row r="656" spans="1:9" ht="14.25">
      <c r="A656" s="3288"/>
      <c r="B656" s="3290"/>
      <c r="C656" s="3294"/>
      <c r="D656" s="3290"/>
      <c r="E656" s="3294"/>
      <c r="F656" s="3290"/>
      <c r="G656" s="3290"/>
      <c r="H656" s="3290"/>
      <c r="I656" s="3290"/>
    </row>
    <row r="657" spans="1:9" ht="14.25">
      <c r="A657" s="3288"/>
      <c r="B657" s="3290"/>
      <c r="C657" s="3294"/>
      <c r="D657" s="3290"/>
      <c r="E657" s="3294"/>
      <c r="F657" s="3290"/>
      <c r="G657" s="3290"/>
      <c r="H657" s="3290"/>
      <c r="I657" s="3290"/>
    </row>
    <row r="658" spans="1:9" ht="14.25">
      <c r="A658" s="3288"/>
      <c r="B658" s="3290"/>
      <c r="C658" s="3294"/>
      <c r="D658" s="3290"/>
      <c r="E658" s="3294"/>
      <c r="F658" s="3290"/>
      <c r="G658" s="3290"/>
      <c r="H658" s="3290"/>
      <c r="I658" s="3290"/>
    </row>
    <row r="659" spans="1:9" ht="14.25">
      <c r="A659" s="3288"/>
      <c r="B659" s="3290"/>
      <c r="C659" s="3294"/>
      <c r="D659" s="3290"/>
      <c r="E659" s="3294"/>
      <c r="F659" s="3290"/>
      <c r="G659" s="3290"/>
      <c r="H659" s="3290"/>
      <c r="I659" s="3290"/>
    </row>
    <row r="660" spans="1:9" ht="14.25">
      <c r="A660" s="3288"/>
      <c r="B660" s="3290"/>
      <c r="C660" s="3294"/>
      <c r="D660" s="3290"/>
      <c r="E660" s="3294"/>
      <c r="F660" s="3290"/>
      <c r="G660" s="3290"/>
      <c r="H660" s="3290"/>
      <c r="I660" s="3290"/>
    </row>
    <row r="661" spans="1:9" ht="14.25">
      <c r="A661" s="3288"/>
      <c r="B661" s="3290"/>
      <c r="C661" s="3294"/>
      <c r="D661" s="3290"/>
      <c r="E661" s="3294"/>
      <c r="F661" s="3290"/>
      <c r="G661" s="3290"/>
      <c r="H661" s="3290"/>
      <c r="I661" s="3290"/>
    </row>
    <row r="662" spans="1:9" ht="14.25">
      <c r="A662" s="3288"/>
      <c r="B662" s="3290"/>
      <c r="C662" s="3294"/>
      <c r="D662" s="3290"/>
      <c r="E662" s="3294"/>
      <c r="F662" s="3290"/>
      <c r="G662" s="3290"/>
      <c r="H662" s="3290"/>
      <c r="I662" s="3290"/>
    </row>
    <row r="663" spans="1:9" ht="14.25">
      <c r="A663" s="3288"/>
      <c r="B663" s="3290"/>
      <c r="C663" s="3294"/>
      <c r="D663" s="3290"/>
      <c r="E663" s="3294"/>
      <c r="F663" s="3290"/>
      <c r="G663" s="3290"/>
      <c r="H663" s="3290"/>
      <c r="I663" s="3290"/>
    </row>
    <row r="664" spans="1:9" ht="14.25">
      <c r="A664" s="3288"/>
      <c r="B664" s="3290"/>
      <c r="C664" s="3294"/>
      <c r="D664" s="3290"/>
      <c r="E664" s="3294"/>
      <c r="F664" s="3290"/>
      <c r="G664" s="3290"/>
      <c r="H664" s="3290"/>
      <c r="I664" s="3290"/>
    </row>
    <row r="665" spans="1:9" ht="14.25">
      <c r="A665" s="3288"/>
      <c r="B665" s="3290"/>
      <c r="C665" s="3294"/>
      <c r="D665" s="3290"/>
      <c r="E665" s="3294"/>
      <c r="F665" s="3290"/>
      <c r="G665" s="3290"/>
      <c r="H665" s="3290"/>
      <c r="I665" s="3290"/>
    </row>
    <row r="666" spans="1:9" ht="14.25">
      <c r="A666" s="3288"/>
      <c r="B666" s="3290"/>
      <c r="C666" s="3294"/>
      <c r="D666" s="3290"/>
      <c r="E666" s="3294"/>
      <c r="F666" s="3290"/>
      <c r="G666" s="3290"/>
      <c r="H666" s="3290"/>
      <c r="I666" s="3290"/>
    </row>
    <row r="667" spans="1:9" ht="14.25">
      <c r="A667" s="3288"/>
      <c r="B667" s="3290"/>
      <c r="C667" s="3294"/>
      <c r="D667" s="3290"/>
      <c r="E667" s="3294"/>
      <c r="F667" s="3290"/>
      <c r="G667" s="3290"/>
      <c r="H667" s="3290"/>
      <c r="I667" s="3290"/>
    </row>
    <row r="668" spans="1:9" ht="14.25">
      <c r="A668" s="3288"/>
      <c r="B668" s="3290"/>
      <c r="C668" s="3294"/>
      <c r="D668" s="3290"/>
      <c r="E668" s="3294"/>
      <c r="F668" s="3290"/>
      <c r="G668" s="3290"/>
      <c r="H668" s="3290"/>
      <c r="I668" s="3290"/>
    </row>
    <row r="669" spans="1:9" ht="14.25">
      <c r="A669" s="3288"/>
      <c r="B669" s="3290"/>
      <c r="C669" s="3294"/>
      <c r="D669" s="3290"/>
      <c r="E669" s="3294"/>
      <c r="F669" s="3290"/>
      <c r="G669" s="3290"/>
      <c r="H669" s="3290"/>
      <c r="I669" s="3290"/>
    </row>
    <row r="670" spans="1:9" ht="14.25">
      <c r="A670" s="3288"/>
      <c r="B670" s="3290"/>
      <c r="C670" s="3294"/>
      <c r="D670" s="3290"/>
      <c r="E670" s="3294"/>
      <c r="F670" s="3290"/>
      <c r="G670" s="3290"/>
      <c r="H670" s="3290"/>
      <c r="I670" s="3290"/>
    </row>
    <row r="671" spans="1:9" ht="14.25">
      <c r="A671" s="3288"/>
      <c r="B671" s="3290"/>
      <c r="C671" s="3294"/>
      <c r="D671" s="3290"/>
      <c r="E671" s="3294"/>
      <c r="F671" s="3290"/>
      <c r="G671" s="3290"/>
      <c r="H671" s="3290"/>
      <c r="I671" s="3290"/>
    </row>
    <row r="672" spans="1:9" ht="14.25">
      <c r="A672" s="3288"/>
      <c r="B672" s="3290"/>
      <c r="C672" s="3294"/>
      <c r="D672" s="3290"/>
      <c r="E672" s="3294"/>
      <c r="F672" s="3290"/>
      <c r="G672" s="3290"/>
      <c r="H672" s="3290"/>
      <c r="I672" s="3290"/>
    </row>
    <row r="673" spans="1:9" ht="14.25">
      <c r="A673" s="3288"/>
      <c r="B673" s="3290"/>
      <c r="C673" s="3294"/>
      <c r="D673" s="3290"/>
      <c r="E673" s="3294"/>
      <c r="F673" s="3290"/>
      <c r="G673" s="3290"/>
      <c r="H673" s="3290"/>
      <c r="I673" s="3290"/>
    </row>
    <row r="674" spans="1:9" ht="14.25">
      <c r="A674" s="3288"/>
      <c r="B674" s="3290"/>
      <c r="C674" s="3294"/>
      <c r="D674" s="3290"/>
      <c r="E674" s="3294"/>
      <c r="F674" s="3290"/>
      <c r="G674" s="3290"/>
      <c r="H674" s="3290"/>
      <c r="I674" s="3290"/>
    </row>
    <row r="675" spans="1:9" ht="14.25">
      <c r="A675" s="3288"/>
      <c r="B675" s="3290"/>
      <c r="C675" s="3294"/>
      <c r="D675" s="3290"/>
      <c r="E675" s="3294"/>
      <c r="F675" s="3290"/>
      <c r="G675" s="3290"/>
      <c r="H675" s="3290"/>
      <c r="I675" s="3290"/>
    </row>
    <row r="676" spans="1:9" ht="14.25">
      <c r="A676" s="3288"/>
      <c r="B676" s="3290"/>
      <c r="C676" s="3294"/>
      <c r="D676" s="3290"/>
      <c r="E676" s="3294"/>
      <c r="F676" s="3290"/>
      <c r="G676" s="3290"/>
      <c r="H676" s="3290"/>
      <c r="I676" s="3290"/>
    </row>
    <row r="677" spans="1:9" ht="14.25">
      <c r="A677" s="3288"/>
      <c r="B677" s="3290"/>
      <c r="C677" s="3294"/>
      <c r="D677" s="3290"/>
      <c r="E677" s="3294"/>
      <c r="F677" s="3290"/>
      <c r="G677" s="3290"/>
      <c r="H677" s="3290"/>
      <c r="I677" s="3290"/>
    </row>
    <row r="678" spans="1:9" ht="14.25">
      <c r="A678" s="3288"/>
      <c r="B678" s="3290"/>
      <c r="C678" s="3294"/>
      <c r="D678" s="3290"/>
      <c r="E678" s="3294"/>
      <c r="F678" s="3290"/>
      <c r="G678" s="3290"/>
      <c r="H678" s="3290"/>
      <c r="I678" s="3290"/>
    </row>
    <row r="679" spans="1:9" ht="14.25">
      <c r="A679" s="3288"/>
      <c r="B679" s="3290"/>
      <c r="C679" s="3294"/>
      <c r="D679" s="3290"/>
      <c r="E679" s="3294"/>
      <c r="F679" s="3290"/>
      <c r="G679" s="3290"/>
      <c r="H679" s="3290"/>
      <c r="I679" s="3290"/>
    </row>
    <row r="680" spans="1:9" ht="14.25">
      <c r="A680" s="3288"/>
      <c r="B680" s="3290"/>
      <c r="C680" s="3294"/>
      <c r="D680" s="3290"/>
      <c r="E680" s="3294"/>
      <c r="F680" s="3290"/>
      <c r="G680" s="3290"/>
      <c r="H680" s="3290"/>
      <c r="I680" s="3290"/>
    </row>
    <row r="681" spans="1:9" ht="14.25">
      <c r="A681" s="3288"/>
      <c r="B681" s="3290"/>
      <c r="C681" s="3294"/>
      <c r="D681" s="3290"/>
      <c r="E681" s="3294"/>
      <c r="F681" s="3290"/>
      <c r="G681" s="3290"/>
      <c r="H681" s="3290"/>
      <c r="I681" s="3290"/>
    </row>
    <row r="682" spans="1:9" ht="14.25">
      <c r="A682" s="3288"/>
      <c r="B682" s="3290"/>
      <c r="C682" s="3294"/>
      <c r="D682" s="3290"/>
      <c r="E682" s="3294"/>
      <c r="F682" s="3290"/>
      <c r="G682" s="3290"/>
      <c r="H682" s="3290"/>
      <c r="I682" s="3290"/>
    </row>
    <row r="683" spans="1:9" ht="14.25">
      <c r="A683" s="3288"/>
      <c r="B683" s="3290"/>
      <c r="C683" s="3294"/>
      <c r="D683" s="3290"/>
      <c r="E683" s="3294"/>
      <c r="F683" s="3290"/>
      <c r="G683" s="3290"/>
      <c r="H683" s="3290"/>
      <c r="I683" s="3290"/>
    </row>
    <row r="684" spans="1:9" ht="14.25">
      <c r="A684" s="3288"/>
      <c r="B684" s="3290"/>
      <c r="C684" s="3294"/>
      <c r="D684" s="3290"/>
      <c r="E684" s="3294"/>
      <c r="F684" s="3290"/>
      <c r="G684" s="3290"/>
      <c r="H684" s="3290"/>
      <c r="I684" s="3290"/>
    </row>
    <row r="685" spans="1:9" ht="14.25">
      <c r="A685" s="3288"/>
      <c r="B685" s="3290"/>
      <c r="C685" s="3294"/>
      <c r="D685" s="3290"/>
      <c r="E685" s="3294"/>
      <c r="F685" s="3290"/>
      <c r="G685" s="3290"/>
      <c r="H685" s="3290"/>
      <c r="I685" s="3290"/>
    </row>
    <row r="686" spans="1:9" ht="14.25">
      <c r="A686" s="3288"/>
      <c r="B686" s="3290"/>
      <c r="C686" s="3294"/>
      <c r="D686" s="3290"/>
      <c r="E686" s="3294"/>
      <c r="F686" s="3290"/>
      <c r="G686" s="3290"/>
      <c r="H686" s="3290"/>
      <c r="I686" s="3290"/>
    </row>
    <row r="687" spans="1:9" ht="14.25">
      <c r="A687" s="3288"/>
      <c r="B687" s="3290"/>
      <c r="C687" s="3294"/>
      <c r="D687" s="3290"/>
      <c r="E687" s="3294"/>
      <c r="F687" s="3290"/>
      <c r="G687" s="3290"/>
      <c r="H687" s="3290"/>
      <c r="I687" s="3290"/>
    </row>
    <row r="688" spans="1:9" ht="14.25">
      <c r="A688" s="3288"/>
      <c r="B688" s="3290"/>
      <c r="C688" s="3294"/>
      <c r="D688" s="3290"/>
      <c r="E688" s="3294"/>
      <c r="F688" s="3290"/>
      <c r="G688" s="3290"/>
      <c r="H688" s="3290"/>
      <c r="I688" s="3290"/>
    </row>
    <row r="689" spans="1:9" ht="14.25">
      <c r="A689" s="3288"/>
      <c r="B689" s="3290"/>
      <c r="C689" s="3294"/>
      <c r="D689" s="3290"/>
      <c r="E689" s="3294"/>
      <c r="F689" s="3290"/>
      <c r="G689" s="3290"/>
      <c r="H689" s="3290"/>
      <c r="I689" s="3290"/>
    </row>
    <row r="690" spans="1:9" ht="14.25">
      <c r="A690" s="3288"/>
      <c r="B690" s="3290"/>
      <c r="C690" s="3294"/>
      <c r="D690" s="3290"/>
      <c r="E690" s="3294"/>
      <c r="F690" s="3290"/>
      <c r="G690" s="3290"/>
      <c r="H690" s="3290"/>
      <c r="I690" s="3290"/>
    </row>
    <row r="691" spans="1:9" ht="14.25">
      <c r="A691" s="3288"/>
      <c r="B691" s="3290"/>
      <c r="C691" s="3294"/>
      <c r="D691" s="3290"/>
      <c r="E691" s="3294"/>
      <c r="F691" s="3290"/>
      <c r="G691" s="3290"/>
      <c r="H691" s="3290"/>
      <c r="I691" s="3290"/>
    </row>
    <row r="692" spans="1:9" ht="14.25">
      <c r="A692" s="3288"/>
      <c r="B692" s="3290"/>
      <c r="C692" s="3294"/>
      <c r="D692" s="3290"/>
      <c r="E692" s="3294"/>
      <c r="F692" s="3290"/>
      <c r="G692" s="3290"/>
      <c r="H692" s="3290"/>
      <c r="I692" s="3290"/>
    </row>
    <row r="693" spans="1:9" ht="14.25">
      <c r="A693" s="3288"/>
      <c r="B693" s="3290"/>
      <c r="C693" s="3294"/>
      <c r="D693" s="3290"/>
      <c r="E693" s="3294"/>
      <c r="F693" s="3290"/>
      <c r="G693" s="3290"/>
      <c r="H693" s="3290"/>
      <c r="I693" s="3290"/>
    </row>
    <row r="694" spans="1:9" ht="14.25">
      <c r="A694" s="3288"/>
      <c r="B694" s="3290"/>
      <c r="C694" s="3294"/>
      <c r="D694" s="3290"/>
      <c r="E694" s="3294"/>
      <c r="F694" s="3290"/>
      <c r="G694" s="3290"/>
      <c r="H694" s="3290"/>
      <c r="I694" s="3290"/>
    </row>
    <row r="695" spans="1:9" ht="14.25">
      <c r="A695" s="3288"/>
      <c r="B695" s="3290"/>
      <c r="C695" s="3294"/>
      <c r="D695" s="3290"/>
      <c r="E695" s="3294"/>
      <c r="F695" s="3290"/>
      <c r="G695" s="3290"/>
      <c r="H695" s="3290"/>
      <c r="I695" s="3290"/>
    </row>
    <row r="696" spans="1:9" ht="14.25">
      <c r="A696" s="3288"/>
      <c r="B696" s="3290"/>
      <c r="C696" s="3294"/>
      <c r="D696" s="3290"/>
      <c r="E696" s="3294"/>
      <c r="F696" s="3290"/>
      <c r="G696" s="3290"/>
      <c r="H696" s="3290"/>
      <c r="I696" s="3290"/>
    </row>
    <row r="697" spans="1:9" ht="14.25">
      <c r="A697" s="3288"/>
      <c r="B697" s="3290"/>
      <c r="C697" s="3294"/>
      <c r="D697" s="3290"/>
      <c r="E697" s="3294"/>
      <c r="F697" s="3290"/>
      <c r="G697" s="3290"/>
      <c r="H697" s="3290"/>
      <c r="I697" s="3290"/>
    </row>
    <row r="698" spans="1:9" ht="14.25">
      <c r="A698" s="3288"/>
      <c r="B698" s="3290"/>
      <c r="C698" s="3294"/>
      <c r="D698" s="3290"/>
      <c r="E698" s="3294"/>
      <c r="F698" s="3290"/>
      <c r="G698" s="3290"/>
      <c r="H698" s="3290"/>
      <c r="I698" s="3290"/>
    </row>
    <row r="699" spans="1:9" ht="14.25">
      <c r="A699" s="3288"/>
      <c r="B699" s="3290"/>
      <c r="C699" s="3294"/>
      <c r="D699" s="3290"/>
      <c r="E699" s="3294"/>
      <c r="F699" s="3290"/>
      <c r="G699" s="3290"/>
      <c r="H699" s="3290"/>
      <c r="I699" s="3290"/>
    </row>
    <row r="700" spans="1:9" ht="14.25">
      <c r="A700" s="3288"/>
      <c r="B700" s="3290"/>
      <c r="C700" s="3294"/>
      <c r="D700" s="3290"/>
      <c r="E700" s="3294"/>
      <c r="F700" s="3290"/>
      <c r="G700" s="3290"/>
      <c r="H700" s="3290"/>
      <c r="I700" s="3290"/>
    </row>
    <row r="701" spans="1:9" ht="14.25">
      <c r="A701" s="3288"/>
      <c r="B701" s="3290"/>
      <c r="C701" s="3294"/>
      <c r="D701" s="3290"/>
      <c r="E701" s="3294"/>
      <c r="F701" s="3290"/>
      <c r="G701" s="3290"/>
      <c r="H701" s="3290"/>
      <c r="I701" s="3290"/>
    </row>
    <row r="702" spans="1:9" ht="14.25">
      <c r="A702" s="3288"/>
      <c r="B702" s="3290"/>
      <c r="C702" s="3294"/>
      <c r="D702" s="3290"/>
      <c r="E702" s="3294"/>
      <c r="F702" s="3290"/>
      <c r="G702" s="3290"/>
      <c r="H702" s="3290"/>
      <c r="I702" s="3290"/>
    </row>
    <row r="703" spans="1:9" ht="14.25">
      <c r="A703" s="3288"/>
      <c r="B703" s="3290"/>
      <c r="C703" s="3294"/>
      <c r="D703" s="3290"/>
      <c r="E703" s="3294"/>
      <c r="F703" s="3290"/>
      <c r="G703" s="3290"/>
      <c r="H703" s="3290"/>
      <c r="I703" s="3290"/>
    </row>
    <row r="704" spans="1:9" ht="14.25">
      <c r="A704" s="3288"/>
      <c r="B704" s="3290"/>
      <c r="C704" s="3294"/>
      <c r="D704" s="3290"/>
      <c r="E704" s="3294"/>
      <c r="F704" s="3290"/>
      <c r="G704" s="3290"/>
      <c r="H704" s="3290"/>
      <c r="I704" s="3290"/>
    </row>
    <row r="705" spans="1:9" ht="14.25">
      <c r="A705" s="3288"/>
      <c r="B705" s="3290"/>
      <c r="C705" s="3294"/>
      <c r="D705" s="3290"/>
      <c r="E705" s="3294"/>
      <c r="F705" s="3290"/>
      <c r="G705" s="3290"/>
      <c r="H705" s="3290"/>
      <c r="I705" s="3290"/>
    </row>
    <row r="706" spans="1:9" ht="14.25">
      <c r="A706" s="3288"/>
      <c r="B706" s="3290"/>
      <c r="C706" s="3294"/>
      <c r="D706" s="3290"/>
      <c r="E706" s="3294"/>
      <c r="F706" s="3290"/>
      <c r="G706" s="3290"/>
      <c r="H706" s="3290"/>
      <c r="I706" s="3290"/>
    </row>
    <row r="707" spans="1:9" ht="14.25">
      <c r="A707" s="3288"/>
      <c r="B707" s="3290"/>
      <c r="C707" s="3294"/>
      <c r="D707" s="3290"/>
      <c r="E707" s="3294"/>
      <c r="F707" s="3290"/>
      <c r="G707" s="3290"/>
      <c r="H707" s="3290"/>
      <c r="I707" s="3290"/>
    </row>
    <row r="708" spans="1:9" ht="14.25">
      <c r="A708" s="3288"/>
      <c r="B708" s="3290"/>
      <c r="C708" s="3294"/>
      <c r="D708" s="3290"/>
      <c r="E708" s="3294"/>
      <c r="F708" s="3290"/>
      <c r="G708" s="3290"/>
      <c r="H708" s="3290"/>
      <c r="I708" s="3290"/>
    </row>
    <row r="709" spans="1:9" ht="14.25">
      <c r="A709" s="3288"/>
      <c r="B709" s="3290"/>
      <c r="C709" s="3294"/>
      <c r="D709" s="3290"/>
      <c r="E709" s="3294"/>
      <c r="F709" s="3290"/>
      <c r="G709" s="3290"/>
      <c r="H709" s="3290"/>
      <c r="I709" s="3290"/>
    </row>
    <row r="710" spans="1:9" ht="14.25">
      <c r="A710" s="3288"/>
      <c r="B710" s="3290"/>
      <c r="C710" s="3294"/>
      <c r="D710" s="3290"/>
      <c r="E710" s="3294"/>
      <c r="F710" s="3290"/>
      <c r="G710" s="3290"/>
      <c r="H710" s="3290"/>
      <c r="I710" s="3290"/>
    </row>
    <row r="711" spans="1:9" ht="14.25">
      <c r="A711" s="3288"/>
      <c r="B711" s="3290"/>
      <c r="C711" s="3294"/>
      <c r="D711" s="3290"/>
      <c r="E711" s="3294"/>
      <c r="F711" s="3290"/>
      <c r="G711" s="3290"/>
      <c r="H711" s="3290"/>
      <c r="I711" s="3290"/>
    </row>
    <row r="712" spans="1:9" ht="14.25">
      <c r="A712" s="3288"/>
      <c r="B712" s="3290"/>
      <c r="C712" s="3294"/>
      <c r="D712" s="3290"/>
      <c r="E712" s="3294"/>
      <c r="F712" s="3290"/>
      <c r="G712" s="3290"/>
      <c r="H712" s="3290"/>
      <c r="I712" s="3290"/>
    </row>
    <row r="713" spans="1:9" ht="14.25">
      <c r="A713" s="3288"/>
      <c r="B713" s="3290"/>
      <c r="C713" s="3294"/>
      <c r="D713" s="3290"/>
      <c r="E713" s="3294"/>
      <c r="F713" s="3290"/>
      <c r="G713" s="3290"/>
      <c r="H713" s="3290"/>
      <c r="I713" s="3290"/>
    </row>
    <row r="714" spans="1:9" ht="14.25">
      <c r="A714" s="3288"/>
      <c r="B714" s="3290"/>
      <c r="C714" s="3294"/>
      <c r="D714" s="3290"/>
      <c r="E714" s="3294"/>
      <c r="F714" s="3290"/>
      <c r="G714" s="3290"/>
      <c r="H714" s="3290"/>
      <c r="I714" s="3290"/>
    </row>
    <row r="715" spans="1:9" ht="14.25">
      <c r="A715" s="3288"/>
      <c r="B715" s="3290"/>
      <c r="C715" s="3294"/>
      <c r="D715" s="3290"/>
      <c r="E715" s="3294"/>
      <c r="F715" s="3290"/>
      <c r="G715" s="3290"/>
      <c r="H715" s="3290"/>
      <c r="I715" s="3290"/>
    </row>
    <row r="716" spans="1:9" ht="14.25">
      <c r="A716" s="3288"/>
      <c r="B716" s="3290"/>
      <c r="C716" s="3294"/>
      <c r="D716" s="3290"/>
      <c r="E716" s="3294"/>
      <c r="F716" s="3290"/>
      <c r="G716" s="3290"/>
      <c r="H716" s="3290"/>
      <c r="I716" s="3290"/>
    </row>
    <row r="717" spans="1:9" ht="14.25">
      <c r="A717" s="3288"/>
      <c r="B717" s="3290"/>
      <c r="C717" s="3294"/>
      <c r="D717" s="3290"/>
      <c r="E717" s="3294"/>
      <c r="F717" s="3290"/>
      <c r="G717" s="3290"/>
      <c r="H717" s="3290"/>
      <c r="I717" s="3290"/>
    </row>
    <row r="718" spans="1:9" ht="14.25">
      <c r="A718" s="3288"/>
      <c r="B718" s="3290"/>
      <c r="C718" s="3294"/>
      <c r="D718" s="3290"/>
      <c r="E718" s="3294"/>
      <c r="F718" s="3290"/>
      <c r="G718" s="3290"/>
      <c r="H718" s="3290"/>
      <c r="I718" s="3290"/>
    </row>
    <row r="719" spans="1:9" ht="14.25">
      <c r="A719" s="3288"/>
      <c r="B719" s="3290"/>
      <c r="C719" s="3294"/>
      <c r="D719" s="3290"/>
      <c r="E719" s="3294"/>
      <c r="F719" s="3290"/>
      <c r="G719" s="3290"/>
      <c r="H719" s="3290"/>
      <c r="I719" s="3290"/>
    </row>
    <row r="720" spans="1:9" ht="14.25">
      <c r="A720" s="3288"/>
      <c r="B720" s="3290"/>
      <c r="C720" s="3294"/>
      <c r="D720" s="3290"/>
      <c r="E720" s="3294"/>
      <c r="F720" s="3290"/>
      <c r="G720" s="3290"/>
      <c r="H720" s="3290"/>
      <c r="I720" s="3290"/>
    </row>
    <row r="721" spans="1:9" ht="14.25">
      <c r="A721" s="3288"/>
      <c r="B721" s="3290"/>
      <c r="C721" s="3294"/>
      <c r="D721" s="3290"/>
      <c r="E721" s="3294"/>
      <c r="F721" s="3290"/>
      <c r="G721" s="3290"/>
      <c r="H721" s="3290"/>
      <c r="I721" s="3290"/>
    </row>
    <row r="722" spans="1:9" ht="14.25">
      <c r="A722" s="3288"/>
      <c r="B722" s="3290"/>
      <c r="C722" s="3294"/>
      <c r="D722" s="3290"/>
      <c r="E722" s="3294"/>
      <c r="F722" s="3290"/>
      <c r="G722" s="3290"/>
      <c r="H722" s="3290"/>
      <c r="I722" s="3290"/>
    </row>
    <row r="723" spans="1:9" ht="14.25">
      <c r="A723" s="3288"/>
      <c r="B723" s="3290"/>
      <c r="C723" s="3294"/>
      <c r="D723" s="3290"/>
      <c r="E723" s="3294"/>
      <c r="F723" s="3290"/>
      <c r="G723" s="3290"/>
      <c r="H723" s="3290"/>
      <c r="I723" s="3290"/>
    </row>
    <row r="724" spans="1:9" ht="14.25">
      <c r="A724" s="3288"/>
      <c r="B724" s="3290"/>
      <c r="C724" s="3294"/>
      <c r="D724" s="3290"/>
      <c r="E724" s="3294"/>
      <c r="F724" s="3290"/>
      <c r="G724" s="3290"/>
      <c r="H724" s="3290"/>
      <c r="I724" s="3290"/>
    </row>
    <row r="725" spans="1:9" ht="14.25">
      <c r="A725" s="3288"/>
      <c r="B725" s="3290"/>
      <c r="C725" s="3294"/>
      <c r="D725" s="3290"/>
      <c r="E725" s="3294"/>
      <c r="F725" s="3290"/>
      <c r="G725" s="3290"/>
      <c r="H725" s="3290"/>
      <c r="I725" s="3290"/>
    </row>
    <row r="726" spans="1:9" ht="14.25">
      <c r="A726" s="3288"/>
      <c r="B726" s="3290"/>
      <c r="C726" s="3294"/>
      <c r="D726" s="3290"/>
      <c r="E726" s="3294"/>
      <c r="F726" s="3290"/>
      <c r="G726" s="3290"/>
      <c r="H726" s="3290"/>
      <c r="I726" s="3290"/>
    </row>
    <row r="727" spans="1:9" ht="14.25">
      <c r="A727" s="3288"/>
      <c r="B727" s="3290"/>
      <c r="C727" s="3294"/>
      <c r="D727" s="3290"/>
      <c r="E727" s="3294"/>
      <c r="F727" s="3290"/>
      <c r="G727" s="3290"/>
      <c r="H727" s="3290"/>
      <c r="I727" s="3290"/>
    </row>
    <row r="728" spans="1:9" ht="14.25">
      <c r="A728" s="3288"/>
      <c r="B728" s="3290"/>
      <c r="C728" s="3294"/>
      <c r="D728" s="3290"/>
      <c r="E728" s="3294"/>
      <c r="F728" s="3290"/>
      <c r="G728" s="3290"/>
      <c r="H728" s="3290"/>
      <c r="I728" s="3290"/>
    </row>
    <row r="729" spans="1:9" ht="14.25">
      <c r="A729" s="3288"/>
      <c r="B729" s="3290"/>
      <c r="C729" s="3294"/>
      <c r="D729" s="3290"/>
      <c r="E729" s="3294"/>
      <c r="F729" s="3290"/>
      <c r="G729" s="3290"/>
      <c r="H729" s="3290"/>
      <c r="I729" s="3290"/>
    </row>
    <row r="730" spans="1:9" ht="14.25">
      <c r="A730" s="3288"/>
      <c r="B730" s="3290"/>
      <c r="C730" s="3294"/>
      <c r="D730" s="3290"/>
      <c r="E730" s="3294"/>
      <c r="F730" s="3290"/>
      <c r="G730" s="3290"/>
      <c r="H730" s="3290"/>
      <c r="I730" s="3290"/>
    </row>
    <row r="731" spans="1:9" ht="14.25">
      <c r="A731" s="3288"/>
      <c r="B731" s="3290"/>
      <c r="C731" s="3294"/>
      <c r="D731" s="3290"/>
      <c r="E731" s="3294"/>
      <c r="F731" s="3290"/>
      <c r="G731" s="3290"/>
      <c r="H731" s="3290"/>
      <c r="I731" s="3290"/>
    </row>
    <row r="732" spans="1:9" ht="14.25">
      <c r="A732" s="3288"/>
      <c r="B732" s="3290"/>
      <c r="C732" s="3294"/>
      <c r="D732" s="3290"/>
      <c r="E732" s="3294"/>
      <c r="F732" s="3290"/>
      <c r="G732" s="3290"/>
      <c r="H732" s="3290"/>
      <c r="I732" s="3290"/>
    </row>
    <row r="733" spans="1:9" ht="14.25">
      <c r="A733" s="3288"/>
      <c r="B733" s="3290"/>
      <c r="C733" s="3294"/>
      <c r="D733" s="3290"/>
      <c r="E733" s="3294"/>
      <c r="F733" s="3290"/>
      <c r="G733" s="3290"/>
      <c r="H733" s="3290"/>
      <c r="I733" s="3290"/>
    </row>
    <row r="734" spans="1:9" ht="14.25">
      <c r="A734" s="3288"/>
      <c r="B734" s="3290"/>
      <c r="C734" s="3294"/>
      <c r="D734" s="3290"/>
      <c r="E734" s="3294"/>
      <c r="F734" s="3290"/>
      <c r="G734" s="3290"/>
      <c r="H734" s="3290"/>
      <c r="I734" s="3290"/>
    </row>
    <row r="735" spans="1:9" ht="14.25">
      <c r="A735" s="3288"/>
      <c r="B735" s="3290"/>
      <c r="C735" s="3294"/>
      <c r="D735" s="3290"/>
      <c r="E735" s="3294"/>
      <c r="F735" s="3290"/>
      <c r="G735" s="3290"/>
      <c r="H735" s="3290"/>
      <c r="I735" s="3290"/>
    </row>
    <row r="736" spans="1:9" ht="14.25">
      <c r="A736" s="3288"/>
      <c r="B736" s="3290"/>
      <c r="C736" s="3294"/>
      <c r="D736" s="3290"/>
      <c r="E736" s="3294"/>
      <c r="F736" s="3290"/>
      <c r="G736" s="3290"/>
      <c r="H736" s="3290"/>
      <c r="I736" s="3290"/>
    </row>
    <row r="737" spans="1:9" ht="14.25">
      <c r="A737" s="3288"/>
      <c r="B737" s="3290"/>
      <c r="C737" s="3294"/>
      <c r="D737" s="3290"/>
      <c r="E737" s="3294"/>
      <c r="F737" s="3290"/>
      <c r="G737" s="3290"/>
      <c r="H737" s="3290"/>
      <c r="I737" s="3290"/>
    </row>
    <row r="738" spans="1:9" ht="14.25">
      <c r="A738" s="3288"/>
      <c r="B738" s="3290"/>
      <c r="C738" s="3294"/>
      <c r="D738" s="3290"/>
      <c r="E738" s="3294"/>
      <c r="F738" s="3290"/>
      <c r="G738" s="3290"/>
      <c r="H738" s="3290"/>
      <c r="I738" s="3290"/>
    </row>
    <row r="739" spans="1:9" ht="14.25">
      <c r="A739" s="3288"/>
      <c r="B739" s="3290"/>
      <c r="C739" s="3294"/>
      <c r="D739" s="3290"/>
      <c r="E739" s="3294"/>
      <c r="F739" s="3290"/>
      <c r="G739" s="3290"/>
      <c r="H739" s="3290"/>
      <c r="I739" s="3290"/>
    </row>
    <row r="740" spans="1:9" ht="14.25">
      <c r="A740" s="3288"/>
      <c r="B740" s="3290"/>
      <c r="C740" s="3294"/>
      <c r="D740" s="3290"/>
      <c r="E740" s="3294"/>
      <c r="F740" s="3290"/>
      <c r="G740" s="3290"/>
      <c r="H740" s="3290"/>
      <c r="I740" s="3290"/>
    </row>
    <row r="741" spans="1:9" ht="14.25">
      <c r="A741" s="3288"/>
      <c r="B741" s="3290"/>
      <c r="C741" s="3294"/>
      <c r="D741" s="3290"/>
      <c r="E741" s="3294"/>
      <c r="F741" s="3290"/>
      <c r="G741" s="3290"/>
      <c r="H741" s="3290"/>
      <c r="I741" s="3290"/>
    </row>
    <row r="742" spans="1:9" ht="14.25">
      <c r="A742" s="3288"/>
      <c r="B742" s="3290"/>
      <c r="C742" s="3294"/>
      <c r="D742" s="3290"/>
      <c r="E742" s="3294"/>
      <c r="F742" s="3290"/>
      <c r="G742" s="3290"/>
      <c r="H742" s="3290"/>
      <c r="I742" s="3290"/>
    </row>
    <row r="743" spans="1:9" ht="14.25">
      <c r="A743" s="3288"/>
      <c r="B743" s="3290"/>
      <c r="C743" s="3294"/>
      <c r="D743" s="3290"/>
      <c r="E743" s="3294"/>
      <c r="F743" s="3290"/>
      <c r="G743" s="3290"/>
      <c r="H743" s="3290"/>
      <c r="I743" s="3290"/>
    </row>
    <row r="744" spans="1:9" ht="14.25">
      <c r="A744" s="3288"/>
      <c r="B744" s="3290"/>
      <c r="C744" s="3294"/>
      <c r="D744" s="3290"/>
      <c r="E744" s="3294"/>
      <c r="F744" s="3290"/>
      <c r="G744" s="3290"/>
      <c r="H744" s="3290"/>
      <c r="I744" s="3290"/>
    </row>
    <row r="745" spans="1:9" ht="14.25">
      <c r="A745" s="3288"/>
      <c r="B745" s="3290"/>
      <c r="C745" s="3294"/>
      <c r="D745" s="3290"/>
      <c r="E745" s="3294"/>
      <c r="F745" s="3290"/>
      <c r="G745" s="3290"/>
      <c r="H745" s="3290"/>
      <c r="I745" s="3290"/>
    </row>
    <row r="746" spans="1:9" ht="14.25">
      <c r="A746" s="3288"/>
      <c r="B746" s="3290"/>
      <c r="C746" s="3294"/>
      <c r="D746" s="3290"/>
      <c r="E746" s="3294"/>
      <c r="F746" s="3290"/>
      <c r="G746" s="3290"/>
      <c r="H746" s="3290"/>
      <c r="I746" s="3290"/>
    </row>
    <row r="747" spans="1:9" ht="14.25">
      <c r="A747" s="3288"/>
      <c r="B747" s="3290"/>
      <c r="C747" s="3294"/>
      <c r="D747" s="3290"/>
      <c r="E747" s="3294"/>
      <c r="F747" s="3290"/>
      <c r="G747" s="3290"/>
      <c r="H747" s="3290"/>
      <c r="I747" s="3290"/>
    </row>
    <row r="748" spans="1:9" ht="14.25">
      <c r="A748" s="3288"/>
      <c r="B748" s="3290"/>
      <c r="C748" s="3294"/>
      <c r="D748" s="3290"/>
      <c r="E748" s="3294"/>
      <c r="F748" s="3290"/>
      <c r="G748" s="3290"/>
      <c r="H748" s="3290"/>
      <c r="I748" s="3290"/>
    </row>
    <row r="749" spans="1:9" ht="14.25">
      <c r="A749" s="3288"/>
      <c r="B749" s="3290"/>
      <c r="C749" s="3294"/>
      <c r="D749" s="3290"/>
      <c r="E749" s="3294"/>
      <c r="F749" s="3290"/>
      <c r="G749" s="3290"/>
      <c r="H749" s="3290"/>
      <c r="I749" s="3290"/>
    </row>
    <row r="750" spans="1:9" ht="14.25">
      <c r="A750" s="3288"/>
      <c r="B750" s="3290"/>
      <c r="C750" s="3294"/>
      <c r="D750" s="3290"/>
      <c r="E750" s="3294"/>
      <c r="F750" s="3290"/>
      <c r="G750" s="3290"/>
      <c r="H750" s="3290"/>
      <c r="I750" s="3290"/>
    </row>
    <row r="751" spans="1:9" ht="14.25">
      <c r="A751" s="3288"/>
      <c r="B751" s="3290"/>
      <c r="C751" s="3294"/>
      <c r="D751" s="3290"/>
      <c r="E751" s="3294"/>
      <c r="F751" s="3290"/>
      <c r="G751" s="3290"/>
      <c r="H751" s="3290"/>
      <c r="I751" s="3290"/>
    </row>
    <row r="752" spans="1:9" ht="14.25">
      <c r="A752" s="3288"/>
      <c r="B752" s="3290"/>
      <c r="C752" s="3294"/>
      <c r="D752" s="3290"/>
      <c r="E752" s="3294"/>
      <c r="F752" s="3290"/>
      <c r="G752" s="3290"/>
      <c r="H752" s="3290"/>
      <c r="I752" s="3290"/>
    </row>
    <row r="753" spans="1:9" ht="14.25">
      <c r="A753" s="3288"/>
      <c r="B753" s="3290"/>
      <c r="C753" s="3294"/>
      <c r="D753" s="3290"/>
      <c r="E753" s="3294"/>
      <c r="F753" s="3290"/>
      <c r="G753" s="3290"/>
      <c r="H753" s="3290"/>
      <c r="I753" s="3290"/>
    </row>
    <row r="754" spans="1:9" ht="14.25">
      <c r="A754" s="3288"/>
      <c r="B754" s="3290"/>
      <c r="C754" s="3294"/>
      <c r="D754" s="3290"/>
      <c r="E754" s="3294"/>
      <c r="F754" s="3290"/>
      <c r="G754" s="3290"/>
      <c r="H754" s="3290"/>
      <c r="I754" s="3290"/>
    </row>
    <row r="755" spans="1:9" ht="14.25">
      <c r="A755" s="3288"/>
      <c r="B755" s="3290"/>
      <c r="C755" s="3294"/>
      <c r="D755" s="3290"/>
      <c r="E755" s="3294"/>
      <c r="F755" s="3290"/>
      <c r="G755" s="3290"/>
      <c r="H755" s="3290"/>
      <c r="I755" s="3290"/>
    </row>
    <row r="756" spans="1:9" ht="14.25">
      <c r="A756" s="3288"/>
      <c r="B756" s="3290"/>
      <c r="C756" s="3294"/>
      <c r="D756" s="3290"/>
      <c r="E756" s="3294"/>
      <c r="F756" s="3290"/>
      <c r="G756" s="3290"/>
      <c r="H756" s="3290"/>
      <c r="I756" s="3290"/>
    </row>
    <row r="757" spans="1:9" ht="14.25">
      <c r="A757" s="3288"/>
      <c r="B757" s="3290"/>
      <c r="C757" s="3294"/>
      <c r="D757" s="3290"/>
      <c r="E757" s="3294"/>
      <c r="F757" s="3290"/>
      <c r="G757" s="3290"/>
      <c r="H757" s="3290"/>
      <c r="I757" s="3290"/>
    </row>
    <row r="758" spans="1:9" ht="14.25">
      <c r="A758" s="3288"/>
      <c r="B758" s="3290"/>
      <c r="C758" s="3294"/>
      <c r="D758" s="3290"/>
      <c r="E758" s="3294"/>
      <c r="F758" s="3290"/>
      <c r="G758" s="3290"/>
      <c r="H758" s="3290"/>
      <c r="I758" s="3290"/>
    </row>
    <row r="759" spans="1:9" ht="14.25">
      <c r="A759" s="3288"/>
      <c r="B759" s="3290"/>
      <c r="C759" s="3294"/>
      <c r="D759" s="3290"/>
      <c r="E759" s="3294"/>
      <c r="F759" s="3290"/>
      <c r="G759" s="3290"/>
      <c r="H759" s="3290"/>
      <c r="I759" s="3290"/>
    </row>
    <row r="760" spans="1:9" ht="14.25">
      <c r="A760" s="3288"/>
      <c r="B760" s="3290"/>
      <c r="C760" s="3294"/>
      <c r="D760" s="3290"/>
      <c r="E760" s="3294"/>
      <c r="F760" s="3290"/>
      <c r="G760" s="3290"/>
      <c r="H760" s="3290"/>
      <c r="I760" s="3290"/>
    </row>
    <row r="761" spans="1:9" ht="14.25">
      <c r="A761" s="3288"/>
      <c r="B761" s="3290"/>
      <c r="C761" s="3294"/>
      <c r="D761" s="3290"/>
      <c r="E761" s="3294"/>
      <c r="F761" s="3290"/>
      <c r="G761" s="3290"/>
      <c r="H761" s="3290"/>
      <c r="I761" s="3290"/>
    </row>
    <row r="762" spans="1:9" ht="14.25">
      <c r="A762" s="3288"/>
      <c r="B762" s="3290"/>
      <c r="C762" s="3294"/>
      <c r="D762" s="3290"/>
      <c r="E762" s="3294"/>
      <c r="F762" s="3290"/>
      <c r="G762" s="3290"/>
      <c r="H762" s="3290"/>
      <c r="I762" s="3290"/>
    </row>
    <row r="763" spans="1:9" ht="14.25">
      <c r="A763" s="3288"/>
      <c r="B763" s="3290"/>
      <c r="C763" s="3294"/>
      <c r="D763" s="3290"/>
      <c r="E763" s="3294"/>
      <c r="F763" s="3290"/>
      <c r="G763" s="3290"/>
      <c r="H763" s="3290"/>
      <c r="I763" s="3290"/>
    </row>
    <row r="764" spans="1:9" ht="14.25">
      <c r="A764" s="3288"/>
      <c r="B764" s="3290"/>
      <c r="C764" s="3294"/>
      <c r="D764" s="3290"/>
      <c r="E764" s="3294"/>
      <c r="F764" s="3290"/>
      <c r="G764" s="3290"/>
      <c r="H764" s="3290"/>
      <c r="I764" s="3290"/>
    </row>
    <row r="765" spans="1:9" ht="14.25">
      <c r="A765" s="3288"/>
      <c r="B765" s="3290"/>
      <c r="C765" s="3294"/>
      <c r="D765" s="3290"/>
      <c r="E765" s="3294"/>
      <c r="F765" s="3290"/>
      <c r="G765" s="3290"/>
      <c r="H765" s="3290"/>
      <c r="I765" s="3290"/>
    </row>
    <row r="766" spans="1:9" ht="14.25">
      <c r="A766" s="3288"/>
      <c r="B766" s="3290"/>
      <c r="C766" s="3294"/>
      <c r="D766" s="3290"/>
      <c r="E766" s="3294"/>
      <c r="F766" s="3290"/>
      <c r="G766" s="3290"/>
      <c r="H766" s="3290"/>
      <c r="I766" s="3290"/>
    </row>
    <row r="767" spans="1:9" ht="14.25">
      <c r="A767" s="3288"/>
      <c r="B767" s="3290"/>
      <c r="C767" s="3294"/>
      <c r="D767" s="3290"/>
      <c r="E767" s="3294"/>
      <c r="F767" s="3290"/>
      <c r="G767" s="3290"/>
      <c r="H767" s="3290"/>
      <c r="I767" s="3290"/>
    </row>
    <row r="768" spans="1:9" ht="14.25">
      <c r="A768" s="3288"/>
      <c r="B768" s="3290"/>
      <c r="C768" s="3294"/>
      <c r="D768" s="3290"/>
      <c r="E768" s="3294"/>
      <c r="F768" s="3290"/>
      <c r="G768" s="3290"/>
      <c r="H768" s="3290"/>
      <c r="I768" s="3290"/>
    </row>
    <row r="769" spans="1:9" ht="14.25">
      <c r="A769" s="3288"/>
      <c r="B769" s="3290"/>
      <c r="C769" s="3294"/>
      <c r="D769" s="3290"/>
      <c r="E769" s="3294"/>
      <c r="F769" s="3290"/>
      <c r="G769" s="3290"/>
      <c r="H769" s="3290"/>
      <c r="I769" s="3290"/>
    </row>
    <row r="770" spans="1:9" ht="14.25">
      <c r="A770" s="3288"/>
      <c r="B770" s="3290"/>
      <c r="C770" s="3294"/>
      <c r="D770" s="3290"/>
      <c r="E770" s="3294"/>
      <c r="F770" s="3290"/>
      <c r="G770" s="3290"/>
      <c r="H770" s="3290"/>
      <c r="I770" s="3290"/>
    </row>
    <row r="771" spans="1:9" ht="14.25">
      <c r="A771" s="3288"/>
      <c r="B771" s="3290"/>
      <c r="C771" s="3294"/>
      <c r="D771" s="3290"/>
      <c r="E771" s="3294"/>
      <c r="F771" s="3290"/>
      <c r="G771" s="3290"/>
      <c r="H771" s="3290"/>
      <c r="I771" s="3290"/>
    </row>
    <row r="772" spans="1:9" ht="14.25">
      <c r="A772" s="3288"/>
      <c r="B772" s="3290"/>
      <c r="C772" s="3294"/>
      <c r="D772" s="3290"/>
      <c r="E772" s="3294"/>
      <c r="F772" s="3290"/>
      <c r="G772" s="3290"/>
      <c r="H772" s="3290"/>
      <c r="I772" s="3290"/>
    </row>
    <row r="773" spans="1:9" ht="14.25">
      <c r="A773" s="3288"/>
      <c r="B773" s="3290"/>
      <c r="C773" s="3294"/>
      <c r="D773" s="3290"/>
      <c r="E773" s="3294"/>
      <c r="F773" s="3290"/>
      <c r="G773" s="3290"/>
      <c r="H773" s="3290"/>
      <c r="I773" s="3290"/>
    </row>
    <row r="774" spans="1:9" ht="14.25">
      <c r="A774" s="3288"/>
      <c r="B774" s="3290"/>
      <c r="C774" s="3294"/>
      <c r="D774" s="3290"/>
      <c r="E774" s="3294"/>
      <c r="F774" s="3290"/>
      <c r="G774" s="3290"/>
      <c r="H774" s="3290"/>
      <c r="I774" s="3290"/>
    </row>
    <row r="775" spans="1:9" ht="14.25">
      <c r="A775" s="3288"/>
      <c r="B775" s="3290"/>
      <c r="C775" s="3294"/>
      <c r="D775" s="3290"/>
      <c r="E775" s="3294"/>
      <c r="F775" s="3290"/>
      <c r="G775" s="3290"/>
      <c r="H775" s="3290"/>
      <c r="I775" s="3290"/>
    </row>
    <row r="776" spans="1:9" ht="14.25">
      <c r="A776" s="3288"/>
      <c r="B776" s="3290"/>
      <c r="C776" s="3294"/>
      <c r="D776" s="3290"/>
      <c r="E776" s="3294"/>
      <c r="F776" s="3290"/>
      <c r="G776" s="3290"/>
      <c r="H776" s="3290"/>
      <c r="I776" s="3290"/>
    </row>
    <row r="777" spans="1:9" ht="14.25">
      <c r="A777" s="3288"/>
      <c r="B777" s="3290"/>
      <c r="C777" s="3294"/>
      <c r="D777" s="3290"/>
      <c r="E777" s="3294"/>
      <c r="F777" s="3290"/>
      <c r="G777" s="3290"/>
      <c r="H777" s="3290"/>
      <c r="I777" s="3290"/>
    </row>
    <row r="778" spans="1:9" ht="14.25">
      <c r="A778" s="3288"/>
      <c r="B778" s="3290"/>
      <c r="C778" s="3294"/>
      <c r="D778" s="3290"/>
      <c r="E778" s="3294"/>
      <c r="F778" s="3290"/>
      <c r="G778" s="3290"/>
      <c r="H778" s="3290"/>
      <c r="I778" s="3290"/>
    </row>
    <row r="779" spans="1:9" ht="14.25">
      <c r="A779" s="3288"/>
      <c r="B779" s="3290"/>
      <c r="C779" s="3294"/>
      <c r="D779" s="3290"/>
      <c r="E779" s="3294"/>
      <c r="F779" s="3290"/>
      <c r="G779" s="3290"/>
      <c r="H779" s="3290"/>
      <c r="I779" s="3290"/>
    </row>
    <row r="780" spans="1:9" ht="14.25">
      <c r="A780" s="3288"/>
      <c r="B780" s="3290"/>
      <c r="C780" s="3294"/>
      <c r="D780" s="3290"/>
      <c r="E780" s="3294"/>
      <c r="F780" s="3290"/>
      <c r="G780" s="3290"/>
      <c r="H780" s="3290"/>
      <c r="I780" s="3290"/>
    </row>
    <row r="781" spans="1:9" ht="14.25">
      <c r="A781" s="3288"/>
      <c r="B781" s="3290"/>
      <c r="C781" s="3294"/>
      <c r="D781" s="3290"/>
      <c r="E781" s="3294"/>
      <c r="F781" s="3290"/>
      <c r="G781" s="3290"/>
      <c r="H781" s="3290"/>
      <c r="I781" s="3290"/>
    </row>
    <row r="782" spans="1:9" ht="14.25">
      <c r="A782" s="3288"/>
      <c r="B782" s="3290"/>
      <c r="C782" s="3294"/>
      <c r="D782" s="3290"/>
      <c r="E782" s="3294"/>
      <c r="F782" s="3290"/>
      <c r="G782" s="3290"/>
      <c r="H782" s="3290"/>
      <c r="I782" s="3290"/>
    </row>
    <row r="783" spans="1:9" ht="14.25">
      <c r="A783" s="3288"/>
      <c r="B783" s="3290"/>
      <c r="C783" s="3294"/>
      <c r="D783" s="3290"/>
      <c r="E783" s="3294"/>
      <c r="F783" s="3290"/>
      <c r="G783" s="3290"/>
      <c r="H783" s="3290"/>
      <c r="I783" s="3290"/>
    </row>
    <row r="784" spans="1:9" ht="14.25">
      <c r="A784" s="3288"/>
      <c r="B784" s="3290"/>
      <c r="C784" s="3294"/>
      <c r="D784" s="3290"/>
      <c r="E784" s="3294"/>
      <c r="F784" s="3290"/>
      <c r="G784" s="3290"/>
      <c r="H784" s="3290"/>
      <c r="I784" s="3290"/>
    </row>
    <row r="785" spans="1:9" ht="14.25">
      <c r="A785" s="3288"/>
      <c r="B785" s="3290"/>
      <c r="C785" s="3294"/>
      <c r="D785" s="3290"/>
      <c r="E785" s="3294"/>
      <c r="F785" s="3290"/>
      <c r="G785" s="3290"/>
      <c r="H785" s="3290"/>
      <c r="I785" s="3290"/>
    </row>
    <row r="786" spans="1:9" ht="14.25">
      <c r="A786" s="3288"/>
      <c r="B786" s="3290"/>
      <c r="C786" s="3294"/>
      <c r="D786" s="3290"/>
      <c r="E786" s="3294"/>
      <c r="F786" s="3290"/>
      <c r="G786" s="3290"/>
      <c r="H786" s="3290"/>
      <c r="I786" s="3290"/>
    </row>
    <row r="787" spans="1:9" ht="14.25">
      <c r="A787" s="3288"/>
      <c r="B787" s="3290"/>
      <c r="C787" s="3294"/>
      <c r="D787" s="3290"/>
      <c r="E787" s="3294"/>
      <c r="F787" s="3290"/>
      <c r="G787" s="3290"/>
      <c r="H787" s="3290"/>
      <c r="I787" s="3290"/>
    </row>
    <row r="788" spans="1:9" ht="14.25">
      <c r="A788" s="3288"/>
      <c r="B788" s="3290"/>
      <c r="C788" s="3294"/>
      <c r="D788" s="3290"/>
      <c r="E788" s="3294"/>
      <c r="F788" s="3290"/>
      <c r="G788" s="3290"/>
      <c r="H788" s="3290"/>
      <c r="I788" s="3290"/>
    </row>
    <row r="789" spans="1:9" ht="14.25">
      <c r="A789" s="3288"/>
      <c r="B789" s="3290"/>
      <c r="C789" s="3294"/>
      <c r="D789" s="3290"/>
      <c r="E789" s="3294"/>
      <c r="F789" s="3290"/>
      <c r="G789" s="3290"/>
      <c r="H789" s="3290"/>
      <c r="I789" s="3290"/>
    </row>
    <row r="790" spans="1:9" ht="14.25">
      <c r="A790" s="3288"/>
      <c r="B790" s="3290"/>
      <c r="C790" s="3294"/>
      <c r="D790" s="3290"/>
      <c r="E790" s="3294"/>
      <c r="F790" s="3290"/>
      <c r="G790" s="3290"/>
      <c r="H790" s="3290"/>
      <c r="I790" s="3290"/>
    </row>
    <row r="791" spans="1:9" ht="14.25">
      <c r="A791" s="3288"/>
      <c r="B791" s="3290"/>
      <c r="C791" s="3294"/>
      <c r="D791" s="3290"/>
      <c r="E791" s="3294"/>
      <c r="F791" s="3290"/>
      <c r="G791" s="3290"/>
      <c r="H791" s="3290"/>
      <c r="I791" s="3290"/>
    </row>
    <row r="792" spans="1:9" ht="14.25">
      <c r="A792" s="3288"/>
      <c r="B792" s="3290"/>
      <c r="C792" s="3294"/>
      <c r="D792" s="3290"/>
      <c r="E792" s="3294"/>
      <c r="F792" s="3290"/>
      <c r="G792" s="3290"/>
      <c r="H792" s="3290"/>
      <c r="I792" s="3290"/>
    </row>
    <row r="793" spans="1:9" ht="14.25">
      <c r="A793" s="3288"/>
      <c r="B793" s="3290"/>
      <c r="C793" s="3294"/>
      <c r="D793" s="3290"/>
      <c r="E793" s="3294"/>
      <c r="F793" s="3290"/>
      <c r="G793" s="3290"/>
      <c r="H793" s="3290"/>
      <c r="I793" s="3290"/>
    </row>
    <row r="794" spans="1:9" ht="14.25">
      <c r="A794" s="3288"/>
      <c r="B794" s="3290"/>
      <c r="C794" s="3294"/>
      <c r="D794" s="3290"/>
      <c r="E794" s="3294"/>
      <c r="F794" s="3290"/>
      <c r="G794" s="3290"/>
      <c r="H794" s="3290"/>
      <c r="I794" s="3290"/>
    </row>
    <row r="795" spans="1:9" ht="14.25">
      <c r="A795" s="3288"/>
      <c r="B795" s="3290"/>
      <c r="C795" s="3294"/>
      <c r="D795" s="3290"/>
      <c r="E795" s="3294"/>
      <c r="F795" s="3290"/>
      <c r="G795" s="3290"/>
      <c r="H795" s="3290"/>
      <c r="I795" s="3290"/>
    </row>
    <row r="796" spans="1:9" ht="14.25">
      <c r="A796" s="3288"/>
      <c r="B796" s="3290"/>
      <c r="C796" s="3294"/>
      <c r="D796" s="3290"/>
      <c r="E796" s="3294"/>
      <c r="F796" s="3290"/>
      <c r="G796" s="3290"/>
      <c r="H796" s="3290"/>
      <c r="I796" s="3290"/>
    </row>
    <row r="797" spans="1:9" ht="14.25">
      <c r="A797" s="3288"/>
      <c r="B797" s="3290"/>
      <c r="C797" s="3294"/>
      <c r="D797" s="3290"/>
      <c r="E797" s="3294"/>
      <c r="F797" s="3290"/>
      <c r="G797" s="3290"/>
      <c r="H797" s="3290"/>
      <c r="I797" s="3290"/>
    </row>
    <row r="798" spans="1:9" ht="14.25">
      <c r="A798" s="3288"/>
      <c r="B798" s="3290"/>
      <c r="C798" s="3294"/>
      <c r="D798" s="3290"/>
      <c r="E798" s="3294"/>
      <c r="F798" s="3290"/>
      <c r="G798" s="3290"/>
      <c r="H798" s="3290"/>
      <c r="I798" s="3290"/>
    </row>
    <row r="799" spans="1:9" ht="14.25">
      <c r="A799" s="3288"/>
      <c r="B799" s="3290"/>
      <c r="C799" s="3294"/>
      <c r="D799" s="3290"/>
      <c r="E799" s="3294"/>
      <c r="F799" s="3290"/>
      <c r="G799" s="3290"/>
      <c r="H799" s="3290"/>
      <c r="I799" s="3290"/>
    </row>
    <row r="800" spans="1:9" ht="14.25">
      <c r="A800" s="3288"/>
      <c r="B800" s="3290"/>
      <c r="C800" s="3294"/>
      <c r="D800" s="3290"/>
      <c r="E800" s="3294"/>
      <c r="F800" s="3290"/>
      <c r="G800" s="3290"/>
      <c r="H800" s="3290"/>
      <c r="I800" s="3290"/>
    </row>
    <row r="801" spans="1:9" ht="14.25">
      <c r="A801" s="3288"/>
      <c r="B801" s="3290"/>
      <c r="C801" s="3294"/>
      <c r="D801" s="3290"/>
      <c r="E801" s="3294"/>
      <c r="F801" s="3290"/>
      <c r="G801" s="3290"/>
      <c r="H801" s="3290"/>
      <c r="I801" s="3290"/>
    </row>
    <row r="802" spans="1:9" ht="14.25">
      <c r="A802" s="3288"/>
      <c r="B802" s="3290"/>
      <c r="C802" s="3294"/>
      <c r="D802" s="3290"/>
      <c r="E802" s="3294"/>
      <c r="F802" s="3290"/>
      <c r="G802" s="3290"/>
      <c r="H802" s="3290"/>
      <c r="I802" s="3290"/>
    </row>
    <row r="803" spans="1:9" ht="14.25">
      <c r="A803" s="3288"/>
      <c r="B803" s="3290"/>
      <c r="C803" s="3294"/>
      <c r="D803" s="3290"/>
      <c r="E803" s="3294"/>
      <c r="F803" s="3290"/>
      <c r="G803" s="3290"/>
      <c r="H803" s="3290"/>
      <c r="I803" s="3290"/>
    </row>
    <row r="804" spans="1:9" ht="14.25">
      <c r="A804" s="3288"/>
      <c r="B804" s="3290"/>
      <c r="C804" s="3294"/>
      <c r="D804" s="3290"/>
      <c r="E804" s="3294"/>
      <c r="F804" s="3290"/>
      <c r="G804" s="3290"/>
      <c r="H804" s="3290"/>
      <c r="I804" s="3290"/>
    </row>
    <row r="805" spans="1:9" ht="14.25">
      <c r="A805" s="3288"/>
      <c r="B805" s="3290"/>
      <c r="C805" s="3294"/>
      <c r="D805" s="3290"/>
      <c r="E805" s="3294"/>
      <c r="F805" s="3290"/>
      <c r="G805" s="3290"/>
      <c r="H805" s="3290"/>
      <c r="I805" s="3290"/>
    </row>
    <row r="806" spans="1:9" ht="14.25">
      <c r="A806" s="3288"/>
      <c r="B806" s="3290"/>
      <c r="C806" s="3294"/>
      <c r="D806" s="3290"/>
      <c r="E806" s="3294"/>
      <c r="F806" s="3290"/>
      <c r="G806" s="3290"/>
      <c r="H806" s="3290"/>
      <c r="I806" s="3290"/>
    </row>
    <row r="807" spans="1:9" ht="14.25">
      <c r="A807" s="3288"/>
      <c r="B807" s="3290"/>
      <c r="C807" s="3294"/>
      <c r="D807" s="3290"/>
      <c r="E807" s="3294"/>
      <c r="F807" s="3290"/>
      <c r="G807" s="3290"/>
      <c r="H807" s="3290"/>
      <c r="I807" s="3290"/>
    </row>
    <row r="808" spans="1:9" ht="14.25">
      <c r="A808" s="3288"/>
      <c r="B808" s="3290"/>
      <c r="C808" s="3294"/>
      <c r="D808" s="3290"/>
      <c r="E808" s="3294"/>
      <c r="F808" s="3290"/>
      <c r="G808" s="3290"/>
      <c r="H808" s="3290"/>
      <c r="I808" s="3290"/>
    </row>
    <row r="809" spans="1:9" ht="14.25">
      <c r="A809" s="3288"/>
      <c r="B809" s="3290"/>
      <c r="C809" s="3294"/>
      <c r="D809" s="3290"/>
      <c r="E809" s="3294"/>
      <c r="F809" s="3290"/>
      <c r="G809" s="3290"/>
      <c r="H809" s="3290"/>
      <c r="I809" s="3290"/>
    </row>
    <row r="810" spans="1:9" ht="14.25">
      <c r="A810" s="3288"/>
      <c r="B810" s="3290"/>
      <c r="C810" s="3294"/>
      <c r="D810" s="3290"/>
      <c r="E810" s="3294"/>
      <c r="F810" s="3290"/>
      <c r="G810" s="3290"/>
      <c r="H810" s="3290"/>
      <c r="I810" s="3290"/>
    </row>
    <row r="811" spans="1:9" ht="14.25">
      <c r="A811" s="3288"/>
      <c r="B811" s="3290"/>
      <c r="C811" s="3294"/>
      <c r="D811" s="3290"/>
      <c r="E811" s="3294"/>
      <c r="F811" s="3290"/>
      <c r="G811" s="3290"/>
      <c r="H811" s="3290"/>
      <c r="I811" s="3290"/>
    </row>
    <row r="812" spans="1:9" ht="14.25">
      <c r="A812" s="3288"/>
      <c r="B812" s="3290"/>
      <c r="C812" s="3294"/>
      <c r="D812" s="3290"/>
      <c r="E812" s="3294"/>
      <c r="F812" s="3290"/>
      <c r="G812" s="3290"/>
      <c r="H812" s="3290"/>
      <c r="I812" s="3290"/>
    </row>
    <row r="813" spans="1:9" ht="14.25">
      <c r="A813" s="3288"/>
      <c r="B813" s="3290"/>
      <c r="C813" s="3294"/>
      <c r="D813" s="3290"/>
      <c r="E813" s="3294"/>
      <c r="F813" s="3290"/>
      <c r="G813" s="3290"/>
      <c r="H813" s="3290"/>
      <c r="I813" s="3290"/>
    </row>
    <row r="814" spans="1:9" ht="14.25">
      <c r="A814" s="3288"/>
      <c r="B814" s="3290"/>
      <c r="C814" s="3294"/>
      <c r="D814" s="3290"/>
      <c r="E814" s="3294"/>
      <c r="F814" s="3290"/>
      <c r="G814" s="3290"/>
      <c r="H814" s="3290"/>
      <c r="I814" s="3290"/>
    </row>
    <row r="815" spans="1:9" ht="14.25">
      <c r="A815" s="3288"/>
      <c r="B815" s="3290"/>
      <c r="C815" s="3294"/>
      <c r="D815" s="3290"/>
      <c r="E815" s="3294"/>
      <c r="F815" s="3290"/>
      <c r="G815" s="3290"/>
      <c r="H815" s="3290"/>
      <c r="I815" s="3290"/>
    </row>
    <row r="816" spans="1:9" ht="14.25">
      <c r="A816" s="3288"/>
      <c r="B816" s="3290"/>
      <c r="C816" s="3294"/>
      <c r="D816" s="3290"/>
      <c r="E816" s="3294"/>
      <c r="F816" s="3290"/>
      <c r="G816" s="3290"/>
      <c r="H816" s="3290"/>
      <c r="I816" s="3290"/>
    </row>
    <row r="817" spans="1:9" ht="14.25">
      <c r="A817" s="3288"/>
      <c r="B817" s="3290"/>
      <c r="C817" s="3294"/>
      <c r="D817" s="3290"/>
      <c r="E817" s="3294"/>
      <c r="F817" s="3290"/>
      <c r="G817" s="3290"/>
      <c r="H817" s="3290"/>
      <c r="I817" s="3290"/>
    </row>
    <row r="818" spans="1:9" ht="14.25">
      <c r="A818" s="3288"/>
      <c r="B818" s="3290"/>
      <c r="C818" s="3294"/>
      <c r="D818" s="3290"/>
      <c r="E818" s="3294"/>
      <c r="F818" s="3290"/>
      <c r="G818" s="3290"/>
      <c r="H818" s="3290"/>
      <c r="I818" s="3290"/>
    </row>
    <row r="819" spans="1:9" ht="14.25">
      <c r="A819" s="3288"/>
      <c r="B819" s="3290"/>
      <c r="C819" s="3294"/>
      <c r="D819" s="3290"/>
      <c r="E819" s="3294"/>
      <c r="F819" s="3290"/>
      <c r="G819" s="3290"/>
      <c r="H819" s="3290"/>
      <c r="I819" s="3290"/>
    </row>
    <row r="820" spans="1:9" ht="14.25">
      <c r="A820" s="3288"/>
      <c r="B820" s="3290"/>
      <c r="C820" s="3294"/>
      <c r="D820" s="3290"/>
      <c r="E820" s="3294"/>
      <c r="F820" s="3290"/>
      <c r="G820" s="3290"/>
      <c r="H820" s="3290"/>
      <c r="I820" s="3290"/>
    </row>
    <row r="821" spans="1:9" ht="14.25">
      <c r="A821" s="3288"/>
      <c r="B821" s="3290"/>
      <c r="C821" s="3294"/>
      <c r="D821" s="3290"/>
      <c r="E821" s="3294"/>
      <c r="F821" s="3290"/>
      <c r="G821" s="3290"/>
      <c r="H821" s="3290"/>
      <c r="I821" s="3290"/>
    </row>
    <row r="822" spans="1:9" ht="14.25">
      <c r="A822" s="3288"/>
      <c r="B822" s="3290"/>
      <c r="C822" s="3294"/>
      <c r="D822" s="3290"/>
      <c r="E822" s="3294"/>
      <c r="F822" s="3290"/>
      <c r="G822" s="3290"/>
      <c r="H822" s="3290"/>
      <c r="I822" s="3290"/>
    </row>
    <row r="823" spans="1:9" ht="14.25">
      <c r="A823" s="3288"/>
      <c r="B823" s="3290"/>
      <c r="C823" s="3294"/>
      <c r="D823" s="3290"/>
      <c r="E823" s="3294"/>
      <c r="F823" s="3290"/>
      <c r="G823" s="3290"/>
      <c r="H823" s="3290"/>
      <c r="I823" s="3290"/>
    </row>
    <row r="824" spans="1:9" ht="14.25">
      <c r="A824" s="3288"/>
      <c r="B824" s="3290"/>
      <c r="C824" s="3294"/>
      <c r="D824" s="3290"/>
      <c r="E824" s="3294"/>
      <c r="F824" s="3290"/>
      <c r="G824" s="3290"/>
      <c r="H824" s="3290"/>
      <c r="I824" s="3290"/>
    </row>
    <row r="825" spans="1:9" ht="14.25">
      <c r="A825" s="3288"/>
      <c r="B825" s="3290"/>
      <c r="C825" s="3294"/>
      <c r="D825" s="3290"/>
      <c r="E825" s="3294"/>
      <c r="F825" s="3290"/>
      <c r="G825" s="3290"/>
      <c r="H825" s="3290"/>
      <c r="I825" s="3290"/>
    </row>
    <row r="826" spans="1:9" ht="14.25">
      <c r="A826" s="3288"/>
      <c r="B826" s="3290"/>
      <c r="C826" s="3294"/>
      <c r="D826" s="3290"/>
      <c r="E826" s="3294"/>
      <c r="F826" s="3290"/>
      <c r="G826" s="3290"/>
      <c r="H826" s="3290"/>
      <c r="I826" s="3290"/>
    </row>
    <row r="827" spans="1:9" ht="14.25">
      <c r="A827" s="3288"/>
      <c r="B827" s="3290"/>
      <c r="C827" s="3294"/>
      <c r="D827" s="3290"/>
      <c r="E827" s="3294"/>
      <c r="F827" s="3290"/>
      <c r="G827" s="3290"/>
      <c r="H827" s="3290"/>
      <c r="I827" s="3290"/>
    </row>
    <row r="828" spans="1:9" ht="14.25">
      <c r="A828" s="3288"/>
      <c r="B828" s="3290"/>
      <c r="C828" s="3294"/>
      <c r="D828" s="3290"/>
      <c r="E828" s="3294"/>
      <c r="F828" s="3290"/>
      <c r="G828" s="3290"/>
      <c r="H828" s="3290"/>
      <c r="I828" s="3290"/>
    </row>
    <row r="829" spans="1:9" ht="14.25">
      <c r="A829" s="3288"/>
      <c r="B829" s="3290"/>
      <c r="C829" s="3294"/>
      <c r="D829" s="3290"/>
      <c r="E829" s="3294"/>
      <c r="F829" s="3290"/>
      <c r="G829" s="3290"/>
      <c r="H829" s="3290"/>
      <c r="I829" s="3290"/>
    </row>
    <row r="830" spans="1:9" ht="14.25">
      <c r="A830" s="3288"/>
      <c r="B830" s="3290"/>
      <c r="C830" s="3294"/>
      <c r="D830" s="3290"/>
      <c r="E830" s="3294"/>
      <c r="F830" s="3290"/>
      <c r="G830" s="3290"/>
      <c r="H830" s="3290"/>
      <c r="I830" s="3290"/>
    </row>
    <row r="831" spans="1:9" ht="14.25">
      <c r="A831" s="3288"/>
      <c r="B831" s="3290"/>
      <c r="C831" s="3294"/>
      <c r="D831" s="3290"/>
      <c r="E831" s="3294"/>
      <c r="F831" s="3290"/>
      <c r="G831" s="3290"/>
      <c r="H831" s="3290"/>
      <c r="I831" s="3290"/>
    </row>
    <row r="832" spans="1:9" ht="14.25">
      <c r="A832" s="3288"/>
      <c r="B832" s="3290"/>
      <c r="C832" s="3294"/>
      <c r="D832" s="3290"/>
      <c r="E832" s="3294"/>
      <c r="F832" s="3290"/>
      <c r="G832" s="3290"/>
      <c r="H832" s="3290"/>
      <c r="I832" s="3290"/>
    </row>
    <row r="833" spans="1:9" ht="14.25">
      <c r="A833" s="3288"/>
      <c r="B833" s="3290"/>
      <c r="C833" s="3294"/>
      <c r="D833" s="3290"/>
      <c r="E833" s="3294"/>
      <c r="F833" s="3290"/>
      <c r="G833" s="3290"/>
      <c r="H833" s="3290"/>
      <c r="I833" s="3290"/>
    </row>
    <row r="834" spans="1:9" ht="14.25">
      <c r="A834" s="3288"/>
      <c r="B834" s="3290"/>
      <c r="C834" s="3294"/>
      <c r="D834" s="3290"/>
      <c r="E834" s="3294"/>
      <c r="F834" s="3290"/>
      <c r="G834" s="3290"/>
      <c r="H834" s="3290"/>
      <c r="I834" s="3290"/>
    </row>
    <row r="835" spans="1:9" ht="14.25">
      <c r="A835" s="3288"/>
      <c r="B835" s="3290"/>
      <c r="C835" s="3294"/>
      <c r="D835" s="3290"/>
      <c r="E835" s="3294"/>
      <c r="F835" s="3290"/>
      <c r="G835" s="3290"/>
      <c r="H835" s="3290"/>
      <c r="I835" s="3290"/>
    </row>
    <row r="836" spans="1:9" ht="14.25">
      <c r="A836" s="3288"/>
      <c r="B836" s="3290"/>
      <c r="C836" s="3294"/>
      <c r="D836" s="3290"/>
      <c r="E836" s="3294"/>
      <c r="F836" s="3290"/>
      <c r="G836" s="3290"/>
      <c r="H836" s="3290"/>
      <c r="I836" s="3290"/>
    </row>
    <row r="837" spans="1:9" ht="14.25">
      <c r="A837" s="3288"/>
      <c r="B837" s="3290"/>
      <c r="C837" s="3294"/>
      <c r="D837" s="3290"/>
      <c r="E837" s="3294"/>
      <c r="F837" s="3290"/>
      <c r="G837" s="3290"/>
      <c r="H837" s="3290"/>
      <c r="I837" s="3290"/>
    </row>
    <row r="838" spans="1:9" ht="14.25">
      <c r="A838" s="3288"/>
      <c r="B838" s="3290"/>
      <c r="C838" s="3294"/>
      <c r="D838" s="3290"/>
      <c r="E838" s="3294"/>
      <c r="F838" s="3290"/>
      <c r="G838" s="3290"/>
      <c r="H838" s="3290"/>
      <c r="I838" s="3290"/>
    </row>
    <row r="839" spans="1:9" ht="14.25">
      <c r="A839" s="3288"/>
      <c r="B839" s="3290"/>
      <c r="C839" s="3294"/>
      <c r="D839" s="3290"/>
      <c r="E839" s="3294"/>
      <c r="F839" s="3290"/>
      <c r="G839" s="3290"/>
      <c r="H839" s="3290"/>
      <c r="I839" s="3290"/>
    </row>
    <row r="840" spans="1:9" ht="14.25">
      <c r="A840" s="3288"/>
      <c r="B840" s="3290"/>
      <c r="C840" s="3294"/>
      <c r="D840" s="3290"/>
      <c r="E840" s="3294"/>
      <c r="F840" s="3290"/>
      <c r="G840" s="3290"/>
      <c r="H840" s="3290"/>
      <c r="I840" s="3290"/>
    </row>
    <row r="841" spans="1:9" ht="14.25">
      <c r="A841" s="3288"/>
      <c r="B841" s="3290"/>
      <c r="C841" s="3294"/>
      <c r="D841" s="3290"/>
      <c r="E841" s="3294"/>
      <c r="F841" s="3290"/>
      <c r="G841" s="3290"/>
      <c r="H841" s="3290"/>
      <c r="I841" s="3290"/>
    </row>
    <row r="842" spans="1:9" ht="14.25">
      <c r="A842" s="3288"/>
      <c r="B842" s="3290"/>
      <c r="C842" s="3294"/>
      <c r="D842" s="3290"/>
      <c r="E842" s="3294"/>
      <c r="F842" s="3290"/>
      <c r="G842" s="3290"/>
      <c r="H842" s="3290"/>
      <c r="I842" s="3290"/>
    </row>
    <row r="843" spans="1:9" ht="14.25">
      <c r="A843" s="3288"/>
      <c r="B843" s="3290"/>
      <c r="C843" s="3294"/>
      <c r="D843" s="3290"/>
      <c r="E843" s="3294"/>
      <c r="F843" s="3290"/>
      <c r="G843" s="3290"/>
      <c r="H843" s="3290"/>
      <c r="I843" s="3290"/>
    </row>
    <row r="844" spans="1:9" ht="14.25">
      <c r="A844" s="3288"/>
      <c r="B844" s="3290"/>
      <c r="C844" s="3294"/>
      <c r="D844" s="3290"/>
      <c r="E844" s="3294"/>
      <c r="F844" s="3290"/>
      <c r="G844" s="3290"/>
      <c r="H844" s="3290"/>
      <c r="I844" s="3290"/>
    </row>
    <row r="845" spans="1:9" ht="14.25">
      <c r="A845" s="3288"/>
      <c r="B845" s="3290"/>
      <c r="C845" s="3294"/>
      <c r="D845" s="3290"/>
      <c r="E845" s="3294"/>
      <c r="F845" s="3290"/>
      <c r="G845" s="3290"/>
      <c r="H845" s="3290"/>
      <c r="I845" s="3290"/>
    </row>
    <row r="846" spans="1:9" ht="14.25">
      <c r="A846" s="3288"/>
      <c r="B846" s="3290"/>
      <c r="C846" s="3294"/>
      <c r="D846" s="3290"/>
      <c r="E846" s="3294"/>
      <c r="F846" s="3290"/>
      <c r="G846" s="3290"/>
      <c r="H846" s="3290"/>
      <c r="I846" s="3290"/>
    </row>
    <row r="847" spans="1:9" ht="14.25">
      <c r="A847" s="3288"/>
      <c r="B847" s="3290"/>
      <c r="C847" s="3294"/>
      <c r="D847" s="3290"/>
      <c r="E847" s="3294"/>
      <c r="F847" s="3290"/>
      <c r="G847" s="3290"/>
      <c r="H847" s="3290"/>
      <c r="I847" s="3290"/>
    </row>
    <row r="848" spans="1:9" ht="14.25">
      <c r="A848" s="3288"/>
      <c r="B848" s="3290"/>
      <c r="C848" s="3294"/>
      <c r="D848" s="3290"/>
      <c r="E848" s="3294"/>
      <c r="F848" s="3290"/>
      <c r="G848" s="3290"/>
      <c r="H848" s="3290"/>
      <c r="I848" s="3290"/>
    </row>
    <row r="849" spans="1:9" ht="14.25">
      <c r="A849" s="3288"/>
      <c r="B849" s="3290"/>
      <c r="C849" s="3294"/>
      <c r="D849" s="3290"/>
      <c r="E849" s="3294"/>
      <c r="F849" s="3290"/>
      <c r="G849" s="3290"/>
      <c r="H849" s="3290"/>
      <c r="I849" s="3290"/>
    </row>
    <row r="850" spans="1:9" ht="14.25">
      <c r="A850" s="3288"/>
      <c r="B850" s="3290"/>
      <c r="C850" s="3294"/>
      <c r="D850" s="3290"/>
      <c r="E850" s="3294"/>
      <c r="F850" s="3290"/>
      <c r="G850" s="3290"/>
      <c r="H850" s="3290"/>
      <c r="I850" s="3290"/>
    </row>
    <row r="851" spans="1:9" ht="14.25">
      <c r="A851" s="3288"/>
      <c r="B851" s="3290"/>
      <c r="C851" s="3294"/>
      <c r="D851" s="3290"/>
      <c r="E851" s="3294"/>
      <c r="F851" s="3290"/>
      <c r="G851" s="3290"/>
      <c r="H851" s="3290"/>
      <c r="I851" s="3290"/>
    </row>
    <row r="852" spans="1:9" ht="14.25">
      <c r="A852" s="3288"/>
      <c r="B852" s="3290"/>
      <c r="C852" s="3294"/>
      <c r="D852" s="3290"/>
      <c r="E852" s="3294"/>
      <c r="F852" s="3290"/>
      <c r="G852" s="3290"/>
      <c r="H852" s="3290"/>
      <c r="I852" s="3290"/>
    </row>
    <row r="853" spans="1:9" ht="14.25">
      <c r="A853" s="3288"/>
      <c r="B853" s="3290"/>
      <c r="C853" s="3294"/>
      <c r="D853" s="3290"/>
      <c r="E853" s="3294"/>
      <c r="F853" s="3290"/>
      <c r="G853" s="3290"/>
      <c r="H853" s="3290"/>
      <c r="I853" s="3290"/>
    </row>
    <row r="854" spans="1:9" ht="14.25">
      <c r="A854" s="3288"/>
      <c r="B854" s="3290"/>
      <c r="C854" s="3294"/>
      <c r="D854" s="3290"/>
      <c r="E854" s="3294"/>
      <c r="F854" s="3290"/>
      <c r="G854" s="3290"/>
      <c r="H854" s="3290"/>
      <c r="I854" s="3290"/>
    </row>
    <row r="855" spans="1:9" ht="14.25">
      <c r="A855" s="3288"/>
      <c r="B855" s="3290"/>
      <c r="C855" s="3294"/>
      <c r="D855" s="3290"/>
      <c r="E855" s="3294"/>
      <c r="F855" s="3290"/>
      <c r="G855" s="3290"/>
      <c r="H855" s="3290"/>
      <c r="I855" s="3290"/>
    </row>
    <row r="856" spans="1:9" ht="14.25">
      <c r="A856" s="3288"/>
      <c r="B856" s="3290"/>
      <c r="C856" s="3294"/>
      <c r="D856" s="3290"/>
      <c r="E856" s="3294"/>
      <c r="F856" s="3290"/>
      <c r="G856" s="3290"/>
      <c r="H856" s="3290"/>
      <c r="I856" s="3290"/>
    </row>
    <row r="857" spans="1:9" ht="14.25">
      <c r="A857" s="3288"/>
      <c r="B857" s="3290"/>
      <c r="C857" s="3294"/>
      <c r="D857" s="3290"/>
      <c r="E857" s="3294"/>
      <c r="F857" s="3290"/>
      <c r="G857" s="3290"/>
      <c r="H857" s="3290"/>
      <c r="I857" s="3290"/>
    </row>
    <row r="858" spans="1:9" ht="14.25">
      <c r="A858" s="3288"/>
      <c r="B858" s="3290"/>
      <c r="C858" s="3294"/>
      <c r="D858" s="3290"/>
      <c r="E858" s="3294"/>
      <c r="F858" s="3290"/>
      <c r="G858" s="3290"/>
      <c r="H858" s="3290"/>
      <c r="I858" s="3290"/>
    </row>
    <row r="859" spans="1:9" ht="14.25">
      <c r="A859" s="3288"/>
      <c r="B859" s="3290"/>
      <c r="C859" s="3294"/>
      <c r="D859" s="3290"/>
      <c r="E859" s="3294"/>
      <c r="F859" s="3290"/>
      <c r="G859" s="3290"/>
      <c r="H859" s="3290"/>
      <c r="I859" s="3290"/>
    </row>
    <row r="860" spans="1:9" ht="14.25">
      <c r="A860" s="3288"/>
      <c r="B860" s="3290"/>
      <c r="C860" s="3294"/>
      <c r="D860" s="3290"/>
      <c r="E860" s="3294"/>
      <c r="F860" s="3290"/>
      <c r="G860" s="3290"/>
      <c r="H860" s="3290"/>
      <c r="I860" s="3290"/>
    </row>
    <row r="861" spans="1:9" ht="14.25">
      <c r="A861" s="3288"/>
      <c r="B861" s="3290"/>
      <c r="C861" s="3294"/>
      <c r="D861" s="3290"/>
      <c r="E861" s="3294"/>
      <c r="F861" s="3290"/>
      <c r="G861" s="3290"/>
      <c r="H861" s="3290"/>
      <c r="I861" s="3290"/>
    </row>
    <row r="862" spans="1:9" ht="14.25">
      <c r="A862" s="3288"/>
      <c r="B862" s="3290"/>
      <c r="C862" s="3294"/>
      <c r="D862" s="3290"/>
      <c r="E862" s="3294"/>
      <c r="F862" s="3290"/>
      <c r="G862" s="3290"/>
      <c r="H862" s="3290"/>
      <c r="I862" s="3290"/>
    </row>
    <row r="863" spans="1:9" ht="14.25">
      <c r="A863" s="3288"/>
      <c r="B863" s="3290"/>
      <c r="C863" s="3294"/>
      <c r="D863" s="3290"/>
      <c r="E863" s="3294"/>
      <c r="F863" s="3290"/>
      <c r="G863" s="3290"/>
      <c r="H863" s="3290"/>
      <c r="I863" s="3290"/>
    </row>
    <row r="864" spans="1:9" ht="14.25">
      <c r="A864" s="3288"/>
      <c r="B864" s="3290"/>
      <c r="C864" s="3294"/>
      <c r="D864" s="3290"/>
      <c r="E864" s="3294"/>
      <c r="F864" s="3290"/>
      <c r="G864" s="3290"/>
      <c r="H864" s="3290"/>
      <c r="I864" s="3290"/>
    </row>
    <row r="865" spans="1:9" ht="14.25">
      <c r="A865" s="3288"/>
      <c r="B865" s="3290"/>
      <c r="C865" s="3294"/>
      <c r="D865" s="3290"/>
      <c r="E865" s="3294"/>
      <c r="F865" s="3290"/>
      <c r="G865" s="3290"/>
      <c r="H865" s="3290"/>
      <c r="I865" s="3290"/>
    </row>
    <row r="866" spans="1:9" ht="14.25">
      <c r="A866" s="3288"/>
      <c r="B866" s="3290"/>
      <c r="C866" s="3294"/>
      <c r="D866" s="3290"/>
      <c r="E866" s="3294"/>
      <c r="F866" s="3290"/>
      <c r="G866" s="3290"/>
      <c r="H866" s="3290"/>
      <c r="I866" s="3290"/>
    </row>
    <row r="867" spans="1:9" ht="14.25">
      <c r="A867" s="3288"/>
      <c r="B867" s="3290"/>
      <c r="C867" s="3294"/>
      <c r="D867" s="3290"/>
      <c r="E867" s="3294"/>
      <c r="F867" s="3290"/>
      <c r="G867" s="3290"/>
      <c r="H867" s="3290"/>
      <c r="I867" s="3290"/>
    </row>
    <row r="868" spans="1:9" ht="14.25">
      <c r="A868" s="3288"/>
      <c r="B868" s="3290"/>
      <c r="C868" s="3294"/>
      <c r="D868" s="3290"/>
      <c r="E868" s="3294"/>
      <c r="F868" s="3290"/>
      <c r="G868" s="3290"/>
      <c r="H868" s="3290"/>
      <c r="I868" s="3290"/>
    </row>
    <row r="869" spans="1:9" ht="14.25">
      <c r="A869" s="3288"/>
      <c r="B869" s="3290"/>
      <c r="C869" s="3294"/>
      <c r="D869" s="3290"/>
      <c r="E869" s="3294"/>
      <c r="F869" s="3290"/>
      <c r="G869" s="3290"/>
      <c r="H869" s="3290"/>
      <c r="I869" s="3290"/>
    </row>
    <row r="870" spans="1:9" ht="14.25">
      <c r="A870" s="3288"/>
      <c r="B870" s="3290"/>
      <c r="C870" s="3294"/>
      <c r="D870" s="3290"/>
      <c r="E870" s="3294"/>
      <c r="F870" s="3290"/>
      <c r="G870" s="3290"/>
      <c r="H870" s="3290"/>
      <c r="I870" s="3290"/>
    </row>
    <row r="871" spans="1:9" ht="14.25">
      <c r="A871" s="3288"/>
      <c r="B871" s="3290"/>
      <c r="C871" s="3294"/>
      <c r="D871" s="3290"/>
      <c r="E871" s="3294"/>
      <c r="F871" s="3290"/>
      <c r="G871" s="3290"/>
      <c r="H871" s="3290"/>
      <c r="I871" s="3290"/>
    </row>
    <row r="872" spans="1:9" ht="14.25">
      <c r="A872" s="3288"/>
      <c r="B872" s="3290"/>
      <c r="C872" s="3294"/>
      <c r="D872" s="3290"/>
      <c r="E872" s="3294"/>
      <c r="F872" s="3290"/>
      <c r="G872" s="3290"/>
      <c r="H872" s="3290"/>
      <c r="I872" s="3290"/>
    </row>
    <row r="873" spans="1:9" ht="14.25">
      <c r="A873" s="3288"/>
      <c r="B873" s="3290"/>
      <c r="C873" s="3294"/>
      <c r="D873" s="3290"/>
      <c r="E873" s="3294"/>
      <c r="F873" s="3290"/>
      <c r="G873" s="3290"/>
      <c r="H873" s="3290"/>
      <c r="I873" s="3290"/>
    </row>
    <row r="874" spans="1:9" ht="14.25">
      <c r="A874" s="3288"/>
      <c r="B874" s="3290"/>
      <c r="C874" s="3294"/>
      <c r="D874" s="3290"/>
      <c r="E874" s="3294"/>
      <c r="F874" s="3290"/>
      <c r="G874" s="3290"/>
      <c r="H874" s="3290"/>
      <c r="I874" s="3290"/>
    </row>
    <row r="875" spans="1:9" ht="14.25">
      <c r="A875" s="3288"/>
      <c r="B875" s="3290"/>
      <c r="C875" s="3294"/>
      <c r="D875" s="3290"/>
      <c r="E875" s="3294"/>
      <c r="F875" s="3290"/>
      <c r="G875" s="3290"/>
      <c r="H875" s="3290"/>
      <c r="I875" s="3290"/>
    </row>
    <row r="876" spans="1:9" ht="14.25">
      <c r="A876" s="3288"/>
      <c r="B876" s="3290"/>
      <c r="C876" s="3294"/>
      <c r="D876" s="3290"/>
      <c r="E876" s="3294"/>
      <c r="F876" s="3290"/>
      <c r="G876" s="3290"/>
      <c r="H876" s="3290"/>
      <c r="I876" s="3290"/>
    </row>
    <row r="877" spans="1:9" ht="14.25">
      <c r="A877" s="3288"/>
      <c r="B877" s="3290"/>
      <c r="C877" s="3294"/>
      <c r="D877" s="3290"/>
      <c r="E877" s="3294"/>
      <c r="F877" s="3290"/>
      <c r="G877" s="3290"/>
      <c r="H877" s="3290"/>
      <c r="I877" s="3290"/>
    </row>
    <row r="878" spans="1:9" ht="14.25">
      <c r="A878" s="3288"/>
      <c r="B878" s="3290"/>
      <c r="C878" s="3294"/>
      <c r="D878" s="3290"/>
      <c r="E878" s="3294"/>
      <c r="F878" s="3290"/>
      <c r="G878" s="3290"/>
      <c r="H878" s="3290"/>
      <c r="I878" s="3290"/>
    </row>
    <row r="879" spans="1:9" ht="14.25">
      <c r="A879" s="3288"/>
      <c r="B879" s="3290"/>
      <c r="C879" s="3294"/>
      <c r="D879" s="3290"/>
      <c r="E879" s="3294"/>
      <c r="F879" s="3290"/>
      <c r="G879" s="3290"/>
      <c r="H879" s="3290"/>
      <c r="I879" s="3290"/>
    </row>
    <row r="880" spans="1:9" ht="14.25">
      <c r="A880" s="3288"/>
      <c r="B880" s="3290"/>
      <c r="C880" s="3294"/>
      <c r="D880" s="3290"/>
      <c r="E880" s="3294"/>
      <c r="F880" s="3290"/>
      <c r="G880" s="3290"/>
      <c r="H880" s="3290"/>
      <c r="I880" s="3290"/>
    </row>
    <row r="881" spans="1:9" ht="14.25">
      <c r="A881" s="3288"/>
      <c r="B881" s="3290"/>
      <c r="C881" s="3294"/>
      <c r="D881" s="3290"/>
      <c r="E881" s="3294"/>
      <c r="F881" s="3290"/>
      <c r="G881" s="3290"/>
      <c r="H881" s="3290"/>
      <c r="I881" s="3290"/>
    </row>
    <row r="882" spans="1:9" ht="14.25">
      <c r="A882" s="3288"/>
      <c r="B882" s="3290"/>
      <c r="C882" s="3294"/>
      <c r="D882" s="3290"/>
      <c r="E882" s="3294"/>
      <c r="F882" s="3290"/>
      <c r="G882" s="3290"/>
      <c r="H882" s="3290"/>
      <c r="I882" s="3290"/>
    </row>
    <row r="883" spans="1:9" ht="14.25">
      <c r="A883" s="3288"/>
      <c r="B883" s="3290"/>
      <c r="C883" s="3294"/>
      <c r="D883" s="3290"/>
      <c r="E883" s="3294"/>
      <c r="F883" s="3290"/>
      <c r="G883" s="3290"/>
      <c r="H883" s="3290"/>
      <c r="I883" s="3290"/>
    </row>
    <row r="884" spans="1:9" ht="14.25">
      <c r="A884" s="3288"/>
      <c r="B884" s="3290"/>
      <c r="C884" s="3294"/>
      <c r="D884" s="3290"/>
      <c r="E884" s="3294"/>
      <c r="F884" s="3290"/>
      <c r="G884" s="3290"/>
      <c r="H884" s="3290"/>
      <c r="I884" s="3290"/>
    </row>
    <row r="885" spans="1:9" ht="14.25">
      <c r="A885" s="3288"/>
      <c r="B885" s="3290"/>
      <c r="C885" s="3294"/>
      <c r="D885" s="3290"/>
      <c r="E885" s="3294"/>
      <c r="F885" s="3290"/>
      <c r="G885" s="3290"/>
      <c r="H885" s="3290"/>
      <c r="I885" s="3290"/>
    </row>
    <row r="886" spans="1:9" ht="14.25">
      <c r="A886" s="3288"/>
      <c r="B886" s="3290"/>
      <c r="C886" s="3294"/>
      <c r="D886" s="3290"/>
      <c r="E886" s="3294"/>
      <c r="F886" s="3290"/>
      <c r="G886" s="3290"/>
      <c r="H886" s="3290"/>
      <c r="I886" s="3290"/>
    </row>
    <row r="887" spans="1:9" ht="14.25">
      <c r="A887" s="3288"/>
      <c r="B887" s="3290"/>
      <c r="C887" s="3294"/>
      <c r="D887" s="3290"/>
      <c r="E887" s="3294"/>
      <c r="F887" s="3290"/>
      <c r="G887" s="3290"/>
      <c r="H887" s="3290"/>
      <c r="I887" s="3290"/>
    </row>
    <row r="888" spans="1:9" ht="14.25">
      <c r="A888" s="3288"/>
      <c r="B888" s="3290"/>
      <c r="C888" s="3294"/>
      <c r="D888" s="3290"/>
      <c r="E888" s="3294"/>
      <c r="F888" s="3290"/>
      <c r="G888" s="3290"/>
      <c r="H888" s="3290"/>
      <c r="I888" s="3290"/>
    </row>
    <row r="889" spans="1:9" ht="14.25">
      <c r="A889" s="3288"/>
      <c r="B889" s="3290"/>
      <c r="C889" s="3294"/>
      <c r="D889" s="3290"/>
      <c r="E889" s="3294"/>
      <c r="F889" s="3290"/>
      <c r="G889" s="3290"/>
      <c r="H889" s="3290"/>
      <c r="I889" s="3290"/>
    </row>
    <row r="890" spans="1:9" ht="14.25">
      <c r="A890" s="3288"/>
      <c r="B890" s="3290"/>
      <c r="C890" s="3294"/>
      <c r="D890" s="3290"/>
      <c r="E890" s="3294"/>
      <c r="F890" s="3290"/>
      <c r="G890" s="3290"/>
      <c r="H890" s="3290"/>
      <c r="I890" s="3290"/>
    </row>
    <row r="891" spans="1:9" ht="14.25">
      <c r="A891" s="3288"/>
      <c r="B891" s="3290"/>
      <c r="C891" s="3294"/>
      <c r="D891" s="3290"/>
      <c r="E891" s="3294"/>
      <c r="F891" s="3290"/>
      <c r="G891" s="3290"/>
      <c r="H891" s="3290"/>
      <c r="I891" s="3290"/>
    </row>
    <row r="892" spans="1:9" ht="14.25">
      <c r="A892" s="3288"/>
      <c r="B892" s="3290"/>
      <c r="C892" s="3294"/>
      <c r="D892" s="3290"/>
      <c r="E892" s="3294"/>
      <c r="F892" s="3290"/>
      <c r="G892" s="3290"/>
      <c r="H892" s="3290"/>
      <c r="I892" s="3290"/>
    </row>
    <row r="893" spans="1:9" ht="14.25">
      <c r="A893" s="3288"/>
      <c r="B893" s="3290"/>
      <c r="C893" s="3294"/>
      <c r="D893" s="3290"/>
      <c r="E893" s="3294"/>
      <c r="F893" s="3290"/>
      <c r="G893" s="3290"/>
      <c r="H893" s="3290"/>
      <c r="I893" s="3290"/>
    </row>
    <row r="894" spans="1:9" ht="14.25">
      <c r="A894" s="3288"/>
      <c r="B894" s="3290"/>
      <c r="C894" s="3294"/>
      <c r="D894" s="3290"/>
      <c r="E894" s="3294"/>
      <c r="F894" s="3290"/>
      <c r="G894" s="3290"/>
      <c r="H894" s="3290"/>
      <c r="I894" s="3290"/>
    </row>
    <row r="895" spans="1:9" ht="14.25">
      <c r="A895" s="3288"/>
      <c r="B895" s="3290"/>
      <c r="C895" s="3294"/>
      <c r="D895" s="3290"/>
      <c r="E895" s="3294"/>
      <c r="F895" s="3290"/>
      <c r="G895" s="3290"/>
      <c r="H895" s="3290"/>
      <c r="I895" s="3290"/>
    </row>
    <row r="896" spans="1:9" ht="14.25">
      <c r="A896" s="3288"/>
      <c r="B896" s="3290"/>
      <c r="C896" s="3294"/>
      <c r="D896" s="3290"/>
      <c r="E896" s="3294"/>
      <c r="F896" s="3290"/>
      <c r="G896" s="3290"/>
      <c r="H896" s="3290"/>
      <c r="I896" s="3290"/>
    </row>
    <row r="897" spans="1:9" ht="14.25">
      <c r="A897" s="3288"/>
      <c r="B897" s="3290"/>
      <c r="C897" s="3294"/>
      <c r="D897" s="3290"/>
      <c r="E897" s="3294"/>
      <c r="F897" s="3290"/>
      <c r="G897" s="3290"/>
      <c r="H897" s="3290"/>
      <c r="I897" s="3290"/>
    </row>
    <row r="898" spans="1:9" ht="14.25">
      <c r="A898" s="3288"/>
      <c r="B898" s="3290"/>
      <c r="C898" s="3294"/>
      <c r="D898" s="3290"/>
      <c r="E898" s="3294"/>
      <c r="F898" s="3290"/>
      <c r="G898" s="3290"/>
      <c r="H898" s="3290"/>
      <c r="I898" s="3290"/>
    </row>
    <row r="899" spans="1:9" ht="14.25">
      <c r="A899" s="3288"/>
      <c r="B899" s="3290"/>
      <c r="C899" s="3294"/>
      <c r="D899" s="3290"/>
      <c r="E899" s="3294"/>
      <c r="F899" s="3290"/>
      <c r="G899" s="3290"/>
      <c r="H899" s="3290"/>
      <c r="I899" s="3290"/>
    </row>
    <row r="900" spans="1:9" ht="14.25">
      <c r="A900" s="3288"/>
      <c r="B900" s="3290"/>
      <c r="C900" s="3294"/>
      <c r="D900" s="3290"/>
      <c r="E900" s="3294"/>
      <c r="F900" s="3290"/>
      <c r="G900" s="3290"/>
      <c r="H900" s="3290"/>
      <c r="I900" s="3290"/>
    </row>
    <row r="901" spans="1:9" ht="14.25">
      <c r="A901" s="3288"/>
      <c r="B901" s="3290"/>
      <c r="C901" s="3294"/>
      <c r="D901" s="3290"/>
      <c r="E901" s="3294"/>
      <c r="F901" s="3290"/>
      <c r="G901" s="3290"/>
      <c r="H901" s="3290"/>
      <c r="I901" s="3290"/>
    </row>
    <row r="902" spans="1:9" ht="14.25">
      <c r="A902" s="3288"/>
      <c r="B902" s="3290"/>
      <c r="C902" s="3294"/>
      <c r="D902" s="3290"/>
      <c r="E902" s="3294"/>
      <c r="F902" s="3290"/>
      <c r="G902" s="3290"/>
      <c r="H902" s="3290"/>
      <c r="I902" s="3290"/>
    </row>
    <row r="903" spans="1:9" ht="14.25">
      <c r="A903" s="3288"/>
      <c r="B903" s="3290"/>
      <c r="C903" s="3294"/>
      <c r="D903" s="3290"/>
      <c r="E903" s="3294"/>
      <c r="F903" s="3290"/>
      <c r="G903" s="3290"/>
      <c r="H903" s="3290"/>
      <c r="I903" s="3290"/>
    </row>
    <row r="904" spans="1:9" ht="14.25">
      <c r="A904" s="3288"/>
      <c r="B904" s="3290"/>
      <c r="C904" s="3294"/>
      <c r="D904" s="3290"/>
      <c r="E904" s="3294"/>
      <c r="F904" s="3290"/>
      <c r="G904" s="3290"/>
      <c r="H904" s="3290"/>
      <c r="I904" s="3290"/>
    </row>
    <row r="905" spans="1:9" ht="14.25">
      <c r="A905" s="3288"/>
      <c r="B905" s="3290"/>
      <c r="C905" s="3294"/>
      <c r="D905" s="3290"/>
      <c r="E905" s="3294"/>
      <c r="F905" s="3290"/>
      <c r="G905" s="3290"/>
      <c r="H905" s="3290"/>
      <c r="I905" s="3290"/>
    </row>
    <row r="906" spans="1:9" ht="14.25">
      <c r="A906" s="3288"/>
      <c r="B906" s="3290"/>
      <c r="C906" s="3294"/>
      <c r="D906" s="3290"/>
      <c r="E906" s="3294"/>
      <c r="F906" s="3290"/>
      <c r="G906" s="3290"/>
      <c r="H906" s="3290"/>
      <c r="I906" s="3290"/>
    </row>
    <row r="907" spans="1:9" ht="14.25">
      <c r="A907" s="3288"/>
      <c r="B907" s="3290"/>
      <c r="C907" s="3294"/>
      <c r="D907" s="3290"/>
      <c r="E907" s="3294"/>
      <c r="F907" s="3290"/>
      <c r="G907" s="3290"/>
      <c r="H907" s="3290"/>
      <c r="I907" s="3290"/>
    </row>
    <row r="908" spans="1:9" ht="14.25">
      <c r="A908" s="3288"/>
      <c r="B908" s="3290"/>
      <c r="C908" s="3294"/>
      <c r="D908" s="3290"/>
      <c r="E908" s="3294"/>
      <c r="F908" s="3290"/>
      <c r="G908" s="3290"/>
      <c r="H908" s="3290"/>
      <c r="I908" s="3290"/>
    </row>
    <row r="909" spans="1:9" ht="14.25">
      <c r="A909" s="3288"/>
      <c r="B909" s="3290"/>
      <c r="C909" s="3294"/>
      <c r="D909" s="3290"/>
      <c r="E909" s="3294"/>
      <c r="F909" s="3290"/>
      <c r="G909" s="3290"/>
      <c r="H909" s="3290"/>
      <c r="I909" s="3290"/>
    </row>
    <row r="910" spans="1:9" ht="14.25">
      <c r="A910" s="3288"/>
      <c r="B910" s="3290"/>
      <c r="C910" s="3294"/>
      <c r="D910" s="3290"/>
      <c r="E910" s="3294"/>
      <c r="F910" s="3290"/>
      <c r="G910" s="3290"/>
      <c r="H910" s="3290"/>
      <c r="I910" s="3290"/>
    </row>
    <row r="911" spans="1:9" ht="14.25">
      <c r="A911" s="3288"/>
      <c r="B911" s="3290"/>
      <c r="C911" s="3294"/>
      <c r="D911" s="3290"/>
      <c r="E911" s="3294"/>
      <c r="F911" s="3290"/>
      <c r="G911" s="3290"/>
      <c r="H911" s="3290"/>
      <c r="I911" s="3290"/>
    </row>
    <row r="912" spans="1:9" ht="14.25">
      <c r="A912" s="3288"/>
      <c r="B912" s="3290"/>
      <c r="C912" s="3294"/>
      <c r="D912" s="3290"/>
      <c r="E912" s="3294"/>
      <c r="F912" s="3290"/>
      <c r="G912" s="3290"/>
      <c r="H912" s="3290"/>
      <c r="I912" s="3290"/>
    </row>
    <row r="913" spans="1:9" ht="14.25">
      <c r="A913" s="3288"/>
      <c r="B913" s="3290"/>
      <c r="C913" s="3294"/>
      <c r="D913" s="3290"/>
      <c r="E913" s="3294"/>
      <c r="F913" s="3290"/>
      <c r="G913" s="3290"/>
      <c r="H913" s="3290"/>
      <c r="I913" s="3290"/>
    </row>
    <row r="914" spans="1:9" ht="14.25">
      <c r="A914" s="3288"/>
      <c r="B914" s="3290"/>
      <c r="C914" s="3294"/>
      <c r="D914" s="3290"/>
      <c r="E914" s="3294"/>
      <c r="F914" s="3290"/>
      <c r="G914" s="3290"/>
      <c r="H914" s="3290"/>
      <c r="I914" s="3290"/>
    </row>
    <row r="915" spans="1:9" ht="14.25">
      <c r="A915" s="3288"/>
      <c r="B915" s="3290"/>
      <c r="C915" s="3294"/>
      <c r="D915" s="3290"/>
      <c r="E915" s="3294"/>
      <c r="F915" s="3290"/>
      <c r="G915" s="3290"/>
      <c r="H915" s="3290"/>
      <c r="I915" s="3290"/>
    </row>
    <row r="916" spans="1:9" ht="14.25">
      <c r="A916" s="3288"/>
      <c r="B916" s="3290"/>
      <c r="C916" s="3294"/>
      <c r="D916" s="3290"/>
      <c r="E916" s="3294"/>
      <c r="F916" s="3290"/>
      <c r="G916" s="3290"/>
      <c r="H916" s="3290"/>
      <c r="I916" s="3290"/>
    </row>
    <row r="917" spans="1:9" ht="14.25">
      <c r="A917" s="3288"/>
      <c r="B917" s="3290"/>
      <c r="C917" s="3294"/>
      <c r="D917" s="3290"/>
      <c r="E917" s="3294"/>
      <c r="F917" s="3290"/>
      <c r="G917" s="3290"/>
      <c r="H917" s="3290"/>
      <c r="I917" s="3290"/>
    </row>
    <row r="918" spans="1:9" ht="14.25">
      <c r="A918" s="3288"/>
      <c r="B918" s="3290"/>
      <c r="C918" s="3294"/>
      <c r="D918" s="3290"/>
      <c r="E918" s="3294"/>
      <c r="F918" s="3290"/>
      <c r="G918" s="3290"/>
      <c r="H918" s="3290"/>
      <c r="I918" s="3290"/>
    </row>
    <row r="919" spans="1:9" ht="14.25">
      <c r="A919" s="3288"/>
      <c r="B919" s="3290"/>
      <c r="C919" s="3294"/>
      <c r="D919" s="3290"/>
      <c r="E919" s="3294"/>
      <c r="F919" s="3290"/>
      <c r="G919" s="3290"/>
      <c r="H919" s="3290"/>
      <c r="I919" s="3290"/>
    </row>
    <row r="920" spans="1:9" ht="14.25">
      <c r="A920" s="3288"/>
      <c r="B920" s="3290"/>
      <c r="C920" s="3294"/>
      <c r="D920" s="3290"/>
      <c r="E920" s="3294"/>
      <c r="F920" s="3290"/>
      <c r="G920" s="3290"/>
      <c r="H920" s="3290"/>
      <c r="I920" s="3290"/>
    </row>
    <row r="921" spans="1:9" ht="14.25">
      <c r="A921" s="3288"/>
      <c r="B921" s="3290"/>
      <c r="C921" s="3294"/>
      <c r="D921" s="3290"/>
      <c r="E921" s="3294"/>
      <c r="F921" s="3290"/>
      <c r="G921" s="3290"/>
      <c r="H921" s="3290"/>
      <c r="I921" s="3290"/>
    </row>
    <row r="922" spans="1:9" ht="14.25">
      <c r="A922" s="3288"/>
      <c r="B922" s="3290"/>
      <c r="C922" s="3294"/>
      <c r="D922" s="3290"/>
      <c r="E922" s="3294"/>
      <c r="F922" s="3290"/>
      <c r="G922" s="3290"/>
      <c r="H922" s="3290"/>
      <c r="I922" s="3290"/>
    </row>
    <row r="923" spans="1:9" ht="14.25">
      <c r="A923" s="3288"/>
      <c r="B923" s="3290"/>
      <c r="C923" s="3294"/>
      <c r="D923" s="3290"/>
      <c r="E923" s="3294"/>
      <c r="F923" s="3290"/>
      <c r="G923" s="3290"/>
      <c r="H923" s="3290"/>
      <c r="I923" s="3290"/>
    </row>
    <row r="924" spans="1:9" ht="14.25">
      <c r="A924" s="3288"/>
      <c r="B924" s="3290"/>
      <c r="C924" s="3294"/>
      <c r="D924" s="3290"/>
      <c r="E924" s="3294"/>
      <c r="F924" s="3290"/>
      <c r="G924" s="3290"/>
      <c r="H924" s="3290"/>
      <c r="I924" s="3290"/>
    </row>
    <row r="925" spans="1:9" ht="14.25">
      <c r="A925" s="3288"/>
      <c r="B925" s="3290"/>
      <c r="C925" s="3294"/>
      <c r="D925" s="3290"/>
      <c r="E925" s="3294"/>
      <c r="F925" s="3290"/>
      <c r="G925" s="3290"/>
      <c r="H925" s="3290"/>
      <c r="I925" s="3290"/>
    </row>
    <row r="926" spans="1:9" ht="14.25">
      <c r="A926" s="3288"/>
      <c r="B926" s="3290"/>
      <c r="C926" s="3294"/>
      <c r="D926" s="3290"/>
      <c r="E926" s="3294"/>
      <c r="F926" s="3290"/>
      <c r="G926" s="3290"/>
      <c r="H926" s="3290"/>
      <c r="I926" s="3290"/>
    </row>
    <row r="927" spans="1:9" ht="14.25">
      <c r="A927" s="3288"/>
      <c r="B927" s="3290"/>
      <c r="C927" s="3294"/>
      <c r="D927" s="3290"/>
      <c r="E927" s="3294"/>
      <c r="F927" s="3290"/>
      <c r="G927" s="3290"/>
      <c r="H927" s="3290"/>
      <c r="I927" s="3290"/>
    </row>
    <row r="928" spans="1:9" ht="14.25">
      <c r="A928" s="3288"/>
      <c r="B928" s="3290"/>
      <c r="C928" s="3294"/>
      <c r="D928" s="3290"/>
      <c r="E928" s="3294"/>
      <c r="F928" s="3290"/>
      <c r="G928" s="3290"/>
      <c r="H928" s="3290"/>
      <c r="I928" s="3290"/>
    </row>
    <row r="929" spans="1:9" ht="14.25">
      <c r="A929" s="3288"/>
      <c r="B929" s="3290"/>
      <c r="C929" s="3294"/>
      <c r="D929" s="3290"/>
      <c r="E929" s="3294"/>
      <c r="F929" s="3290"/>
      <c r="G929" s="3290"/>
      <c r="H929" s="3290"/>
      <c r="I929" s="3290"/>
    </row>
    <row r="930" spans="1:9" ht="14.25">
      <c r="A930" s="3288"/>
      <c r="B930" s="3290"/>
      <c r="C930" s="3294"/>
      <c r="D930" s="3290"/>
      <c r="E930" s="3294"/>
      <c r="F930" s="3290"/>
      <c r="G930" s="3290"/>
      <c r="H930" s="3290"/>
      <c r="I930" s="3290"/>
    </row>
    <row r="931" spans="1:9" ht="14.25">
      <c r="A931" s="3288"/>
      <c r="B931" s="3290"/>
      <c r="C931" s="3294"/>
      <c r="D931" s="3290"/>
      <c r="E931" s="3294"/>
      <c r="F931" s="3290"/>
      <c r="G931" s="3290"/>
      <c r="H931" s="3290"/>
      <c r="I931" s="3290"/>
    </row>
    <row r="932" spans="1:9" ht="14.25">
      <c r="A932" s="3288"/>
      <c r="B932" s="3290"/>
      <c r="C932" s="3294"/>
      <c r="D932" s="3290"/>
      <c r="E932" s="3294"/>
      <c r="F932" s="3290"/>
      <c r="G932" s="3290"/>
      <c r="H932" s="3290"/>
      <c r="I932" s="3290"/>
    </row>
    <row r="933" spans="1:9" ht="14.25">
      <c r="A933" s="3288"/>
      <c r="B933" s="3290"/>
      <c r="C933" s="3294"/>
      <c r="D933" s="3290"/>
      <c r="E933" s="3294"/>
      <c r="F933" s="3290"/>
      <c r="G933" s="3290"/>
      <c r="H933" s="3290"/>
      <c r="I933" s="3290"/>
    </row>
    <row r="934" spans="1:9" ht="14.25">
      <c r="A934" s="3288"/>
      <c r="B934" s="3290"/>
      <c r="C934" s="3294"/>
      <c r="D934" s="3290"/>
      <c r="E934" s="3294"/>
      <c r="F934" s="3290"/>
      <c r="G934" s="3290"/>
      <c r="H934" s="3290"/>
      <c r="I934" s="3290"/>
    </row>
    <row r="935" spans="1:9" ht="14.25">
      <c r="A935" s="3288"/>
      <c r="B935" s="3290"/>
      <c r="C935" s="3294"/>
      <c r="D935" s="3290"/>
      <c r="E935" s="3294"/>
      <c r="F935" s="3290"/>
      <c r="G935" s="3290"/>
      <c r="H935" s="3290"/>
      <c r="I935" s="3290"/>
    </row>
    <row r="936" spans="1:9" ht="14.25">
      <c r="A936" s="3288"/>
      <c r="B936" s="3290"/>
      <c r="C936" s="3294"/>
      <c r="D936" s="3290"/>
      <c r="E936" s="3294"/>
      <c r="F936" s="3290"/>
      <c r="G936" s="3290"/>
      <c r="H936" s="3290"/>
      <c r="I936" s="3290"/>
    </row>
    <row r="937" spans="1:9" ht="14.25">
      <c r="A937" s="3288"/>
      <c r="B937" s="3290"/>
      <c r="C937" s="3294"/>
      <c r="D937" s="3290"/>
      <c r="E937" s="3294"/>
      <c r="F937" s="3290"/>
      <c r="G937" s="3290"/>
      <c r="H937" s="3290"/>
      <c r="I937" s="3290"/>
    </row>
    <row r="938" spans="1:9" ht="14.25">
      <c r="A938" s="3288"/>
      <c r="B938" s="3290"/>
      <c r="C938" s="3294"/>
      <c r="D938" s="3290"/>
      <c r="E938" s="3294"/>
      <c r="F938" s="3290"/>
      <c r="G938" s="3290"/>
      <c r="H938" s="3290"/>
      <c r="I938" s="3290"/>
    </row>
    <row r="939" spans="1:9" ht="14.25">
      <c r="A939" s="3288"/>
      <c r="B939" s="3290"/>
      <c r="C939" s="3294"/>
      <c r="D939" s="3290"/>
      <c r="E939" s="3294"/>
      <c r="F939" s="3290"/>
      <c r="G939" s="3290"/>
      <c r="H939" s="3290"/>
      <c r="I939" s="3290"/>
    </row>
    <row r="940" spans="1:9" ht="14.25">
      <c r="A940" s="3288"/>
      <c r="B940" s="3290"/>
      <c r="C940" s="3294"/>
      <c r="D940" s="3290"/>
      <c r="E940" s="3294"/>
      <c r="F940" s="3290"/>
      <c r="G940" s="3290"/>
      <c r="H940" s="3290"/>
      <c r="I940" s="3290"/>
    </row>
    <row r="941" spans="1:9" ht="14.25">
      <c r="A941" s="3288"/>
      <c r="B941" s="3290"/>
      <c r="C941" s="3294"/>
      <c r="D941" s="3290"/>
      <c r="E941" s="3294"/>
      <c r="F941" s="3290"/>
      <c r="G941" s="3290"/>
      <c r="H941" s="3290"/>
      <c r="I941" s="3290"/>
    </row>
    <row r="942" spans="1:9" ht="14.25">
      <c r="A942" s="3288"/>
      <c r="B942" s="3290"/>
      <c r="C942" s="3294"/>
      <c r="D942" s="3290"/>
      <c r="E942" s="3294"/>
      <c r="F942" s="3290"/>
      <c r="G942" s="3290"/>
      <c r="H942" s="3290"/>
      <c r="I942" s="3290"/>
    </row>
    <row r="943" spans="1:9" ht="14.25">
      <c r="A943" s="3288"/>
      <c r="B943" s="3290"/>
      <c r="C943" s="3294"/>
      <c r="D943" s="3290"/>
      <c r="E943" s="3294"/>
      <c r="F943" s="3290"/>
      <c r="G943" s="3290"/>
      <c r="H943" s="3290"/>
      <c r="I943" s="3290"/>
    </row>
    <row r="944" spans="1:9" ht="14.25">
      <c r="A944" s="3288"/>
      <c r="B944" s="3290"/>
      <c r="C944" s="3294"/>
      <c r="D944" s="3290"/>
      <c r="E944" s="3294"/>
      <c r="F944" s="3290"/>
      <c r="G944" s="3290"/>
      <c r="H944" s="3290"/>
      <c r="I944" s="3290"/>
    </row>
  </sheetData>
  <autoFilter ref="A2:I944">
    <sortState ref="A2:I944">
      <sortCondition ref="B2"/>
    </sortState>
  </autoFilter>
  <mergeCells count="1">
    <mergeCell ref="A1:H1"/>
  </mergeCells>
  <phoneticPr fontId="135"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VX265"/>
  <sheetViews>
    <sheetView zoomScaleNormal="100" zoomScaleSheetLayoutView="100" workbookViewId="0">
      <pane xSplit="5" ySplit="2" topLeftCell="F234" activePane="bottomRight" state="frozenSplit"/>
      <selection pane="topRight"/>
      <selection pane="bottomLeft"/>
      <selection pane="bottomRight" activeCell="H253" sqref="H253"/>
    </sheetView>
  </sheetViews>
  <sheetFormatPr defaultRowHeight="24.95" customHeight="1"/>
  <cols>
    <col min="1" max="1" width="5.625" style="3229" customWidth="1"/>
    <col min="2" max="2" width="5.125" style="3229" customWidth="1"/>
    <col min="3" max="3" width="6" style="3229" customWidth="1"/>
    <col min="4" max="4" width="5.75" style="3229" customWidth="1"/>
    <col min="5" max="5" width="19" style="3269" customWidth="1"/>
    <col min="6" max="7" width="13.75" style="3269" bestFit="1" customWidth="1"/>
    <col min="8" max="8" width="9.75" style="3269" bestFit="1" customWidth="1"/>
    <col min="9" max="9" width="9" style="3269"/>
    <col min="10" max="10" width="17" style="3269" customWidth="1"/>
    <col min="11" max="11" width="15.5" style="3269" customWidth="1"/>
    <col min="12" max="12" width="14.625" style="3269" customWidth="1"/>
    <col min="13" max="13" width="16.125" style="3269" customWidth="1"/>
    <col min="14" max="14" width="19.375" style="3229" customWidth="1"/>
    <col min="15" max="15" width="24" style="3229" hidden="1" customWidth="1"/>
    <col min="16" max="16" width="12.75" style="3229" customWidth="1"/>
    <col min="17" max="17" width="18" style="3229" customWidth="1"/>
    <col min="18" max="19" width="22.5" style="3229" customWidth="1"/>
    <col min="20" max="20" width="12" style="3229" customWidth="1"/>
    <col min="21" max="257" width="9" style="3229"/>
    <col min="258" max="258" width="5.625" style="3229" customWidth="1"/>
    <col min="259" max="259" width="5.125" style="3229" customWidth="1"/>
    <col min="260" max="260" width="6" style="3229" customWidth="1"/>
    <col min="261" max="261" width="5.75" style="3229" customWidth="1"/>
    <col min="262" max="262" width="19" style="3229" customWidth="1"/>
    <col min="263" max="263" width="9.75" style="3229" customWidth="1"/>
    <col min="264" max="264" width="0" style="3229" hidden="1" customWidth="1"/>
    <col min="265" max="265" width="7.625" style="3229" customWidth="1"/>
    <col min="266" max="266" width="9" style="3229"/>
    <col min="267" max="267" width="17" style="3229" customWidth="1"/>
    <col min="268" max="268" width="18" style="3229" customWidth="1"/>
    <col min="269" max="269" width="18.75" style="3229" customWidth="1"/>
    <col min="270" max="270" width="23.875" style="3229" customWidth="1"/>
    <col min="271" max="271" width="25.75" style="3229" customWidth="1"/>
    <col min="272" max="272" width="0" style="3229" hidden="1" customWidth="1"/>
    <col min="273" max="273" width="24.625" style="3229" customWidth="1"/>
    <col min="274" max="513" width="9" style="3229"/>
    <col min="514" max="514" width="5.625" style="3229" customWidth="1"/>
    <col min="515" max="515" width="5.125" style="3229" customWidth="1"/>
    <col min="516" max="516" width="6" style="3229" customWidth="1"/>
    <col min="517" max="517" width="5.75" style="3229" customWidth="1"/>
    <col min="518" max="518" width="19" style="3229" customWidth="1"/>
    <col min="519" max="519" width="9.75" style="3229" customWidth="1"/>
    <col min="520" max="520" width="0" style="3229" hidden="1" customWidth="1"/>
    <col min="521" max="521" width="7.625" style="3229" customWidth="1"/>
    <col min="522" max="522" width="9" style="3229"/>
    <col min="523" max="523" width="17" style="3229" customWidth="1"/>
    <col min="524" max="524" width="18" style="3229" customWidth="1"/>
    <col min="525" max="525" width="18.75" style="3229" customWidth="1"/>
    <col min="526" max="526" width="23.875" style="3229" customWidth="1"/>
    <col min="527" max="527" width="25.75" style="3229" customWidth="1"/>
    <col min="528" max="528" width="0" style="3229" hidden="1" customWidth="1"/>
    <col min="529" max="529" width="24.625" style="3229" customWidth="1"/>
    <col min="530" max="769" width="9" style="3229"/>
    <col min="770" max="770" width="5.625" style="3229" customWidth="1"/>
    <col min="771" max="771" width="5.125" style="3229" customWidth="1"/>
    <col min="772" max="772" width="6" style="3229" customWidth="1"/>
    <col min="773" max="773" width="5.75" style="3229" customWidth="1"/>
    <col min="774" max="774" width="19" style="3229" customWidth="1"/>
    <col min="775" max="775" width="9.75" style="3229" customWidth="1"/>
    <col min="776" max="776" width="0" style="3229" hidden="1" customWidth="1"/>
    <col min="777" max="777" width="7.625" style="3229" customWidth="1"/>
    <col min="778" max="778" width="9" style="3229"/>
    <col min="779" max="779" width="17" style="3229" customWidth="1"/>
    <col min="780" max="780" width="18" style="3229" customWidth="1"/>
    <col min="781" max="781" width="18.75" style="3229" customWidth="1"/>
    <col min="782" max="782" width="23.875" style="3229" customWidth="1"/>
    <col min="783" max="783" width="25.75" style="3229" customWidth="1"/>
    <col min="784" max="784" width="0" style="3229" hidden="1" customWidth="1"/>
    <col min="785" max="785" width="24.625" style="3229" customWidth="1"/>
    <col min="786" max="1025" width="9" style="3229"/>
    <col min="1026" max="1026" width="5.625" style="3229" customWidth="1"/>
    <col min="1027" max="1027" width="5.125" style="3229" customWidth="1"/>
    <col min="1028" max="1028" width="6" style="3229" customWidth="1"/>
    <col min="1029" max="1029" width="5.75" style="3229" customWidth="1"/>
    <col min="1030" max="1030" width="19" style="3229" customWidth="1"/>
    <col min="1031" max="1031" width="9.75" style="3229" customWidth="1"/>
    <col min="1032" max="1032" width="0" style="3229" hidden="1" customWidth="1"/>
    <col min="1033" max="1033" width="7.625" style="3229" customWidth="1"/>
    <col min="1034" max="1034" width="9" style="3229"/>
    <col min="1035" max="1035" width="17" style="3229" customWidth="1"/>
    <col min="1036" max="1036" width="18" style="3229" customWidth="1"/>
    <col min="1037" max="1037" width="18.75" style="3229" customWidth="1"/>
    <col min="1038" max="1038" width="23.875" style="3229" customWidth="1"/>
    <col min="1039" max="1039" width="25.75" style="3229" customWidth="1"/>
    <col min="1040" max="1040" width="0" style="3229" hidden="1" customWidth="1"/>
    <col min="1041" max="1041" width="24.625" style="3229" customWidth="1"/>
    <col min="1042" max="1281" width="9" style="3229"/>
    <col min="1282" max="1282" width="5.625" style="3229" customWidth="1"/>
    <col min="1283" max="1283" width="5.125" style="3229" customWidth="1"/>
    <col min="1284" max="1284" width="6" style="3229" customWidth="1"/>
    <col min="1285" max="1285" width="5.75" style="3229" customWidth="1"/>
    <col min="1286" max="1286" width="19" style="3229" customWidth="1"/>
    <col min="1287" max="1287" width="9.75" style="3229" customWidth="1"/>
    <col min="1288" max="1288" width="0" style="3229" hidden="1" customWidth="1"/>
    <col min="1289" max="1289" width="7.625" style="3229" customWidth="1"/>
    <col min="1290" max="1290" width="9" style="3229"/>
    <col min="1291" max="1291" width="17" style="3229" customWidth="1"/>
    <col min="1292" max="1292" width="18" style="3229" customWidth="1"/>
    <col min="1293" max="1293" width="18.75" style="3229" customWidth="1"/>
    <col min="1294" max="1294" width="23.875" style="3229" customWidth="1"/>
    <col min="1295" max="1295" width="25.75" style="3229" customWidth="1"/>
    <col min="1296" max="1296" width="0" style="3229" hidden="1" customWidth="1"/>
    <col min="1297" max="1297" width="24.625" style="3229" customWidth="1"/>
    <col min="1298" max="1537" width="9" style="3229"/>
    <col min="1538" max="1538" width="5.625" style="3229" customWidth="1"/>
    <col min="1539" max="1539" width="5.125" style="3229" customWidth="1"/>
    <col min="1540" max="1540" width="6" style="3229" customWidth="1"/>
    <col min="1541" max="1541" width="5.75" style="3229" customWidth="1"/>
    <col min="1542" max="1542" width="19" style="3229" customWidth="1"/>
    <col min="1543" max="1543" width="9.75" style="3229" customWidth="1"/>
    <col min="1544" max="1544" width="0" style="3229" hidden="1" customWidth="1"/>
    <col min="1545" max="1545" width="7.625" style="3229" customWidth="1"/>
    <col min="1546" max="1546" width="9" style="3229"/>
    <col min="1547" max="1547" width="17" style="3229" customWidth="1"/>
    <col min="1548" max="1548" width="18" style="3229" customWidth="1"/>
    <col min="1549" max="1549" width="18.75" style="3229" customWidth="1"/>
    <col min="1550" max="1550" width="23.875" style="3229" customWidth="1"/>
    <col min="1551" max="1551" width="25.75" style="3229" customWidth="1"/>
    <col min="1552" max="1552" width="0" style="3229" hidden="1" customWidth="1"/>
    <col min="1553" max="1553" width="24.625" style="3229" customWidth="1"/>
    <col min="1554" max="1793" width="9" style="3229"/>
    <col min="1794" max="1794" width="5.625" style="3229" customWidth="1"/>
    <col min="1795" max="1795" width="5.125" style="3229" customWidth="1"/>
    <col min="1796" max="1796" width="6" style="3229" customWidth="1"/>
    <col min="1797" max="1797" width="5.75" style="3229" customWidth="1"/>
    <col min="1798" max="1798" width="19" style="3229" customWidth="1"/>
    <col min="1799" max="1799" width="9.75" style="3229" customWidth="1"/>
    <col min="1800" max="1800" width="0" style="3229" hidden="1" customWidth="1"/>
    <col min="1801" max="1801" width="7.625" style="3229" customWidth="1"/>
    <col min="1802" max="1802" width="9" style="3229"/>
    <col min="1803" max="1803" width="17" style="3229" customWidth="1"/>
    <col min="1804" max="1804" width="18" style="3229" customWidth="1"/>
    <col min="1805" max="1805" width="18.75" style="3229" customWidth="1"/>
    <col min="1806" max="1806" width="23.875" style="3229" customWidth="1"/>
    <col min="1807" max="1807" width="25.75" style="3229" customWidth="1"/>
    <col min="1808" max="1808" width="0" style="3229" hidden="1" customWidth="1"/>
    <col min="1809" max="1809" width="24.625" style="3229" customWidth="1"/>
    <col min="1810" max="2049" width="9" style="3229"/>
    <col min="2050" max="2050" width="5.625" style="3229" customWidth="1"/>
    <col min="2051" max="2051" width="5.125" style="3229" customWidth="1"/>
    <col min="2052" max="2052" width="6" style="3229" customWidth="1"/>
    <col min="2053" max="2053" width="5.75" style="3229" customWidth="1"/>
    <col min="2054" max="2054" width="19" style="3229" customWidth="1"/>
    <col min="2055" max="2055" width="9.75" style="3229" customWidth="1"/>
    <col min="2056" max="2056" width="0" style="3229" hidden="1" customWidth="1"/>
    <col min="2057" max="2057" width="7.625" style="3229" customWidth="1"/>
    <col min="2058" max="2058" width="9" style="3229"/>
    <col min="2059" max="2059" width="17" style="3229" customWidth="1"/>
    <col min="2060" max="2060" width="18" style="3229" customWidth="1"/>
    <col min="2061" max="2061" width="18.75" style="3229" customWidth="1"/>
    <col min="2062" max="2062" width="23.875" style="3229" customWidth="1"/>
    <col min="2063" max="2063" width="25.75" style="3229" customWidth="1"/>
    <col min="2064" max="2064" width="0" style="3229" hidden="1" customWidth="1"/>
    <col min="2065" max="2065" width="24.625" style="3229" customWidth="1"/>
    <col min="2066" max="2305" width="9" style="3229"/>
    <col min="2306" max="2306" width="5.625" style="3229" customWidth="1"/>
    <col min="2307" max="2307" width="5.125" style="3229" customWidth="1"/>
    <col min="2308" max="2308" width="6" style="3229" customWidth="1"/>
    <col min="2309" max="2309" width="5.75" style="3229" customWidth="1"/>
    <col min="2310" max="2310" width="19" style="3229" customWidth="1"/>
    <col min="2311" max="2311" width="9.75" style="3229" customWidth="1"/>
    <col min="2312" max="2312" width="0" style="3229" hidden="1" customWidth="1"/>
    <col min="2313" max="2313" width="7.625" style="3229" customWidth="1"/>
    <col min="2314" max="2314" width="9" style="3229"/>
    <col min="2315" max="2315" width="17" style="3229" customWidth="1"/>
    <col min="2316" max="2316" width="18" style="3229" customWidth="1"/>
    <col min="2317" max="2317" width="18.75" style="3229" customWidth="1"/>
    <col min="2318" max="2318" width="23.875" style="3229" customWidth="1"/>
    <col min="2319" max="2319" width="25.75" style="3229" customWidth="1"/>
    <col min="2320" max="2320" width="0" style="3229" hidden="1" customWidth="1"/>
    <col min="2321" max="2321" width="24.625" style="3229" customWidth="1"/>
    <col min="2322" max="2561" width="9" style="3229"/>
    <col min="2562" max="2562" width="5.625" style="3229" customWidth="1"/>
    <col min="2563" max="2563" width="5.125" style="3229" customWidth="1"/>
    <col min="2564" max="2564" width="6" style="3229" customWidth="1"/>
    <col min="2565" max="2565" width="5.75" style="3229" customWidth="1"/>
    <col min="2566" max="2566" width="19" style="3229" customWidth="1"/>
    <col min="2567" max="2567" width="9.75" style="3229" customWidth="1"/>
    <col min="2568" max="2568" width="0" style="3229" hidden="1" customWidth="1"/>
    <col min="2569" max="2569" width="7.625" style="3229" customWidth="1"/>
    <col min="2570" max="2570" width="9" style="3229"/>
    <col min="2571" max="2571" width="17" style="3229" customWidth="1"/>
    <col min="2572" max="2572" width="18" style="3229" customWidth="1"/>
    <col min="2573" max="2573" width="18.75" style="3229" customWidth="1"/>
    <col min="2574" max="2574" width="23.875" style="3229" customWidth="1"/>
    <col min="2575" max="2575" width="25.75" style="3229" customWidth="1"/>
    <col min="2576" max="2576" width="0" style="3229" hidden="1" customWidth="1"/>
    <col min="2577" max="2577" width="24.625" style="3229" customWidth="1"/>
    <col min="2578" max="2817" width="9" style="3229"/>
    <col min="2818" max="2818" width="5.625" style="3229" customWidth="1"/>
    <col min="2819" max="2819" width="5.125" style="3229" customWidth="1"/>
    <col min="2820" max="2820" width="6" style="3229" customWidth="1"/>
    <col min="2821" max="2821" width="5.75" style="3229" customWidth="1"/>
    <col min="2822" max="2822" width="19" style="3229" customWidth="1"/>
    <col min="2823" max="2823" width="9.75" style="3229" customWidth="1"/>
    <col min="2824" max="2824" width="0" style="3229" hidden="1" customWidth="1"/>
    <col min="2825" max="2825" width="7.625" style="3229" customWidth="1"/>
    <col min="2826" max="2826" width="9" style="3229"/>
    <col min="2827" max="2827" width="17" style="3229" customWidth="1"/>
    <col min="2828" max="2828" width="18" style="3229" customWidth="1"/>
    <col min="2829" max="2829" width="18.75" style="3229" customWidth="1"/>
    <col min="2830" max="2830" width="23.875" style="3229" customWidth="1"/>
    <col min="2831" max="2831" width="25.75" style="3229" customWidth="1"/>
    <col min="2832" max="2832" width="0" style="3229" hidden="1" customWidth="1"/>
    <col min="2833" max="2833" width="24.625" style="3229" customWidth="1"/>
    <col min="2834" max="3073" width="9" style="3229"/>
    <col min="3074" max="3074" width="5.625" style="3229" customWidth="1"/>
    <col min="3075" max="3075" width="5.125" style="3229" customWidth="1"/>
    <col min="3076" max="3076" width="6" style="3229" customWidth="1"/>
    <col min="3077" max="3077" width="5.75" style="3229" customWidth="1"/>
    <col min="3078" max="3078" width="19" style="3229" customWidth="1"/>
    <col min="3079" max="3079" width="9.75" style="3229" customWidth="1"/>
    <col min="3080" max="3080" width="0" style="3229" hidden="1" customWidth="1"/>
    <col min="3081" max="3081" width="7.625" style="3229" customWidth="1"/>
    <col min="3082" max="3082" width="9" style="3229"/>
    <col min="3083" max="3083" width="17" style="3229" customWidth="1"/>
    <col min="3084" max="3084" width="18" style="3229" customWidth="1"/>
    <col min="3085" max="3085" width="18.75" style="3229" customWidth="1"/>
    <col min="3086" max="3086" width="23.875" style="3229" customWidth="1"/>
    <col min="3087" max="3087" width="25.75" style="3229" customWidth="1"/>
    <col min="3088" max="3088" width="0" style="3229" hidden="1" customWidth="1"/>
    <col min="3089" max="3089" width="24.625" style="3229" customWidth="1"/>
    <col min="3090" max="3329" width="9" style="3229"/>
    <col min="3330" max="3330" width="5.625" style="3229" customWidth="1"/>
    <col min="3331" max="3331" width="5.125" style="3229" customWidth="1"/>
    <col min="3332" max="3332" width="6" style="3229" customWidth="1"/>
    <col min="3333" max="3333" width="5.75" style="3229" customWidth="1"/>
    <col min="3334" max="3334" width="19" style="3229" customWidth="1"/>
    <col min="3335" max="3335" width="9.75" style="3229" customWidth="1"/>
    <col min="3336" max="3336" width="0" style="3229" hidden="1" customWidth="1"/>
    <col min="3337" max="3337" width="7.625" style="3229" customWidth="1"/>
    <col min="3338" max="3338" width="9" style="3229"/>
    <col min="3339" max="3339" width="17" style="3229" customWidth="1"/>
    <col min="3340" max="3340" width="18" style="3229" customWidth="1"/>
    <col min="3341" max="3341" width="18.75" style="3229" customWidth="1"/>
    <col min="3342" max="3342" width="23.875" style="3229" customWidth="1"/>
    <col min="3343" max="3343" width="25.75" style="3229" customWidth="1"/>
    <col min="3344" max="3344" width="0" style="3229" hidden="1" customWidth="1"/>
    <col min="3345" max="3345" width="24.625" style="3229" customWidth="1"/>
    <col min="3346" max="3585" width="9" style="3229"/>
    <col min="3586" max="3586" width="5.625" style="3229" customWidth="1"/>
    <col min="3587" max="3587" width="5.125" style="3229" customWidth="1"/>
    <col min="3588" max="3588" width="6" style="3229" customWidth="1"/>
    <col min="3589" max="3589" width="5.75" style="3229" customWidth="1"/>
    <col min="3590" max="3590" width="19" style="3229" customWidth="1"/>
    <col min="3591" max="3591" width="9.75" style="3229" customWidth="1"/>
    <col min="3592" max="3592" width="0" style="3229" hidden="1" customWidth="1"/>
    <col min="3593" max="3593" width="7.625" style="3229" customWidth="1"/>
    <col min="3594" max="3594" width="9" style="3229"/>
    <col min="3595" max="3595" width="17" style="3229" customWidth="1"/>
    <col min="3596" max="3596" width="18" style="3229" customWidth="1"/>
    <col min="3597" max="3597" width="18.75" style="3229" customWidth="1"/>
    <col min="3598" max="3598" width="23.875" style="3229" customWidth="1"/>
    <col min="3599" max="3599" width="25.75" style="3229" customWidth="1"/>
    <col min="3600" max="3600" width="0" style="3229" hidden="1" customWidth="1"/>
    <col min="3601" max="3601" width="24.625" style="3229" customWidth="1"/>
    <col min="3602" max="3841" width="9" style="3229"/>
    <col min="3842" max="3842" width="5.625" style="3229" customWidth="1"/>
    <col min="3843" max="3843" width="5.125" style="3229" customWidth="1"/>
    <col min="3844" max="3844" width="6" style="3229" customWidth="1"/>
    <col min="3845" max="3845" width="5.75" style="3229" customWidth="1"/>
    <col min="3846" max="3846" width="19" style="3229" customWidth="1"/>
    <col min="3847" max="3847" width="9.75" style="3229" customWidth="1"/>
    <col min="3848" max="3848" width="0" style="3229" hidden="1" customWidth="1"/>
    <col min="3849" max="3849" width="7.625" style="3229" customWidth="1"/>
    <col min="3850" max="3850" width="9" style="3229"/>
    <col min="3851" max="3851" width="17" style="3229" customWidth="1"/>
    <col min="3852" max="3852" width="18" style="3229" customWidth="1"/>
    <col min="3853" max="3853" width="18.75" style="3229" customWidth="1"/>
    <col min="3854" max="3854" width="23.875" style="3229" customWidth="1"/>
    <col min="3855" max="3855" width="25.75" style="3229" customWidth="1"/>
    <col min="3856" max="3856" width="0" style="3229" hidden="1" customWidth="1"/>
    <col min="3857" max="3857" width="24.625" style="3229" customWidth="1"/>
    <col min="3858" max="4097" width="9" style="3229"/>
    <col min="4098" max="4098" width="5.625" style="3229" customWidth="1"/>
    <col min="4099" max="4099" width="5.125" style="3229" customWidth="1"/>
    <col min="4100" max="4100" width="6" style="3229" customWidth="1"/>
    <col min="4101" max="4101" width="5.75" style="3229" customWidth="1"/>
    <col min="4102" max="4102" width="19" style="3229" customWidth="1"/>
    <col min="4103" max="4103" width="9.75" style="3229" customWidth="1"/>
    <col min="4104" max="4104" width="0" style="3229" hidden="1" customWidth="1"/>
    <col min="4105" max="4105" width="7.625" style="3229" customWidth="1"/>
    <col min="4106" max="4106" width="9" style="3229"/>
    <col min="4107" max="4107" width="17" style="3229" customWidth="1"/>
    <col min="4108" max="4108" width="18" style="3229" customWidth="1"/>
    <col min="4109" max="4109" width="18.75" style="3229" customWidth="1"/>
    <col min="4110" max="4110" width="23.875" style="3229" customWidth="1"/>
    <col min="4111" max="4111" width="25.75" style="3229" customWidth="1"/>
    <col min="4112" max="4112" width="0" style="3229" hidden="1" customWidth="1"/>
    <col min="4113" max="4113" width="24.625" style="3229" customWidth="1"/>
    <col min="4114" max="4353" width="9" style="3229"/>
    <col min="4354" max="4354" width="5.625" style="3229" customWidth="1"/>
    <col min="4355" max="4355" width="5.125" style="3229" customWidth="1"/>
    <col min="4356" max="4356" width="6" style="3229" customWidth="1"/>
    <col min="4357" max="4357" width="5.75" style="3229" customWidth="1"/>
    <col min="4358" max="4358" width="19" style="3229" customWidth="1"/>
    <col min="4359" max="4359" width="9.75" style="3229" customWidth="1"/>
    <col min="4360" max="4360" width="0" style="3229" hidden="1" customWidth="1"/>
    <col min="4361" max="4361" width="7.625" style="3229" customWidth="1"/>
    <col min="4362" max="4362" width="9" style="3229"/>
    <col min="4363" max="4363" width="17" style="3229" customWidth="1"/>
    <col min="4364" max="4364" width="18" style="3229" customWidth="1"/>
    <col min="4365" max="4365" width="18.75" style="3229" customWidth="1"/>
    <col min="4366" max="4366" width="23.875" style="3229" customWidth="1"/>
    <col min="4367" max="4367" width="25.75" style="3229" customWidth="1"/>
    <col min="4368" max="4368" width="0" style="3229" hidden="1" customWidth="1"/>
    <col min="4369" max="4369" width="24.625" style="3229" customWidth="1"/>
    <col min="4370" max="4609" width="9" style="3229"/>
    <col min="4610" max="4610" width="5.625" style="3229" customWidth="1"/>
    <col min="4611" max="4611" width="5.125" style="3229" customWidth="1"/>
    <col min="4612" max="4612" width="6" style="3229" customWidth="1"/>
    <col min="4613" max="4613" width="5.75" style="3229" customWidth="1"/>
    <col min="4614" max="4614" width="19" style="3229" customWidth="1"/>
    <col min="4615" max="4615" width="9.75" style="3229" customWidth="1"/>
    <col min="4616" max="4616" width="0" style="3229" hidden="1" customWidth="1"/>
    <col min="4617" max="4617" width="7.625" style="3229" customWidth="1"/>
    <col min="4618" max="4618" width="9" style="3229"/>
    <col min="4619" max="4619" width="17" style="3229" customWidth="1"/>
    <col min="4620" max="4620" width="18" style="3229" customWidth="1"/>
    <col min="4621" max="4621" width="18.75" style="3229" customWidth="1"/>
    <col min="4622" max="4622" width="23.875" style="3229" customWidth="1"/>
    <col min="4623" max="4623" width="25.75" style="3229" customWidth="1"/>
    <col min="4624" max="4624" width="0" style="3229" hidden="1" customWidth="1"/>
    <col min="4625" max="4625" width="24.625" style="3229" customWidth="1"/>
    <col min="4626" max="4865" width="9" style="3229"/>
    <col min="4866" max="4866" width="5.625" style="3229" customWidth="1"/>
    <col min="4867" max="4867" width="5.125" style="3229" customWidth="1"/>
    <col min="4868" max="4868" width="6" style="3229" customWidth="1"/>
    <col min="4869" max="4869" width="5.75" style="3229" customWidth="1"/>
    <col min="4870" max="4870" width="19" style="3229" customWidth="1"/>
    <col min="4871" max="4871" width="9.75" style="3229" customWidth="1"/>
    <col min="4872" max="4872" width="0" style="3229" hidden="1" customWidth="1"/>
    <col min="4873" max="4873" width="7.625" style="3229" customWidth="1"/>
    <col min="4874" max="4874" width="9" style="3229"/>
    <col min="4875" max="4875" width="17" style="3229" customWidth="1"/>
    <col min="4876" max="4876" width="18" style="3229" customWidth="1"/>
    <col min="4877" max="4877" width="18.75" style="3229" customWidth="1"/>
    <col min="4878" max="4878" width="23.875" style="3229" customWidth="1"/>
    <col min="4879" max="4879" width="25.75" style="3229" customWidth="1"/>
    <col min="4880" max="4880" width="0" style="3229" hidden="1" customWidth="1"/>
    <col min="4881" max="4881" width="24.625" style="3229" customWidth="1"/>
    <col min="4882" max="5121" width="9" style="3229"/>
    <col min="5122" max="5122" width="5.625" style="3229" customWidth="1"/>
    <col min="5123" max="5123" width="5.125" style="3229" customWidth="1"/>
    <col min="5124" max="5124" width="6" style="3229" customWidth="1"/>
    <col min="5125" max="5125" width="5.75" style="3229" customWidth="1"/>
    <col min="5126" max="5126" width="19" style="3229" customWidth="1"/>
    <col min="5127" max="5127" width="9.75" style="3229" customWidth="1"/>
    <col min="5128" max="5128" width="0" style="3229" hidden="1" customWidth="1"/>
    <col min="5129" max="5129" width="7.625" style="3229" customWidth="1"/>
    <col min="5130" max="5130" width="9" style="3229"/>
    <col min="5131" max="5131" width="17" style="3229" customWidth="1"/>
    <col min="5132" max="5132" width="18" style="3229" customWidth="1"/>
    <col min="5133" max="5133" width="18.75" style="3229" customWidth="1"/>
    <col min="5134" max="5134" width="23.875" style="3229" customWidth="1"/>
    <col min="5135" max="5135" width="25.75" style="3229" customWidth="1"/>
    <col min="5136" max="5136" width="0" style="3229" hidden="1" customWidth="1"/>
    <col min="5137" max="5137" width="24.625" style="3229" customWidth="1"/>
    <col min="5138" max="5377" width="9" style="3229"/>
    <col min="5378" max="5378" width="5.625" style="3229" customWidth="1"/>
    <col min="5379" max="5379" width="5.125" style="3229" customWidth="1"/>
    <col min="5380" max="5380" width="6" style="3229" customWidth="1"/>
    <col min="5381" max="5381" width="5.75" style="3229" customWidth="1"/>
    <col min="5382" max="5382" width="19" style="3229" customWidth="1"/>
    <col min="5383" max="5383" width="9.75" style="3229" customWidth="1"/>
    <col min="5384" max="5384" width="0" style="3229" hidden="1" customWidth="1"/>
    <col min="5385" max="5385" width="7.625" style="3229" customWidth="1"/>
    <col min="5386" max="5386" width="9" style="3229"/>
    <col min="5387" max="5387" width="17" style="3229" customWidth="1"/>
    <col min="5388" max="5388" width="18" style="3229" customWidth="1"/>
    <col min="5389" max="5389" width="18.75" style="3229" customWidth="1"/>
    <col min="5390" max="5390" width="23.875" style="3229" customWidth="1"/>
    <col min="5391" max="5391" width="25.75" style="3229" customWidth="1"/>
    <col min="5392" max="5392" width="0" style="3229" hidden="1" customWidth="1"/>
    <col min="5393" max="5393" width="24.625" style="3229" customWidth="1"/>
    <col min="5394" max="5633" width="9" style="3229"/>
    <col min="5634" max="5634" width="5.625" style="3229" customWidth="1"/>
    <col min="5635" max="5635" width="5.125" style="3229" customWidth="1"/>
    <col min="5636" max="5636" width="6" style="3229" customWidth="1"/>
    <col min="5637" max="5637" width="5.75" style="3229" customWidth="1"/>
    <col min="5638" max="5638" width="19" style="3229" customWidth="1"/>
    <col min="5639" max="5639" width="9.75" style="3229" customWidth="1"/>
    <col min="5640" max="5640" width="0" style="3229" hidden="1" customWidth="1"/>
    <col min="5641" max="5641" width="7.625" style="3229" customWidth="1"/>
    <col min="5642" max="5642" width="9" style="3229"/>
    <col min="5643" max="5643" width="17" style="3229" customWidth="1"/>
    <col min="5644" max="5644" width="18" style="3229" customWidth="1"/>
    <col min="5645" max="5645" width="18.75" style="3229" customWidth="1"/>
    <col min="5646" max="5646" width="23.875" style="3229" customWidth="1"/>
    <col min="5647" max="5647" width="25.75" style="3229" customWidth="1"/>
    <col min="5648" max="5648" width="0" style="3229" hidden="1" customWidth="1"/>
    <col min="5649" max="5649" width="24.625" style="3229" customWidth="1"/>
    <col min="5650" max="5889" width="9" style="3229"/>
    <col min="5890" max="5890" width="5.625" style="3229" customWidth="1"/>
    <col min="5891" max="5891" width="5.125" style="3229" customWidth="1"/>
    <col min="5892" max="5892" width="6" style="3229" customWidth="1"/>
    <col min="5893" max="5893" width="5.75" style="3229" customWidth="1"/>
    <col min="5894" max="5894" width="19" style="3229" customWidth="1"/>
    <col min="5895" max="5895" width="9.75" style="3229" customWidth="1"/>
    <col min="5896" max="5896" width="0" style="3229" hidden="1" customWidth="1"/>
    <col min="5897" max="5897" width="7.625" style="3229" customWidth="1"/>
    <col min="5898" max="5898" width="9" style="3229"/>
    <col min="5899" max="5899" width="17" style="3229" customWidth="1"/>
    <col min="5900" max="5900" width="18" style="3229" customWidth="1"/>
    <col min="5901" max="5901" width="18.75" style="3229" customWidth="1"/>
    <col min="5902" max="5902" width="23.875" style="3229" customWidth="1"/>
    <col min="5903" max="5903" width="25.75" style="3229" customWidth="1"/>
    <col min="5904" max="5904" width="0" style="3229" hidden="1" customWidth="1"/>
    <col min="5905" max="5905" width="24.625" style="3229" customWidth="1"/>
    <col min="5906" max="6145" width="9" style="3229"/>
    <col min="6146" max="6146" width="5.625" style="3229" customWidth="1"/>
    <col min="6147" max="6147" width="5.125" style="3229" customWidth="1"/>
    <col min="6148" max="6148" width="6" style="3229" customWidth="1"/>
    <col min="6149" max="6149" width="5.75" style="3229" customWidth="1"/>
    <col min="6150" max="6150" width="19" style="3229" customWidth="1"/>
    <col min="6151" max="6151" width="9.75" style="3229" customWidth="1"/>
    <col min="6152" max="6152" width="0" style="3229" hidden="1" customWidth="1"/>
    <col min="6153" max="6153" width="7.625" style="3229" customWidth="1"/>
    <col min="6154" max="6154" width="9" style="3229"/>
    <col min="6155" max="6155" width="17" style="3229" customWidth="1"/>
    <col min="6156" max="6156" width="18" style="3229" customWidth="1"/>
    <col min="6157" max="6157" width="18.75" style="3229" customWidth="1"/>
    <col min="6158" max="6158" width="23.875" style="3229" customWidth="1"/>
    <col min="6159" max="6159" width="25.75" style="3229" customWidth="1"/>
    <col min="6160" max="6160" width="0" style="3229" hidden="1" customWidth="1"/>
    <col min="6161" max="6161" width="24.625" style="3229" customWidth="1"/>
    <col min="6162" max="6401" width="9" style="3229"/>
    <col min="6402" max="6402" width="5.625" style="3229" customWidth="1"/>
    <col min="6403" max="6403" width="5.125" style="3229" customWidth="1"/>
    <col min="6404" max="6404" width="6" style="3229" customWidth="1"/>
    <col min="6405" max="6405" width="5.75" style="3229" customWidth="1"/>
    <col min="6406" max="6406" width="19" style="3229" customWidth="1"/>
    <col min="6407" max="6407" width="9.75" style="3229" customWidth="1"/>
    <col min="6408" max="6408" width="0" style="3229" hidden="1" customWidth="1"/>
    <col min="6409" max="6409" width="7.625" style="3229" customWidth="1"/>
    <col min="6410" max="6410" width="9" style="3229"/>
    <col min="6411" max="6411" width="17" style="3229" customWidth="1"/>
    <col min="6412" max="6412" width="18" style="3229" customWidth="1"/>
    <col min="6413" max="6413" width="18.75" style="3229" customWidth="1"/>
    <col min="6414" max="6414" width="23.875" style="3229" customWidth="1"/>
    <col min="6415" max="6415" width="25.75" style="3229" customWidth="1"/>
    <col min="6416" max="6416" width="0" style="3229" hidden="1" customWidth="1"/>
    <col min="6417" max="6417" width="24.625" style="3229" customWidth="1"/>
    <col min="6418" max="6657" width="9" style="3229"/>
    <col min="6658" max="6658" width="5.625" style="3229" customWidth="1"/>
    <col min="6659" max="6659" width="5.125" style="3229" customWidth="1"/>
    <col min="6660" max="6660" width="6" style="3229" customWidth="1"/>
    <col min="6661" max="6661" width="5.75" style="3229" customWidth="1"/>
    <col min="6662" max="6662" width="19" style="3229" customWidth="1"/>
    <col min="6663" max="6663" width="9.75" style="3229" customWidth="1"/>
    <col min="6664" max="6664" width="0" style="3229" hidden="1" customWidth="1"/>
    <col min="6665" max="6665" width="7.625" style="3229" customWidth="1"/>
    <col min="6666" max="6666" width="9" style="3229"/>
    <col min="6667" max="6667" width="17" style="3229" customWidth="1"/>
    <col min="6668" max="6668" width="18" style="3229" customWidth="1"/>
    <col min="6669" max="6669" width="18.75" style="3229" customWidth="1"/>
    <col min="6670" max="6670" width="23.875" style="3229" customWidth="1"/>
    <col min="6671" max="6671" width="25.75" style="3229" customWidth="1"/>
    <col min="6672" max="6672" width="0" style="3229" hidden="1" customWidth="1"/>
    <col min="6673" max="6673" width="24.625" style="3229" customWidth="1"/>
    <col min="6674" max="6913" width="9" style="3229"/>
    <col min="6914" max="6914" width="5.625" style="3229" customWidth="1"/>
    <col min="6915" max="6915" width="5.125" style="3229" customWidth="1"/>
    <col min="6916" max="6916" width="6" style="3229" customWidth="1"/>
    <col min="6917" max="6917" width="5.75" style="3229" customWidth="1"/>
    <col min="6918" max="6918" width="19" style="3229" customWidth="1"/>
    <col min="6919" max="6919" width="9.75" style="3229" customWidth="1"/>
    <col min="6920" max="6920" width="0" style="3229" hidden="1" customWidth="1"/>
    <col min="6921" max="6921" width="7.625" style="3229" customWidth="1"/>
    <col min="6922" max="6922" width="9" style="3229"/>
    <col min="6923" max="6923" width="17" style="3229" customWidth="1"/>
    <col min="6924" max="6924" width="18" style="3229" customWidth="1"/>
    <col min="6925" max="6925" width="18.75" style="3229" customWidth="1"/>
    <col min="6926" max="6926" width="23.875" style="3229" customWidth="1"/>
    <col min="6927" max="6927" width="25.75" style="3229" customWidth="1"/>
    <col min="6928" max="6928" width="0" style="3229" hidden="1" customWidth="1"/>
    <col min="6929" max="6929" width="24.625" style="3229" customWidth="1"/>
    <col min="6930" max="7169" width="9" style="3229"/>
    <col min="7170" max="7170" width="5.625" style="3229" customWidth="1"/>
    <col min="7171" max="7171" width="5.125" style="3229" customWidth="1"/>
    <col min="7172" max="7172" width="6" style="3229" customWidth="1"/>
    <col min="7173" max="7173" width="5.75" style="3229" customWidth="1"/>
    <col min="7174" max="7174" width="19" style="3229" customWidth="1"/>
    <col min="7175" max="7175" width="9.75" style="3229" customWidth="1"/>
    <col min="7176" max="7176" width="0" style="3229" hidden="1" customWidth="1"/>
    <col min="7177" max="7177" width="7.625" style="3229" customWidth="1"/>
    <col min="7178" max="7178" width="9" style="3229"/>
    <col min="7179" max="7179" width="17" style="3229" customWidth="1"/>
    <col min="7180" max="7180" width="18" style="3229" customWidth="1"/>
    <col min="7181" max="7181" width="18.75" style="3229" customWidth="1"/>
    <col min="7182" max="7182" width="23.875" style="3229" customWidth="1"/>
    <col min="7183" max="7183" width="25.75" style="3229" customWidth="1"/>
    <col min="7184" max="7184" width="0" style="3229" hidden="1" customWidth="1"/>
    <col min="7185" max="7185" width="24.625" style="3229" customWidth="1"/>
    <col min="7186" max="7425" width="9" style="3229"/>
    <col min="7426" max="7426" width="5.625" style="3229" customWidth="1"/>
    <col min="7427" max="7427" width="5.125" style="3229" customWidth="1"/>
    <col min="7428" max="7428" width="6" style="3229" customWidth="1"/>
    <col min="7429" max="7429" width="5.75" style="3229" customWidth="1"/>
    <col min="7430" max="7430" width="19" style="3229" customWidth="1"/>
    <col min="7431" max="7431" width="9.75" style="3229" customWidth="1"/>
    <col min="7432" max="7432" width="0" style="3229" hidden="1" customWidth="1"/>
    <col min="7433" max="7433" width="7.625" style="3229" customWidth="1"/>
    <col min="7434" max="7434" width="9" style="3229"/>
    <col min="7435" max="7435" width="17" style="3229" customWidth="1"/>
    <col min="7436" max="7436" width="18" style="3229" customWidth="1"/>
    <col min="7437" max="7437" width="18.75" style="3229" customWidth="1"/>
    <col min="7438" max="7438" width="23.875" style="3229" customWidth="1"/>
    <col min="7439" max="7439" width="25.75" style="3229" customWidth="1"/>
    <col min="7440" max="7440" width="0" style="3229" hidden="1" customWidth="1"/>
    <col min="7441" max="7441" width="24.625" style="3229" customWidth="1"/>
    <col min="7442" max="7681" width="9" style="3229"/>
    <col min="7682" max="7682" width="5.625" style="3229" customWidth="1"/>
    <col min="7683" max="7683" width="5.125" style="3229" customWidth="1"/>
    <col min="7684" max="7684" width="6" style="3229" customWidth="1"/>
    <col min="7685" max="7685" width="5.75" style="3229" customWidth="1"/>
    <col min="7686" max="7686" width="19" style="3229" customWidth="1"/>
    <col min="7687" max="7687" width="9.75" style="3229" customWidth="1"/>
    <col min="7688" max="7688" width="0" style="3229" hidden="1" customWidth="1"/>
    <col min="7689" max="7689" width="7.625" style="3229" customWidth="1"/>
    <col min="7690" max="7690" width="9" style="3229"/>
    <col min="7691" max="7691" width="17" style="3229" customWidth="1"/>
    <col min="7692" max="7692" width="18" style="3229" customWidth="1"/>
    <col min="7693" max="7693" width="18.75" style="3229" customWidth="1"/>
    <col min="7694" max="7694" width="23.875" style="3229" customWidth="1"/>
    <col min="7695" max="7695" width="25.75" style="3229" customWidth="1"/>
    <col min="7696" max="7696" width="0" style="3229" hidden="1" customWidth="1"/>
    <col min="7697" max="7697" width="24.625" style="3229" customWidth="1"/>
    <col min="7698" max="7937" width="9" style="3229"/>
    <col min="7938" max="7938" width="5.625" style="3229" customWidth="1"/>
    <col min="7939" max="7939" width="5.125" style="3229" customWidth="1"/>
    <col min="7940" max="7940" width="6" style="3229" customWidth="1"/>
    <col min="7941" max="7941" width="5.75" style="3229" customWidth="1"/>
    <col min="7942" max="7942" width="19" style="3229" customWidth="1"/>
    <col min="7943" max="7943" width="9.75" style="3229" customWidth="1"/>
    <col min="7944" max="7944" width="0" style="3229" hidden="1" customWidth="1"/>
    <col min="7945" max="7945" width="7.625" style="3229" customWidth="1"/>
    <col min="7946" max="7946" width="9" style="3229"/>
    <col min="7947" max="7947" width="17" style="3229" customWidth="1"/>
    <col min="7948" max="7948" width="18" style="3229" customWidth="1"/>
    <col min="7949" max="7949" width="18.75" style="3229" customWidth="1"/>
    <col min="7950" max="7950" width="23.875" style="3229" customWidth="1"/>
    <col min="7951" max="7951" width="25.75" style="3229" customWidth="1"/>
    <col min="7952" max="7952" width="0" style="3229" hidden="1" customWidth="1"/>
    <col min="7953" max="7953" width="24.625" style="3229" customWidth="1"/>
    <col min="7954" max="8193" width="9" style="3229"/>
    <col min="8194" max="8194" width="5.625" style="3229" customWidth="1"/>
    <col min="8195" max="8195" width="5.125" style="3229" customWidth="1"/>
    <col min="8196" max="8196" width="6" style="3229" customWidth="1"/>
    <col min="8197" max="8197" width="5.75" style="3229" customWidth="1"/>
    <col min="8198" max="8198" width="19" style="3229" customWidth="1"/>
    <col min="8199" max="8199" width="9.75" style="3229" customWidth="1"/>
    <col min="8200" max="8200" width="0" style="3229" hidden="1" customWidth="1"/>
    <col min="8201" max="8201" width="7.625" style="3229" customWidth="1"/>
    <col min="8202" max="8202" width="9" style="3229"/>
    <col min="8203" max="8203" width="17" style="3229" customWidth="1"/>
    <col min="8204" max="8204" width="18" style="3229" customWidth="1"/>
    <col min="8205" max="8205" width="18.75" style="3229" customWidth="1"/>
    <col min="8206" max="8206" width="23.875" style="3229" customWidth="1"/>
    <col min="8207" max="8207" width="25.75" style="3229" customWidth="1"/>
    <col min="8208" max="8208" width="0" style="3229" hidden="1" customWidth="1"/>
    <col min="8209" max="8209" width="24.625" style="3229" customWidth="1"/>
    <col min="8210" max="8449" width="9" style="3229"/>
    <col min="8450" max="8450" width="5.625" style="3229" customWidth="1"/>
    <col min="8451" max="8451" width="5.125" style="3229" customWidth="1"/>
    <col min="8452" max="8452" width="6" style="3229" customWidth="1"/>
    <col min="8453" max="8453" width="5.75" style="3229" customWidth="1"/>
    <col min="8454" max="8454" width="19" style="3229" customWidth="1"/>
    <col min="8455" max="8455" width="9.75" style="3229" customWidth="1"/>
    <col min="8456" max="8456" width="0" style="3229" hidden="1" customWidth="1"/>
    <col min="8457" max="8457" width="7.625" style="3229" customWidth="1"/>
    <col min="8458" max="8458" width="9" style="3229"/>
    <col min="8459" max="8459" width="17" style="3229" customWidth="1"/>
    <col min="8460" max="8460" width="18" style="3229" customWidth="1"/>
    <col min="8461" max="8461" width="18.75" style="3229" customWidth="1"/>
    <col min="8462" max="8462" width="23.875" style="3229" customWidth="1"/>
    <col min="8463" max="8463" width="25.75" style="3229" customWidth="1"/>
    <col min="8464" max="8464" width="0" style="3229" hidden="1" customWidth="1"/>
    <col min="8465" max="8465" width="24.625" style="3229" customWidth="1"/>
    <col min="8466" max="8705" width="9" style="3229"/>
    <col min="8706" max="8706" width="5.625" style="3229" customWidth="1"/>
    <col min="8707" max="8707" width="5.125" style="3229" customWidth="1"/>
    <col min="8708" max="8708" width="6" style="3229" customWidth="1"/>
    <col min="8709" max="8709" width="5.75" style="3229" customWidth="1"/>
    <col min="8710" max="8710" width="19" style="3229" customWidth="1"/>
    <col min="8711" max="8711" width="9.75" style="3229" customWidth="1"/>
    <col min="8712" max="8712" width="0" style="3229" hidden="1" customWidth="1"/>
    <col min="8713" max="8713" width="7.625" style="3229" customWidth="1"/>
    <col min="8714" max="8714" width="9" style="3229"/>
    <col min="8715" max="8715" width="17" style="3229" customWidth="1"/>
    <col min="8716" max="8716" width="18" style="3229" customWidth="1"/>
    <col min="8717" max="8717" width="18.75" style="3229" customWidth="1"/>
    <col min="8718" max="8718" width="23.875" style="3229" customWidth="1"/>
    <col min="8719" max="8719" width="25.75" style="3229" customWidth="1"/>
    <col min="8720" max="8720" width="0" style="3229" hidden="1" customWidth="1"/>
    <col min="8721" max="8721" width="24.625" style="3229" customWidth="1"/>
    <col min="8722" max="8961" width="9" style="3229"/>
    <col min="8962" max="8962" width="5.625" style="3229" customWidth="1"/>
    <col min="8963" max="8963" width="5.125" style="3229" customWidth="1"/>
    <col min="8964" max="8964" width="6" style="3229" customWidth="1"/>
    <col min="8965" max="8965" width="5.75" style="3229" customWidth="1"/>
    <col min="8966" max="8966" width="19" style="3229" customWidth="1"/>
    <col min="8967" max="8967" width="9.75" style="3229" customWidth="1"/>
    <col min="8968" max="8968" width="0" style="3229" hidden="1" customWidth="1"/>
    <col min="8969" max="8969" width="7.625" style="3229" customWidth="1"/>
    <col min="8970" max="8970" width="9" style="3229"/>
    <col min="8971" max="8971" width="17" style="3229" customWidth="1"/>
    <col min="8972" max="8972" width="18" style="3229" customWidth="1"/>
    <col min="8973" max="8973" width="18.75" style="3229" customWidth="1"/>
    <col min="8974" max="8974" width="23.875" style="3229" customWidth="1"/>
    <col min="8975" max="8975" width="25.75" style="3229" customWidth="1"/>
    <col min="8976" max="8976" width="0" style="3229" hidden="1" customWidth="1"/>
    <col min="8977" max="8977" width="24.625" style="3229" customWidth="1"/>
    <col min="8978" max="9217" width="9" style="3229"/>
    <col min="9218" max="9218" width="5.625" style="3229" customWidth="1"/>
    <col min="9219" max="9219" width="5.125" style="3229" customWidth="1"/>
    <col min="9220" max="9220" width="6" style="3229" customWidth="1"/>
    <col min="9221" max="9221" width="5.75" style="3229" customWidth="1"/>
    <col min="9222" max="9222" width="19" style="3229" customWidth="1"/>
    <col min="9223" max="9223" width="9.75" style="3229" customWidth="1"/>
    <col min="9224" max="9224" width="0" style="3229" hidden="1" customWidth="1"/>
    <col min="9225" max="9225" width="7.625" style="3229" customWidth="1"/>
    <col min="9226" max="9226" width="9" style="3229"/>
    <col min="9227" max="9227" width="17" style="3229" customWidth="1"/>
    <col min="9228" max="9228" width="18" style="3229" customWidth="1"/>
    <col min="9229" max="9229" width="18.75" style="3229" customWidth="1"/>
    <col min="9230" max="9230" width="23.875" style="3229" customWidth="1"/>
    <col min="9231" max="9231" width="25.75" style="3229" customWidth="1"/>
    <col min="9232" max="9232" width="0" style="3229" hidden="1" customWidth="1"/>
    <col min="9233" max="9233" width="24.625" style="3229" customWidth="1"/>
    <col min="9234" max="9473" width="9" style="3229"/>
    <col min="9474" max="9474" width="5.625" style="3229" customWidth="1"/>
    <col min="9475" max="9475" width="5.125" style="3229" customWidth="1"/>
    <col min="9476" max="9476" width="6" style="3229" customWidth="1"/>
    <col min="9477" max="9477" width="5.75" style="3229" customWidth="1"/>
    <col min="9478" max="9478" width="19" style="3229" customWidth="1"/>
    <col min="9479" max="9479" width="9.75" style="3229" customWidth="1"/>
    <col min="9480" max="9480" width="0" style="3229" hidden="1" customWidth="1"/>
    <col min="9481" max="9481" width="7.625" style="3229" customWidth="1"/>
    <col min="9482" max="9482" width="9" style="3229"/>
    <col min="9483" max="9483" width="17" style="3229" customWidth="1"/>
    <col min="9484" max="9484" width="18" style="3229" customWidth="1"/>
    <col min="9485" max="9485" width="18.75" style="3229" customWidth="1"/>
    <col min="9486" max="9486" width="23.875" style="3229" customWidth="1"/>
    <col min="9487" max="9487" width="25.75" style="3229" customWidth="1"/>
    <col min="9488" max="9488" width="0" style="3229" hidden="1" customWidth="1"/>
    <col min="9489" max="9489" width="24.625" style="3229" customWidth="1"/>
    <col min="9490" max="9729" width="9" style="3229"/>
    <col min="9730" max="9730" width="5.625" style="3229" customWidth="1"/>
    <col min="9731" max="9731" width="5.125" style="3229" customWidth="1"/>
    <col min="9732" max="9732" width="6" style="3229" customWidth="1"/>
    <col min="9733" max="9733" width="5.75" style="3229" customWidth="1"/>
    <col min="9734" max="9734" width="19" style="3229" customWidth="1"/>
    <col min="9735" max="9735" width="9.75" style="3229" customWidth="1"/>
    <col min="9736" max="9736" width="0" style="3229" hidden="1" customWidth="1"/>
    <col min="9737" max="9737" width="7.625" style="3229" customWidth="1"/>
    <col min="9738" max="9738" width="9" style="3229"/>
    <col min="9739" max="9739" width="17" style="3229" customWidth="1"/>
    <col min="9740" max="9740" width="18" style="3229" customWidth="1"/>
    <col min="9741" max="9741" width="18.75" style="3229" customWidth="1"/>
    <col min="9742" max="9742" width="23.875" style="3229" customWidth="1"/>
    <col min="9743" max="9743" width="25.75" style="3229" customWidth="1"/>
    <col min="9744" max="9744" width="0" style="3229" hidden="1" customWidth="1"/>
    <col min="9745" max="9745" width="24.625" style="3229" customWidth="1"/>
    <col min="9746" max="9985" width="9" style="3229"/>
    <col min="9986" max="9986" width="5.625" style="3229" customWidth="1"/>
    <col min="9987" max="9987" width="5.125" style="3229" customWidth="1"/>
    <col min="9988" max="9988" width="6" style="3229" customWidth="1"/>
    <col min="9989" max="9989" width="5.75" style="3229" customWidth="1"/>
    <col min="9990" max="9990" width="19" style="3229" customWidth="1"/>
    <col min="9991" max="9991" width="9.75" style="3229" customWidth="1"/>
    <col min="9992" max="9992" width="0" style="3229" hidden="1" customWidth="1"/>
    <col min="9993" max="9993" width="7.625" style="3229" customWidth="1"/>
    <col min="9994" max="9994" width="9" style="3229"/>
    <col min="9995" max="9995" width="17" style="3229" customWidth="1"/>
    <col min="9996" max="9996" width="18" style="3229" customWidth="1"/>
    <col min="9997" max="9997" width="18.75" style="3229" customWidth="1"/>
    <col min="9998" max="9998" width="23.875" style="3229" customWidth="1"/>
    <col min="9999" max="9999" width="25.75" style="3229" customWidth="1"/>
    <col min="10000" max="10000" width="0" style="3229" hidden="1" customWidth="1"/>
    <col min="10001" max="10001" width="24.625" style="3229" customWidth="1"/>
    <col min="10002" max="10241" width="9" style="3229"/>
    <col min="10242" max="10242" width="5.625" style="3229" customWidth="1"/>
    <col min="10243" max="10243" width="5.125" style="3229" customWidth="1"/>
    <col min="10244" max="10244" width="6" style="3229" customWidth="1"/>
    <col min="10245" max="10245" width="5.75" style="3229" customWidth="1"/>
    <col min="10246" max="10246" width="19" style="3229" customWidth="1"/>
    <col min="10247" max="10247" width="9.75" style="3229" customWidth="1"/>
    <col min="10248" max="10248" width="0" style="3229" hidden="1" customWidth="1"/>
    <col min="10249" max="10249" width="7.625" style="3229" customWidth="1"/>
    <col min="10250" max="10250" width="9" style="3229"/>
    <col min="10251" max="10251" width="17" style="3229" customWidth="1"/>
    <col min="10252" max="10252" width="18" style="3229" customWidth="1"/>
    <col min="10253" max="10253" width="18.75" style="3229" customWidth="1"/>
    <col min="10254" max="10254" width="23.875" style="3229" customWidth="1"/>
    <col min="10255" max="10255" width="25.75" style="3229" customWidth="1"/>
    <col min="10256" max="10256" width="0" style="3229" hidden="1" customWidth="1"/>
    <col min="10257" max="10257" width="24.625" style="3229" customWidth="1"/>
    <col min="10258" max="10497" width="9" style="3229"/>
    <col min="10498" max="10498" width="5.625" style="3229" customWidth="1"/>
    <col min="10499" max="10499" width="5.125" style="3229" customWidth="1"/>
    <col min="10500" max="10500" width="6" style="3229" customWidth="1"/>
    <col min="10501" max="10501" width="5.75" style="3229" customWidth="1"/>
    <col min="10502" max="10502" width="19" style="3229" customWidth="1"/>
    <col min="10503" max="10503" width="9.75" style="3229" customWidth="1"/>
    <col min="10504" max="10504" width="0" style="3229" hidden="1" customWidth="1"/>
    <col min="10505" max="10505" width="7.625" style="3229" customWidth="1"/>
    <col min="10506" max="10506" width="9" style="3229"/>
    <col min="10507" max="10507" width="17" style="3229" customWidth="1"/>
    <col min="10508" max="10508" width="18" style="3229" customWidth="1"/>
    <col min="10509" max="10509" width="18.75" style="3229" customWidth="1"/>
    <col min="10510" max="10510" width="23.875" style="3229" customWidth="1"/>
    <col min="10511" max="10511" width="25.75" style="3229" customWidth="1"/>
    <col min="10512" max="10512" width="0" style="3229" hidden="1" customWidth="1"/>
    <col min="10513" max="10513" width="24.625" style="3229" customWidth="1"/>
    <col min="10514" max="10753" width="9" style="3229"/>
    <col min="10754" max="10754" width="5.625" style="3229" customWidth="1"/>
    <col min="10755" max="10755" width="5.125" style="3229" customWidth="1"/>
    <col min="10756" max="10756" width="6" style="3229" customWidth="1"/>
    <col min="10757" max="10757" width="5.75" style="3229" customWidth="1"/>
    <col min="10758" max="10758" width="19" style="3229" customWidth="1"/>
    <col min="10759" max="10759" width="9.75" style="3229" customWidth="1"/>
    <col min="10760" max="10760" width="0" style="3229" hidden="1" customWidth="1"/>
    <col min="10761" max="10761" width="7.625" style="3229" customWidth="1"/>
    <col min="10762" max="10762" width="9" style="3229"/>
    <col min="10763" max="10763" width="17" style="3229" customWidth="1"/>
    <col min="10764" max="10764" width="18" style="3229" customWidth="1"/>
    <col min="10765" max="10765" width="18.75" style="3229" customWidth="1"/>
    <col min="10766" max="10766" width="23.875" style="3229" customWidth="1"/>
    <col min="10767" max="10767" width="25.75" style="3229" customWidth="1"/>
    <col min="10768" max="10768" width="0" style="3229" hidden="1" customWidth="1"/>
    <col min="10769" max="10769" width="24.625" style="3229" customWidth="1"/>
    <col min="10770" max="11009" width="9" style="3229"/>
    <col min="11010" max="11010" width="5.625" style="3229" customWidth="1"/>
    <col min="11011" max="11011" width="5.125" style="3229" customWidth="1"/>
    <col min="11012" max="11012" width="6" style="3229" customWidth="1"/>
    <col min="11013" max="11013" width="5.75" style="3229" customWidth="1"/>
    <col min="11014" max="11014" width="19" style="3229" customWidth="1"/>
    <col min="11015" max="11015" width="9.75" style="3229" customWidth="1"/>
    <col min="11016" max="11016" width="0" style="3229" hidden="1" customWidth="1"/>
    <col min="11017" max="11017" width="7.625" style="3229" customWidth="1"/>
    <col min="11018" max="11018" width="9" style="3229"/>
    <col min="11019" max="11019" width="17" style="3229" customWidth="1"/>
    <col min="11020" max="11020" width="18" style="3229" customWidth="1"/>
    <col min="11021" max="11021" width="18.75" style="3229" customWidth="1"/>
    <col min="11022" max="11022" width="23.875" style="3229" customWidth="1"/>
    <col min="11023" max="11023" width="25.75" style="3229" customWidth="1"/>
    <col min="11024" max="11024" width="0" style="3229" hidden="1" customWidth="1"/>
    <col min="11025" max="11025" width="24.625" style="3229" customWidth="1"/>
    <col min="11026" max="11265" width="9" style="3229"/>
    <col min="11266" max="11266" width="5.625" style="3229" customWidth="1"/>
    <col min="11267" max="11267" width="5.125" style="3229" customWidth="1"/>
    <col min="11268" max="11268" width="6" style="3229" customWidth="1"/>
    <col min="11269" max="11269" width="5.75" style="3229" customWidth="1"/>
    <col min="11270" max="11270" width="19" style="3229" customWidth="1"/>
    <col min="11271" max="11271" width="9.75" style="3229" customWidth="1"/>
    <col min="11272" max="11272" width="0" style="3229" hidden="1" customWidth="1"/>
    <col min="11273" max="11273" width="7.625" style="3229" customWidth="1"/>
    <col min="11274" max="11274" width="9" style="3229"/>
    <col min="11275" max="11275" width="17" style="3229" customWidth="1"/>
    <col min="11276" max="11276" width="18" style="3229" customWidth="1"/>
    <col min="11277" max="11277" width="18.75" style="3229" customWidth="1"/>
    <col min="11278" max="11278" width="23.875" style="3229" customWidth="1"/>
    <col min="11279" max="11279" width="25.75" style="3229" customWidth="1"/>
    <col min="11280" max="11280" width="0" style="3229" hidden="1" customWidth="1"/>
    <col min="11281" max="11281" width="24.625" style="3229" customWidth="1"/>
    <col min="11282" max="11521" width="9" style="3229"/>
    <col min="11522" max="11522" width="5.625" style="3229" customWidth="1"/>
    <col min="11523" max="11523" width="5.125" style="3229" customWidth="1"/>
    <col min="11524" max="11524" width="6" style="3229" customWidth="1"/>
    <col min="11525" max="11525" width="5.75" style="3229" customWidth="1"/>
    <col min="11526" max="11526" width="19" style="3229" customWidth="1"/>
    <col min="11527" max="11527" width="9.75" style="3229" customWidth="1"/>
    <col min="11528" max="11528" width="0" style="3229" hidden="1" customWidth="1"/>
    <col min="11529" max="11529" width="7.625" style="3229" customWidth="1"/>
    <col min="11530" max="11530" width="9" style="3229"/>
    <col min="11531" max="11531" width="17" style="3229" customWidth="1"/>
    <col min="11532" max="11532" width="18" style="3229" customWidth="1"/>
    <col min="11533" max="11533" width="18.75" style="3229" customWidth="1"/>
    <col min="11534" max="11534" width="23.875" style="3229" customWidth="1"/>
    <col min="11535" max="11535" width="25.75" style="3229" customWidth="1"/>
    <col min="11536" max="11536" width="0" style="3229" hidden="1" customWidth="1"/>
    <col min="11537" max="11537" width="24.625" style="3229" customWidth="1"/>
    <col min="11538" max="11777" width="9" style="3229"/>
    <col min="11778" max="11778" width="5.625" style="3229" customWidth="1"/>
    <col min="11779" max="11779" width="5.125" style="3229" customWidth="1"/>
    <col min="11780" max="11780" width="6" style="3229" customWidth="1"/>
    <col min="11781" max="11781" width="5.75" style="3229" customWidth="1"/>
    <col min="11782" max="11782" width="19" style="3229" customWidth="1"/>
    <col min="11783" max="11783" width="9.75" style="3229" customWidth="1"/>
    <col min="11784" max="11784" width="0" style="3229" hidden="1" customWidth="1"/>
    <col min="11785" max="11785" width="7.625" style="3229" customWidth="1"/>
    <col min="11786" max="11786" width="9" style="3229"/>
    <col min="11787" max="11787" width="17" style="3229" customWidth="1"/>
    <col min="11788" max="11788" width="18" style="3229" customWidth="1"/>
    <col min="11789" max="11789" width="18.75" style="3229" customWidth="1"/>
    <col min="11790" max="11790" width="23.875" style="3229" customWidth="1"/>
    <col min="11791" max="11791" width="25.75" style="3229" customWidth="1"/>
    <col min="11792" max="11792" width="0" style="3229" hidden="1" customWidth="1"/>
    <col min="11793" max="11793" width="24.625" style="3229" customWidth="1"/>
    <col min="11794" max="12033" width="9" style="3229"/>
    <col min="12034" max="12034" width="5.625" style="3229" customWidth="1"/>
    <col min="12035" max="12035" width="5.125" style="3229" customWidth="1"/>
    <col min="12036" max="12036" width="6" style="3229" customWidth="1"/>
    <col min="12037" max="12037" width="5.75" style="3229" customWidth="1"/>
    <col min="12038" max="12038" width="19" style="3229" customWidth="1"/>
    <col min="12039" max="12039" width="9.75" style="3229" customWidth="1"/>
    <col min="12040" max="12040" width="0" style="3229" hidden="1" customWidth="1"/>
    <col min="12041" max="12041" width="7.625" style="3229" customWidth="1"/>
    <col min="12042" max="12042" width="9" style="3229"/>
    <col min="12043" max="12043" width="17" style="3229" customWidth="1"/>
    <col min="12044" max="12044" width="18" style="3229" customWidth="1"/>
    <col min="12045" max="12045" width="18.75" style="3229" customWidth="1"/>
    <col min="12046" max="12046" width="23.875" style="3229" customWidth="1"/>
    <col min="12047" max="12047" width="25.75" style="3229" customWidth="1"/>
    <col min="12048" max="12048" width="0" style="3229" hidden="1" customWidth="1"/>
    <col min="12049" max="12049" width="24.625" style="3229" customWidth="1"/>
    <col min="12050" max="12289" width="9" style="3229"/>
    <col min="12290" max="12290" width="5.625" style="3229" customWidth="1"/>
    <col min="12291" max="12291" width="5.125" style="3229" customWidth="1"/>
    <col min="12292" max="12292" width="6" style="3229" customWidth="1"/>
    <col min="12293" max="12293" width="5.75" style="3229" customWidth="1"/>
    <col min="12294" max="12294" width="19" style="3229" customWidth="1"/>
    <col min="12295" max="12295" width="9.75" style="3229" customWidth="1"/>
    <col min="12296" max="12296" width="0" style="3229" hidden="1" customWidth="1"/>
    <col min="12297" max="12297" width="7.625" style="3229" customWidth="1"/>
    <col min="12298" max="12298" width="9" style="3229"/>
    <col min="12299" max="12299" width="17" style="3229" customWidth="1"/>
    <col min="12300" max="12300" width="18" style="3229" customWidth="1"/>
    <col min="12301" max="12301" width="18.75" style="3229" customWidth="1"/>
    <col min="12302" max="12302" width="23.875" style="3229" customWidth="1"/>
    <col min="12303" max="12303" width="25.75" style="3229" customWidth="1"/>
    <col min="12304" max="12304" width="0" style="3229" hidden="1" customWidth="1"/>
    <col min="12305" max="12305" width="24.625" style="3229" customWidth="1"/>
    <col min="12306" max="12545" width="9" style="3229"/>
    <col min="12546" max="12546" width="5.625" style="3229" customWidth="1"/>
    <col min="12547" max="12547" width="5.125" style="3229" customWidth="1"/>
    <col min="12548" max="12548" width="6" style="3229" customWidth="1"/>
    <col min="12549" max="12549" width="5.75" style="3229" customWidth="1"/>
    <col min="12550" max="12550" width="19" style="3229" customWidth="1"/>
    <col min="12551" max="12551" width="9.75" style="3229" customWidth="1"/>
    <col min="12552" max="12552" width="0" style="3229" hidden="1" customWidth="1"/>
    <col min="12553" max="12553" width="7.625" style="3229" customWidth="1"/>
    <col min="12554" max="12554" width="9" style="3229"/>
    <col min="12555" max="12555" width="17" style="3229" customWidth="1"/>
    <col min="12556" max="12556" width="18" style="3229" customWidth="1"/>
    <col min="12557" max="12557" width="18.75" style="3229" customWidth="1"/>
    <col min="12558" max="12558" width="23.875" style="3229" customWidth="1"/>
    <col min="12559" max="12559" width="25.75" style="3229" customWidth="1"/>
    <col min="12560" max="12560" width="0" style="3229" hidden="1" customWidth="1"/>
    <col min="12561" max="12561" width="24.625" style="3229" customWidth="1"/>
    <col min="12562" max="12801" width="9" style="3229"/>
    <col min="12802" max="12802" width="5.625" style="3229" customWidth="1"/>
    <col min="12803" max="12803" width="5.125" style="3229" customWidth="1"/>
    <col min="12804" max="12804" width="6" style="3229" customWidth="1"/>
    <col min="12805" max="12805" width="5.75" style="3229" customWidth="1"/>
    <col min="12806" max="12806" width="19" style="3229" customWidth="1"/>
    <col min="12807" max="12807" width="9.75" style="3229" customWidth="1"/>
    <col min="12808" max="12808" width="0" style="3229" hidden="1" customWidth="1"/>
    <col min="12809" max="12809" width="7.625" style="3229" customWidth="1"/>
    <col min="12810" max="12810" width="9" style="3229"/>
    <col min="12811" max="12811" width="17" style="3229" customWidth="1"/>
    <col min="12812" max="12812" width="18" style="3229" customWidth="1"/>
    <col min="12813" max="12813" width="18.75" style="3229" customWidth="1"/>
    <col min="12814" max="12814" width="23.875" style="3229" customWidth="1"/>
    <col min="12815" max="12815" width="25.75" style="3229" customWidth="1"/>
    <col min="12816" max="12816" width="0" style="3229" hidden="1" customWidth="1"/>
    <col min="12817" max="12817" width="24.625" style="3229" customWidth="1"/>
    <col min="12818" max="13057" width="9" style="3229"/>
    <col min="13058" max="13058" width="5.625" style="3229" customWidth="1"/>
    <col min="13059" max="13059" width="5.125" style="3229" customWidth="1"/>
    <col min="13060" max="13060" width="6" style="3229" customWidth="1"/>
    <col min="13061" max="13061" width="5.75" style="3229" customWidth="1"/>
    <col min="13062" max="13062" width="19" style="3229" customWidth="1"/>
    <col min="13063" max="13063" width="9.75" style="3229" customWidth="1"/>
    <col min="13064" max="13064" width="0" style="3229" hidden="1" customWidth="1"/>
    <col min="13065" max="13065" width="7.625" style="3229" customWidth="1"/>
    <col min="13066" max="13066" width="9" style="3229"/>
    <col min="13067" max="13067" width="17" style="3229" customWidth="1"/>
    <col min="13068" max="13068" width="18" style="3229" customWidth="1"/>
    <col min="13069" max="13069" width="18.75" style="3229" customWidth="1"/>
    <col min="13070" max="13070" width="23.875" style="3229" customWidth="1"/>
    <col min="13071" max="13071" width="25.75" style="3229" customWidth="1"/>
    <col min="13072" max="13072" width="0" style="3229" hidden="1" customWidth="1"/>
    <col min="13073" max="13073" width="24.625" style="3229" customWidth="1"/>
    <col min="13074" max="13313" width="9" style="3229"/>
    <col min="13314" max="13314" width="5.625" style="3229" customWidth="1"/>
    <col min="13315" max="13315" width="5.125" style="3229" customWidth="1"/>
    <col min="13316" max="13316" width="6" style="3229" customWidth="1"/>
    <col min="13317" max="13317" width="5.75" style="3229" customWidth="1"/>
    <col min="13318" max="13318" width="19" style="3229" customWidth="1"/>
    <col min="13319" max="13319" width="9.75" style="3229" customWidth="1"/>
    <col min="13320" max="13320" width="0" style="3229" hidden="1" customWidth="1"/>
    <col min="13321" max="13321" width="7.625" style="3229" customWidth="1"/>
    <col min="13322" max="13322" width="9" style="3229"/>
    <col min="13323" max="13323" width="17" style="3229" customWidth="1"/>
    <col min="13324" max="13324" width="18" style="3229" customWidth="1"/>
    <col min="13325" max="13325" width="18.75" style="3229" customWidth="1"/>
    <col min="13326" max="13326" width="23.875" style="3229" customWidth="1"/>
    <col min="13327" max="13327" width="25.75" style="3229" customWidth="1"/>
    <col min="13328" max="13328" width="0" style="3229" hidden="1" customWidth="1"/>
    <col min="13329" max="13329" width="24.625" style="3229" customWidth="1"/>
    <col min="13330" max="13569" width="9" style="3229"/>
    <col min="13570" max="13570" width="5.625" style="3229" customWidth="1"/>
    <col min="13571" max="13571" width="5.125" style="3229" customWidth="1"/>
    <col min="13572" max="13572" width="6" style="3229" customWidth="1"/>
    <col min="13573" max="13573" width="5.75" style="3229" customWidth="1"/>
    <col min="13574" max="13574" width="19" style="3229" customWidth="1"/>
    <col min="13575" max="13575" width="9.75" style="3229" customWidth="1"/>
    <col min="13576" max="13576" width="0" style="3229" hidden="1" customWidth="1"/>
    <col min="13577" max="13577" width="7.625" style="3229" customWidth="1"/>
    <col min="13578" max="13578" width="9" style="3229"/>
    <col min="13579" max="13579" width="17" style="3229" customWidth="1"/>
    <col min="13580" max="13580" width="18" style="3229" customWidth="1"/>
    <col min="13581" max="13581" width="18.75" style="3229" customWidth="1"/>
    <col min="13582" max="13582" width="23.875" style="3229" customWidth="1"/>
    <col min="13583" max="13583" width="25.75" style="3229" customWidth="1"/>
    <col min="13584" max="13584" width="0" style="3229" hidden="1" customWidth="1"/>
    <col min="13585" max="13585" width="24.625" style="3229" customWidth="1"/>
    <col min="13586" max="13825" width="9" style="3229"/>
    <col min="13826" max="13826" width="5.625" style="3229" customWidth="1"/>
    <col min="13827" max="13827" width="5.125" style="3229" customWidth="1"/>
    <col min="13828" max="13828" width="6" style="3229" customWidth="1"/>
    <col min="13829" max="13829" width="5.75" style="3229" customWidth="1"/>
    <col min="13830" max="13830" width="19" style="3229" customWidth="1"/>
    <col min="13831" max="13831" width="9.75" style="3229" customWidth="1"/>
    <col min="13832" max="13832" width="0" style="3229" hidden="1" customWidth="1"/>
    <col min="13833" max="13833" width="7.625" style="3229" customWidth="1"/>
    <col min="13834" max="13834" width="9" style="3229"/>
    <col min="13835" max="13835" width="17" style="3229" customWidth="1"/>
    <col min="13836" max="13836" width="18" style="3229" customWidth="1"/>
    <col min="13837" max="13837" width="18.75" style="3229" customWidth="1"/>
    <col min="13838" max="13838" width="23.875" style="3229" customWidth="1"/>
    <col min="13839" max="13839" width="25.75" style="3229" customWidth="1"/>
    <col min="13840" max="13840" width="0" style="3229" hidden="1" customWidth="1"/>
    <col min="13841" max="13841" width="24.625" style="3229" customWidth="1"/>
    <col min="13842" max="14081" width="9" style="3229"/>
    <col min="14082" max="14082" width="5.625" style="3229" customWidth="1"/>
    <col min="14083" max="14083" width="5.125" style="3229" customWidth="1"/>
    <col min="14084" max="14084" width="6" style="3229" customWidth="1"/>
    <col min="14085" max="14085" width="5.75" style="3229" customWidth="1"/>
    <col min="14086" max="14086" width="19" style="3229" customWidth="1"/>
    <col min="14087" max="14087" width="9.75" style="3229" customWidth="1"/>
    <col min="14088" max="14088" width="0" style="3229" hidden="1" customWidth="1"/>
    <col min="14089" max="14089" width="7.625" style="3229" customWidth="1"/>
    <col min="14090" max="14090" width="9" style="3229"/>
    <col min="14091" max="14091" width="17" style="3229" customWidth="1"/>
    <col min="14092" max="14092" width="18" style="3229" customWidth="1"/>
    <col min="14093" max="14093" width="18.75" style="3229" customWidth="1"/>
    <col min="14094" max="14094" width="23.875" style="3229" customWidth="1"/>
    <col min="14095" max="14095" width="25.75" style="3229" customWidth="1"/>
    <col min="14096" max="14096" width="0" style="3229" hidden="1" customWidth="1"/>
    <col min="14097" max="14097" width="24.625" style="3229" customWidth="1"/>
    <col min="14098" max="14337" width="9" style="3229"/>
    <col min="14338" max="14338" width="5.625" style="3229" customWidth="1"/>
    <col min="14339" max="14339" width="5.125" style="3229" customWidth="1"/>
    <col min="14340" max="14340" width="6" style="3229" customWidth="1"/>
    <col min="14341" max="14341" width="5.75" style="3229" customWidth="1"/>
    <col min="14342" max="14342" width="19" style="3229" customWidth="1"/>
    <col min="14343" max="14343" width="9.75" style="3229" customWidth="1"/>
    <col min="14344" max="14344" width="0" style="3229" hidden="1" customWidth="1"/>
    <col min="14345" max="14345" width="7.625" style="3229" customWidth="1"/>
    <col min="14346" max="14346" width="9" style="3229"/>
    <col min="14347" max="14347" width="17" style="3229" customWidth="1"/>
    <col min="14348" max="14348" width="18" style="3229" customWidth="1"/>
    <col min="14349" max="14349" width="18.75" style="3229" customWidth="1"/>
    <col min="14350" max="14350" width="23.875" style="3229" customWidth="1"/>
    <col min="14351" max="14351" width="25.75" style="3229" customWidth="1"/>
    <col min="14352" max="14352" width="0" style="3229" hidden="1" customWidth="1"/>
    <col min="14353" max="14353" width="24.625" style="3229" customWidth="1"/>
    <col min="14354" max="14593" width="9" style="3229"/>
    <col min="14594" max="14594" width="5.625" style="3229" customWidth="1"/>
    <col min="14595" max="14595" width="5.125" style="3229" customWidth="1"/>
    <col min="14596" max="14596" width="6" style="3229" customWidth="1"/>
    <col min="14597" max="14597" width="5.75" style="3229" customWidth="1"/>
    <col min="14598" max="14598" width="19" style="3229" customWidth="1"/>
    <col min="14599" max="14599" width="9.75" style="3229" customWidth="1"/>
    <col min="14600" max="14600" width="0" style="3229" hidden="1" customWidth="1"/>
    <col min="14601" max="14601" width="7.625" style="3229" customWidth="1"/>
    <col min="14602" max="14602" width="9" style="3229"/>
    <col min="14603" max="14603" width="17" style="3229" customWidth="1"/>
    <col min="14604" max="14604" width="18" style="3229" customWidth="1"/>
    <col min="14605" max="14605" width="18.75" style="3229" customWidth="1"/>
    <col min="14606" max="14606" width="23.875" style="3229" customWidth="1"/>
    <col min="14607" max="14607" width="25.75" style="3229" customWidth="1"/>
    <col min="14608" max="14608" width="0" style="3229" hidden="1" customWidth="1"/>
    <col min="14609" max="14609" width="24.625" style="3229" customWidth="1"/>
    <col min="14610" max="14849" width="9" style="3229"/>
    <col min="14850" max="14850" width="5.625" style="3229" customWidth="1"/>
    <col min="14851" max="14851" width="5.125" style="3229" customWidth="1"/>
    <col min="14852" max="14852" width="6" style="3229" customWidth="1"/>
    <col min="14853" max="14853" width="5.75" style="3229" customWidth="1"/>
    <col min="14854" max="14854" width="19" style="3229" customWidth="1"/>
    <col min="14855" max="14855" width="9.75" style="3229" customWidth="1"/>
    <col min="14856" max="14856" width="0" style="3229" hidden="1" customWidth="1"/>
    <col min="14857" max="14857" width="7.625" style="3229" customWidth="1"/>
    <col min="14858" max="14858" width="9" style="3229"/>
    <col min="14859" max="14859" width="17" style="3229" customWidth="1"/>
    <col min="14860" max="14860" width="18" style="3229" customWidth="1"/>
    <col min="14861" max="14861" width="18.75" style="3229" customWidth="1"/>
    <col min="14862" max="14862" width="23.875" style="3229" customWidth="1"/>
    <col min="14863" max="14863" width="25.75" style="3229" customWidth="1"/>
    <col min="14864" max="14864" width="0" style="3229" hidden="1" customWidth="1"/>
    <col min="14865" max="14865" width="24.625" style="3229" customWidth="1"/>
    <col min="14866" max="15105" width="9" style="3229"/>
    <col min="15106" max="15106" width="5.625" style="3229" customWidth="1"/>
    <col min="15107" max="15107" width="5.125" style="3229" customWidth="1"/>
    <col min="15108" max="15108" width="6" style="3229" customWidth="1"/>
    <col min="15109" max="15109" width="5.75" style="3229" customWidth="1"/>
    <col min="15110" max="15110" width="19" style="3229" customWidth="1"/>
    <col min="15111" max="15111" width="9.75" style="3229" customWidth="1"/>
    <col min="15112" max="15112" width="0" style="3229" hidden="1" customWidth="1"/>
    <col min="15113" max="15113" width="7.625" style="3229" customWidth="1"/>
    <col min="15114" max="15114" width="9" style="3229"/>
    <col min="15115" max="15115" width="17" style="3229" customWidth="1"/>
    <col min="15116" max="15116" width="18" style="3229" customWidth="1"/>
    <col min="15117" max="15117" width="18.75" style="3229" customWidth="1"/>
    <col min="15118" max="15118" width="23.875" style="3229" customWidth="1"/>
    <col min="15119" max="15119" width="25.75" style="3229" customWidth="1"/>
    <col min="15120" max="15120" width="0" style="3229" hidden="1" customWidth="1"/>
    <col min="15121" max="15121" width="24.625" style="3229" customWidth="1"/>
    <col min="15122" max="15361" width="9" style="3229"/>
    <col min="15362" max="15362" width="5.625" style="3229" customWidth="1"/>
    <col min="15363" max="15363" width="5.125" style="3229" customWidth="1"/>
    <col min="15364" max="15364" width="6" style="3229" customWidth="1"/>
    <col min="15365" max="15365" width="5.75" style="3229" customWidth="1"/>
    <col min="15366" max="15366" width="19" style="3229" customWidth="1"/>
    <col min="15367" max="15367" width="9.75" style="3229" customWidth="1"/>
    <col min="15368" max="15368" width="0" style="3229" hidden="1" customWidth="1"/>
    <col min="15369" max="15369" width="7.625" style="3229" customWidth="1"/>
    <col min="15370" max="15370" width="9" style="3229"/>
    <col min="15371" max="15371" width="17" style="3229" customWidth="1"/>
    <col min="15372" max="15372" width="18" style="3229" customWidth="1"/>
    <col min="15373" max="15373" width="18.75" style="3229" customWidth="1"/>
    <col min="15374" max="15374" width="23.875" style="3229" customWidth="1"/>
    <col min="15375" max="15375" width="25.75" style="3229" customWidth="1"/>
    <col min="15376" max="15376" width="0" style="3229" hidden="1" customWidth="1"/>
    <col min="15377" max="15377" width="24.625" style="3229" customWidth="1"/>
    <col min="15378" max="15617" width="9" style="3229"/>
    <col min="15618" max="15618" width="5.625" style="3229" customWidth="1"/>
    <col min="15619" max="15619" width="5.125" style="3229" customWidth="1"/>
    <col min="15620" max="15620" width="6" style="3229" customWidth="1"/>
    <col min="15621" max="15621" width="5.75" style="3229" customWidth="1"/>
    <col min="15622" max="15622" width="19" style="3229" customWidth="1"/>
    <col min="15623" max="15623" width="9.75" style="3229" customWidth="1"/>
    <col min="15624" max="15624" width="0" style="3229" hidden="1" customWidth="1"/>
    <col min="15625" max="15625" width="7.625" style="3229" customWidth="1"/>
    <col min="15626" max="15626" width="9" style="3229"/>
    <col min="15627" max="15627" width="17" style="3229" customWidth="1"/>
    <col min="15628" max="15628" width="18" style="3229" customWidth="1"/>
    <col min="15629" max="15629" width="18.75" style="3229" customWidth="1"/>
    <col min="15630" max="15630" width="23.875" style="3229" customWidth="1"/>
    <col min="15631" max="15631" width="25.75" style="3229" customWidth="1"/>
    <col min="15632" max="15632" width="0" style="3229" hidden="1" customWidth="1"/>
    <col min="15633" max="15633" width="24.625" style="3229" customWidth="1"/>
    <col min="15634" max="15873" width="9" style="3229"/>
    <col min="15874" max="15874" width="5.625" style="3229" customWidth="1"/>
    <col min="15875" max="15875" width="5.125" style="3229" customWidth="1"/>
    <col min="15876" max="15876" width="6" style="3229" customWidth="1"/>
    <col min="15877" max="15877" width="5.75" style="3229" customWidth="1"/>
    <col min="15878" max="15878" width="19" style="3229" customWidth="1"/>
    <col min="15879" max="15879" width="9.75" style="3229" customWidth="1"/>
    <col min="15880" max="15880" width="0" style="3229" hidden="1" customWidth="1"/>
    <col min="15881" max="15881" width="7.625" style="3229" customWidth="1"/>
    <col min="15882" max="15882" width="9" style="3229"/>
    <col min="15883" max="15883" width="17" style="3229" customWidth="1"/>
    <col min="15884" max="15884" width="18" style="3229" customWidth="1"/>
    <col min="15885" max="15885" width="18.75" style="3229" customWidth="1"/>
    <col min="15886" max="15886" width="23.875" style="3229" customWidth="1"/>
    <col min="15887" max="15887" width="25.75" style="3229" customWidth="1"/>
    <col min="15888" max="15888" width="0" style="3229" hidden="1" customWidth="1"/>
    <col min="15889" max="15889" width="24.625" style="3229" customWidth="1"/>
    <col min="15890" max="16129" width="9" style="3229"/>
    <col min="16130" max="16130" width="5.625" style="3229" customWidth="1"/>
    <col min="16131" max="16131" width="5.125" style="3229" customWidth="1"/>
    <col min="16132" max="16132" width="6" style="3229" customWidth="1"/>
    <col min="16133" max="16133" width="5.75" style="3229" customWidth="1"/>
    <col min="16134" max="16134" width="19" style="3229" customWidth="1"/>
    <col min="16135" max="16135" width="9.75" style="3229" customWidth="1"/>
    <col min="16136" max="16136" width="0" style="3229" hidden="1" customWidth="1"/>
    <col min="16137" max="16137" width="7.625" style="3229" customWidth="1"/>
    <col min="16138" max="16138" width="9" style="3229"/>
    <col min="16139" max="16139" width="17" style="3229" customWidth="1"/>
    <col min="16140" max="16140" width="18" style="3229" customWidth="1"/>
    <col min="16141" max="16141" width="18.75" style="3229" customWidth="1"/>
    <col min="16142" max="16142" width="23.875" style="3229" customWidth="1"/>
    <col min="16143" max="16143" width="25.75" style="3229" customWidth="1"/>
    <col min="16144" max="16144" width="0" style="3229" hidden="1" customWidth="1"/>
    <col min="16145" max="16145" width="24.625" style="3229" customWidth="1"/>
    <col min="16146" max="16384" width="9" style="3229"/>
  </cols>
  <sheetData>
    <row r="1" spans="1:784 1032:1808 2056:2832 3080:3856 4104:4880 5128:5904 6152:6928 7176:7952 8200:8976 9224:10000 10248:11024 11272:12048 12296:13072 13320:14096 14344:15120 15368:16144" ht="14.25">
      <c r="A1" s="3409" t="s">
        <v>4391</v>
      </c>
      <c r="B1" s="3409"/>
      <c r="C1" s="3409"/>
      <c r="D1" s="3409"/>
      <c r="E1" s="3409"/>
      <c r="F1" s="3409"/>
      <c r="G1" s="3409"/>
      <c r="H1" s="3409"/>
      <c r="I1" s="3409"/>
      <c r="J1" s="3409"/>
      <c r="K1" s="3409"/>
      <c r="L1" s="3409"/>
      <c r="M1" s="3409"/>
      <c r="N1" s="3409"/>
      <c r="O1" s="3409"/>
    </row>
    <row r="2" spans="1:784 1032:1808 2056:2832 3080:3856 4104:4880 5128:5904 6152:6928 7176:7952 8200:8976 9224:10000 10248:11024 11272:12048 12296:13072 13320:14096 14344:15120 15368:16144" ht="14.25">
      <c r="A2" s="3230" t="s">
        <v>3729</v>
      </c>
      <c r="B2" s="3230" t="s">
        <v>3731</v>
      </c>
      <c r="C2" s="3230" t="s">
        <v>4392</v>
      </c>
      <c r="D2" s="3230" t="s">
        <v>4393</v>
      </c>
      <c r="E2" s="3231" t="s">
        <v>4394</v>
      </c>
      <c r="F2" s="3232" t="s">
        <v>3410</v>
      </c>
      <c r="G2" s="3232" t="s">
        <v>4395</v>
      </c>
      <c r="H2" s="3231" t="s">
        <v>4396</v>
      </c>
      <c r="I2" s="3231" t="s">
        <v>4397</v>
      </c>
      <c r="J2" s="3231" t="s">
        <v>4398</v>
      </c>
      <c r="K2" s="3231" t="s">
        <v>4399</v>
      </c>
      <c r="L2" s="3231" t="s">
        <v>4400</v>
      </c>
      <c r="M2" s="3231" t="s">
        <v>4401</v>
      </c>
      <c r="N2" s="3230" t="s">
        <v>4402</v>
      </c>
      <c r="O2" s="3233" t="s">
        <v>4403</v>
      </c>
      <c r="JD2" s="3228"/>
      <c r="JL2" s="3228"/>
      <c r="SZ2" s="3228"/>
      <c r="TH2" s="3228"/>
      <c r="ACV2" s="3228"/>
      <c r="ADD2" s="3228"/>
      <c r="AMR2" s="3228"/>
      <c r="AMZ2" s="3228"/>
      <c r="AWN2" s="3228"/>
      <c r="AWV2" s="3228"/>
      <c r="BGJ2" s="3228"/>
      <c r="BGR2" s="3228"/>
      <c r="BQF2" s="3228"/>
      <c r="BQN2" s="3228"/>
      <c r="CAB2" s="3228"/>
      <c r="CAJ2" s="3228"/>
      <c r="CJX2" s="3228"/>
      <c r="CKF2" s="3228"/>
      <c r="CTT2" s="3228"/>
      <c r="CUB2" s="3228"/>
      <c r="DDP2" s="3228"/>
      <c r="DDX2" s="3228"/>
      <c r="DNL2" s="3228"/>
      <c r="DNT2" s="3228"/>
      <c r="DXH2" s="3228"/>
      <c r="DXP2" s="3228"/>
      <c r="EHD2" s="3228"/>
      <c r="EHL2" s="3228"/>
      <c r="EQZ2" s="3228"/>
      <c r="ERH2" s="3228"/>
      <c r="FAV2" s="3228"/>
      <c r="FBD2" s="3228"/>
      <c r="FKR2" s="3228"/>
      <c r="FKZ2" s="3228"/>
      <c r="FUN2" s="3228"/>
      <c r="FUV2" s="3228"/>
      <c r="GEJ2" s="3228"/>
      <c r="GER2" s="3228"/>
      <c r="GOF2" s="3228"/>
      <c r="GON2" s="3228"/>
      <c r="GYB2" s="3228"/>
      <c r="GYJ2" s="3228"/>
      <c r="HHX2" s="3228"/>
      <c r="HIF2" s="3228"/>
      <c r="HRT2" s="3228"/>
      <c r="HSB2" s="3228"/>
      <c r="IBP2" s="3228"/>
      <c r="IBX2" s="3228"/>
      <c r="ILL2" s="3228"/>
      <c r="ILT2" s="3228"/>
      <c r="IVH2" s="3228"/>
      <c r="IVP2" s="3228"/>
      <c r="JFD2" s="3228"/>
      <c r="JFL2" s="3228"/>
      <c r="JOZ2" s="3228"/>
      <c r="JPH2" s="3228"/>
      <c r="JYV2" s="3228"/>
      <c r="JZD2" s="3228"/>
      <c r="KIR2" s="3228"/>
      <c r="KIZ2" s="3228"/>
      <c r="KSN2" s="3228"/>
      <c r="KSV2" s="3228"/>
      <c r="LCJ2" s="3228"/>
      <c r="LCR2" s="3228"/>
      <c r="LMF2" s="3228"/>
      <c r="LMN2" s="3228"/>
      <c r="LWB2" s="3228"/>
      <c r="LWJ2" s="3228"/>
      <c r="MFX2" s="3228"/>
      <c r="MGF2" s="3228"/>
      <c r="MPT2" s="3228"/>
      <c r="MQB2" s="3228"/>
      <c r="MZP2" s="3228"/>
      <c r="MZX2" s="3228"/>
      <c r="NJL2" s="3228"/>
      <c r="NJT2" s="3228"/>
      <c r="NTH2" s="3228"/>
      <c r="NTP2" s="3228"/>
      <c r="ODD2" s="3228"/>
      <c r="ODL2" s="3228"/>
      <c r="OMZ2" s="3228"/>
      <c r="ONH2" s="3228"/>
      <c r="OWV2" s="3228"/>
      <c r="OXD2" s="3228"/>
      <c r="PGR2" s="3228"/>
      <c r="PGZ2" s="3228"/>
      <c r="PQN2" s="3228"/>
      <c r="PQV2" s="3228"/>
      <c r="QAJ2" s="3228"/>
      <c r="QAR2" s="3228"/>
      <c r="QKF2" s="3228"/>
      <c r="QKN2" s="3228"/>
      <c r="QUB2" s="3228"/>
      <c r="QUJ2" s="3228"/>
      <c r="RDX2" s="3228"/>
      <c r="REF2" s="3228"/>
      <c r="RNT2" s="3228"/>
      <c r="ROB2" s="3228"/>
      <c r="RXP2" s="3228"/>
      <c r="RXX2" s="3228"/>
      <c r="SHL2" s="3228"/>
      <c r="SHT2" s="3228"/>
      <c r="SRH2" s="3228"/>
      <c r="SRP2" s="3228"/>
      <c r="TBD2" s="3228"/>
      <c r="TBL2" s="3228"/>
      <c r="TKZ2" s="3228"/>
      <c r="TLH2" s="3228"/>
      <c r="TUV2" s="3228"/>
      <c r="TVD2" s="3228"/>
      <c r="UER2" s="3228"/>
      <c r="UEZ2" s="3228"/>
      <c r="UON2" s="3228"/>
      <c r="UOV2" s="3228"/>
      <c r="UYJ2" s="3228"/>
      <c r="UYR2" s="3228"/>
      <c r="VIF2" s="3228"/>
      <c r="VIN2" s="3228"/>
      <c r="VSB2" s="3228"/>
      <c r="VSJ2" s="3228"/>
      <c r="WBX2" s="3228"/>
      <c r="WCF2" s="3228"/>
      <c r="WLT2" s="3228"/>
      <c r="WMB2" s="3228"/>
      <c r="WVP2" s="3228"/>
      <c r="WVX2" s="3228"/>
    </row>
    <row r="3" spans="1:784 1032:1808 2056:2832 3080:3856 4104:4880 5128:5904 6152:6928 7176:7952 8200:8976 9224:10000 10248:11024 11272:12048 12296:13072 13320:14096 14344:15120 15368:16144" ht="16.5">
      <c r="A3" s="3234">
        <v>1</v>
      </c>
      <c r="B3" s="3234">
        <v>1</v>
      </c>
      <c r="C3" s="3234">
        <v>1</v>
      </c>
      <c r="D3" s="3235">
        <v>101</v>
      </c>
      <c r="E3" s="3236" t="str">
        <f t="shared" ref="E3:E66" si="0">CONCATENATE(B3,"-",C3,"-",D3)</f>
        <v>1-1-101</v>
      </c>
      <c r="F3" s="3237">
        <v>91.2</v>
      </c>
      <c r="G3" s="3238">
        <v>74.95</v>
      </c>
      <c r="H3" s="3239" t="s">
        <v>403</v>
      </c>
      <c r="I3" s="3239" t="s">
        <v>3395</v>
      </c>
      <c r="J3" s="3239">
        <v>2587496.2999999998</v>
      </c>
      <c r="K3" s="3239">
        <v>28371.67</v>
      </c>
      <c r="L3" s="3239">
        <v>2587496</v>
      </c>
      <c r="M3" s="3239">
        <v>28371.67</v>
      </c>
      <c r="N3" s="3234" t="s">
        <v>4404</v>
      </c>
      <c r="O3" s="3240">
        <f t="shared" ref="O3:O9" si="1">ROUND(L3*0.95,0)</f>
        <v>2458121</v>
      </c>
    </row>
    <row r="4" spans="1:784 1032:1808 2056:2832 3080:3856 4104:4880 5128:5904 6152:6928 7176:7952 8200:8976 9224:10000 10248:11024 11272:12048 12296:13072 13320:14096 14344:15120 15368:16144" ht="16.5">
      <c r="A4" s="3234">
        <v>2</v>
      </c>
      <c r="B4" s="3234">
        <v>1</v>
      </c>
      <c r="C4" s="3234">
        <v>1</v>
      </c>
      <c r="D4" s="3235">
        <v>102</v>
      </c>
      <c r="E4" s="3236" t="str">
        <f t="shared" si="0"/>
        <v>1-1-102</v>
      </c>
      <c r="F4" s="3237">
        <v>109.72</v>
      </c>
      <c r="G4" s="3238">
        <v>90.17</v>
      </c>
      <c r="H4" s="3239" t="s">
        <v>4405</v>
      </c>
      <c r="I4" s="3239" t="s">
        <v>3395</v>
      </c>
      <c r="J4" s="3239">
        <v>3036135.63</v>
      </c>
      <c r="K4" s="3239">
        <v>27671.67</v>
      </c>
      <c r="L4" s="3239">
        <v>3036135</v>
      </c>
      <c r="M4" s="3239">
        <v>27671.66</v>
      </c>
      <c r="N4" s="3234" t="s">
        <v>4404</v>
      </c>
      <c r="O4" s="3240">
        <f t="shared" si="1"/>
        <v>2884328</v>
      </c>
    </row>
    <row r="5" spans="1:784 1032:1808 2056:2832 3080:3856 4104:4880 5128:5904 6152:6928 7176:7952 8200:8976 9224:10000 10248:11024 11272:12048 12296:13072 13320:14096 14344:15120 15368:16144" ht="16.5">
      <c r="A5" s="3234">
        <v>3</v>
      </c>
      <c r="B5" s="3234">
        <v>1</v>
      </c>
      <c r="C5" s="3234">
        <v>1</v>
      </c>
      <c r="D5" s="3235">
        <v>201</v>
      </c>
      <c r="E5" s="3236" t="str">
        <f t="shared" si="0"/>
        <v>1-1-201</v>
      </c>
      <c r="F5" s="3237">
        <v>110.17</v>
      </c>
      <c r="G5" s="3238">
        <v>90.54</v>
      </c>
      <c r="H5" s="3239" t="s">
        <v>4406</v>
      </c>
      <c r="I5" s="3239" t="s">
        <v>3395</v>
      </c>
      <c r="J5" s="3239">
        <v>3076130.38</v>
      </c>
      <c r="K5" s="3239">
        <v>27921.67</v>
      </c>
      <c r="L5" s="3239">
        <v>3076130</v>
      </c>
      <c r="M5" s="3239">
        <v>27921.67</v>
      </c>
      <c r="N5" s="3234" t="s">
        <v>4404</v>
      </c>
      <c r="O5" s="3240">
        <f t="shared" si="1"/>
        <v>2922324</v>
      </c>
    </row>
    <row r="6" spans="1:784 1032:1808 2056:2832 3080:3856 4104:4880 5128:5904 6152:6928 7176:7952 8200:8976 9224:10000 10248:11024 11272:12048 12296:13072 13320:14096 14344:15120 15368:16144" ht="16.5">
      <c r="A6" s="3234">
        <v>4</v>
      </c>
      <c r="B6" s="3234">
        <v>1</v>
      </c>
      <c r="C6" s="3234">
        <v>1</v>
      </c>
      <c r="D6" s="3235">
        <v>202</v>
      </c>
      <c r="E6" s="3236" t="str">
        <f t="shared" si="0"/>
        <v>1-1-202</v>
      </c>
      <c r="F6" s="3237">
        <v>109.72</v>
      </c>
      <c r="G6" s="3238">
        <v>90.17</v>
      </c>
      <c r="H6" s="3239" t="s">
        <v>4405</v>
      </c>
      <c r="I6" s="3239" t="s">
        <v>3395</v>
      </c>
      <c r="J6" s="3239">
        <v>3069051.63</v>
      </c>
      <c r="K6" s="3239">
        <v>27971.67</v>
      </c>
      <c r="L6" s="3239">
        <v>3069051</v>
      </c>
      <c r="M6" s="3239">
        <v>27971.66</v>
      </c>
      <c r="N6" s="3234" t="s">
        <v>4404</v>
      </c>
      <c r="O6" s="3240">
        <f t="shared" si="1"/>
        <v>2915598</v>
      </c>
    </row>
    <row r="7" spans="1:784 1032:1808 2056:2832 3080:3856 4104:4880 5128:5904 6152:6928 7176:7952 8200:8976 9224:10000 10248:11024 11272:12048 12296:13072 13320:14096 14344:15120 15368:16144" ht="16.5">
      <c r="A7" s="3234">
        <v>5</v>
      </c>
      <c r="B7" s="3234">
        <v>1</v>
      </c>
      <c r="C7" s="3234">
        <v>1</v>
      </c>
      <c r="D7" s="3235">
        <v>301</v>
      </c>
      <c r="E7" s="3236" t="str">
        <f t="shared" si="0"/>
        <v>1-1-301</v>
      </c>
      <c r="F7" s="3237">
        <v>110.17</v>
      </c>
      <c r="G7" s="3238">
        <v>90.54</v>
      </c>
      <c r="H7" s="3239" t="s">
        <v>4406</v>
      </c>
      <c r="I7" s="3239" t="s">
        <v>3395</v>
      </c>
      <c r="J7" s="3239">
        <v>3131215.38</v>
      </c>
      <c r="K7" s="3239">
        <v>28421.67</v>
      </c>
      <c r="L7" s="3239">
        <v>3131215</v>
      </c>
      <c r="M7" s="3239">
        <v>28421.67</v>
      </c>
      <c r="N7" s="3234" t="s">
        <v>4404</v>
      </c>
      <c r="O7" s="3240">
        <f t="shared" si="1"/>
        <v>2974654</v>
      </c>
    </row>
    <row r="8" spans="1:784 1032:1808 2056:2832 3080:3856 4104:4880 5128:5904 6152:6928 7176:7952 8200:8976 9224:10000 10248:11024 11272:12048 12296:13072 13320:14096 14344:15120 15368:16144" ht="16.5">
      <c r="A8" s="3234">
        <v>6</v>
      </c>
      <c r="B8" s="3234">
        <v>1</v>
      </c>
      <c r="C8" s="3234">
        <v>1</v>
      </c>
      <c r="D8" s="3235">
        <v>401</v>
      </c>
      <c r="E8" s="3241" t="str">
        <f t="shared" si="0"/>
        <v>1-1-401</v>
      </c>
      <c r="F8" s="3242">
        <v>110.17</v>
      </c>
      <c r="G8" s="3238">
        <v>90.54</v>
      </c>
      <c r="H8" s="3239" t="s">
        <v>4406</v>
      </c>
      <c r="I8" s="3239" t="s">
        <v>3395</v>
      </c>
      <c r="J8" s="3239">
        <v>3169774.88</v>
      </c>
      <c r="K8" s="3239">
        <v>28771.67</v>
      </c>
      <c r="L8" s="3239">
        <v>3169774</v>
      </c>
      <c r="M8" s="3239">
        <v>28771.66</v>
      </c>
      <c r="N8" s="3234" t="s">
        <v>4404</v>
      </c>
      <c r="O8" s="3240">
        <f t="shared" si="1"/>
        <v>3011285</v>
      </c>
    </row>
    <row r="9" spans="1:784 1032:1808 2056:2832 3080:3856 4104:4880 5128:5904 6152:6928 7176:7952 8200:8976 9224:10000 10248:11024 11272:12048 12296:13072 13320:14096 14344:15120 15368:16144" ht="16.5">
      <c r="A9" s="3234">
        <v>7</v>
      </c>
      <c r="B9" s="3234">
        <v>1</v>
      </c>
      <c r="C9" s="3234">
        <v>1</v>
      </c>
      <c r="D9" s="3235">
        <v>402</v>
      </c>
      <c r="E9" s="3241" t="str">
        <f t="shared" si="0"/>
        <v>1-1-402</v>
      </c>
      <c r="F9" s="3242">
        <v>109.72</v>
      </c>
      <c r="G9" s="3238">
        <v>90.17</v>
      </c>
      <c r="H9" s="3239" t="s">
        <v>4405</v>
      </c>
      <c r="I9" s="3239" t="s">
        <v>3395</v>
      </c>
      <c r="J9" s="3239">
        <v>3156827.63</v>
      </c>
      <c r="K9" s="3239">
        <v>28771.67</v>
      </c>
      <c r="L9" s="3239">
        <v>3156827</v>
      </c>
      <c r="M9" s="3239">
        <v>28771.66</v>
      </c>
      <c r="N9" s="3234" t="s">
        <v>4404</v>
      </c>
      <c r="O9" s="3240">
        <f t="shared" si="1"/>
        <v>2998986</v>
      </c>
    </row>
    <row r="10" spans="1:784 1032:1808 2056:2832 3080:3856 4104:4880 5128:5904 6152:6928 7176:7952 8200:8976 9224:10000 10248:11024 11272:12048 12296:13072 13320:14096 14344:15120 15368:16144" ht="16.5">
      <c r="A10" s="3234">
        <v>8</v>
      </c>
      <c r="B10" s="3234">
        <v>1</v>
      </c>
      <c r="C10" s="3234">
        <v>1</v>
      </c>
      <c r="D10" s="3235">
        <v>501</v>
      </c>
      <c r="E10" s="3236" t="str">
        <f t="shared" si="0"/>
        <v>1-1-501</v>
      </c>
      <c r="F10" s="3237">
        <v>110.17</v>
      </c>
      <c r="G10" s="3238">
        <v>90.54</v>
      </c>
      <c r="H10" s="3239" t="s">
        <v>4406</v>
      </c>
      <c r="I10" s="3239" t="s">
        <v>3395</v>
      </c>
      <c r="J10" s="3239">
        <v>3191808.88</v>
      </c>
      <c r="K10" s="3239">
        <v>28971.67</v>
      </c>
      <c r="L10" s="3239">
        <v>3191808</v>
      </c>
      <c r="M10" s="3239">
        <v>28971.66</v>
      </c>
      <c r="N10" s="3234" t="s">
        <v>4407</v>
      </c>
      <c r="O10" s="3240">
        <v>3035378</v>
      </c>
    </row>
    <row r="11" spans="1:784 1032:1808 2056:2832 3080:3856 4104:4880 5128:5904 6152:6928 7176:7952 8200:8976 9224:10000 10248:11024 11272:12048 12296:13072 13320:14096 14344:15120 15368:16144" ht="16.5">
      <c r="A11" s="3234">
        <v>9</v>
      </c>
      <c r="B11" s="3234">
        <v>1</v>
      </c>
      <c r="C11" s="3234">
        <v>1</v>
      </c>
      <c r="D11" s="3235">
        <v>601</v>
      </c>
      <c r="E11" s="3241" t="str">
        <f t="shared" si="0"/>
        <v>1-1-601</v>
      </c>
      <c r="F11" s="3242">
        <v>110.17</v>
      </c>
      <c r="G11" s="3238">
        <v>90.54</v>
      </c>
      <c r="H11" s="3239" t="s">
        <v>4406</v>
      </c>
      <c r="I11" s="3239" t="s">
        <v>3395</v>
      </c>
      <c r="J11" s="3239">
        <v>3213842.88</v>
      </c>
      <c r="K11" s="3239">
        <v>29171.67</v>
      </c>
      <c r="L11" s="3239">
        <v>3213842</v>
      </c>
      <c r="M11" s="3239">
        <v>29171.66</v>
      </c>
      <c r="N11" s="3234" t="s">
        <v>4407</v>
      </c>
      <c r="O11" s="3240">
        <v>3056332</v>
      </c>
    </row>
    <row r="12" spans="1:784 1032:1808 2056:2832 3080:3856 4104:4880 5128:5904 6152:6928 7176:7952 8200:8976 9224:10000 10248:11024 11272:12048 12296:13072 13320:14096 14344:15120 15368:16144" ht="16.5">
      <c r="A12" s="3234">
        <v>10</v>
      </c>
      <c r="B12" s="3234">
        <v>1</v>
      </c>
      <c r="C12" s="3234">
        <v>1</v>
      </c>
      <c r="D12" s="3235">
        <v>801</v>
      </c>
      <c r="E12" s="3236" t="str">
        <f t="shared" si="0"/>
        <v>1-1-801</v>
      </c>
      <c r="F12" s="3237">
        <v>110.17</v>
      </c>
      <c r="G12" s="3238">
        <v>90.54</v>
      </c>
      <c r="H12" s="3239" t="s">
        <v>4406</v>
      </c>
      <c r="I12" s="3239" t="s">
        <v>3395</v>
      </c>
      <c r="J12" s="3239">
        <v>3569508</v>
      </c>
      <c r="K12" s="3239">
        <v>32400</v>
      </c>
      <c r="L12" s="3239">
        <v>3569508</v>
      </c>
      <c r="M12" s="3239">
        <v>32400</v>
      </c>
      <c r="N12" s="3234" t="s">
        <v>4404</v>
      </c>
      <c r="O12" s="3240">
        <f t="shared" ref="O12:O46" si="2">ROUND(L12*0.95,0)</f>
        <v>3391033</v>
      </c>
    </row>
    <row r="13" spans="1:784 1032:1808 2056:2832 3080:3856 4104:4880 5128:5904 6152:6928 7176:7952 8200:8976 9224:10000 10248:11024 11272:12048 12296:13072 13320:14096 14344:15120 15368:16144" ht="16.5">
      <c r="A13" s="3234">
        <v>11</v>
      </c>
      <c r="B13" s="3234">
        <v>1</v>
      </c>
      <c r="C13" s="3234">
        <v>1</v>
      </c>
      <c r="D13" s="3235">
        <v>802</v>
      </c>
      <c r="E13" s="3236" t="str">
        <f t="shared" si="0"/>
        <v>1-1-802</v>
      </c>
      <c r="F13" s="3237">
        <v>109.72</v>
      </c>
      <c r="G13" s="3238">
        <v>90.17</v>
      </c>
      <c r="H13" s="3239" t="s">
        <v>4405</v>
      </c>
      <c r="I13" s="3239" t="s">
        <v>3395</v>
      </c>
      <c r="J13" s="3239">
        <v>3554928</v>
      </c>
      <c r="K13" s="3239">
        <v>32400</v>
      </c>
      <c r="L13" s="3239">
        <v>3554928</v>
      </c>
      <c r="M13" s="3239">
        <v>32400</v>
      </c>
      <c r="N13" s="3234" t="s">
        <v>4404</v>
      </c>
      <c r="O13" s="3240">
        <f t="shared" si="2"/>
        <v>3377182</v>
      </c>
    </row>
    <row r="14" spans="1:784 1032:1808 2056:2832 3080:3856 4104:4880 5128:5904 6152:6928 7176:7952 8200:8976 9224:10000 10248:11024 11272:12048 12296:13072 13320:14096 14344:15120 15368:16144" ht="16.5">
      <c r="A14" s="3234">
        <v>12</v>
      </c>
      <c r="B14" s="3234">
        <v>1</v>
      </c>
      <c r="C14" s="3234">
        <v>2</v>
      </c>
      <c r="D14" s="3235">
        <v>101</v>
      </c>
      <c r="E14" s="3236" t="str">
        <f t="shared" si="0"/>
        <v>1-2-101</v>
      </c>
      <c r="F14" s="3237">
        <v>90.75</v>
      </c>
      <c r="G14" s="3238">
        <v>74.58</v>
      </c>
      <c r="H14" s="3239" t="s">
        <v>403</v>
      </c>
      <c r="I14" s="3239" t="s">
        <v>3395</v>
      </c>
      <c r="J14" s="3239">
        <v>2579266.5499999998</v>
      </c>
      <c r="K14" s="3239">
        <v>28421.67</v>
      </c>
      <c r="L14" s="3239">
        <v>2579266</v>
      </c>
      <c r="M14" s="3239">
        <v>28421.66</v>
      </c>
      <c r="N14" s="3234" t="s">
        <v>4404</v>
      </c>
      <c r="O14" s="3240">
        <f t="shared" si="2"/>
        <v>2450303</v>
      </c>
    </row>
    <row r="15" spans="1:784 1032:1808 2056:2832 3080:3856 4104:4880 5128:5904 6152:6928 7176:7952 8200:8976 9224:10000 10248:11024 11272:12048 12296:13072 13320:14096 14344:15120 15368:16144" ht="16.5">
      <c r="A15" s="3234">
        <v>13</v>
      </c>
      <c r="B15" s="3234">
        <v>1</v>
      </c>
      <c r="C15" s="3234">
        <v>2</v>
      </c>
      <c r="D15" s="3235">
        <v>102</v>
      </c>
      <c r="E15" s="3236" t="str">
        <f t="shared" si="0"/>
        <v>1-2-102</v>
      </c>
      <c r="F15" s="3237">
        <v>109.72</v>
      </c>
      <c r="G15" s="3238">
        <v>90.17</v>
      </c>
      <c r="H15" s="3239" t="s">
        <v>4405</v>
      </c>
      <c r="I15" s="3239" t="s">
        <v>3395</v>
      </c>
      <c r="J15" s="3239">
        <v>3036135.63</v>
      </c>
      <c r="K15" s="3239">
        <v>27671.67</v>
      </c>
      <c r="L15" s="3239">
        <v>3036135</v>
      </c>
      <c r="M15" s="3239">
        <v>27671.66</v>
      </c>
      <c r="N15" s="3234" t="s">
        <v>4404</v>
      </c>
      <c r="O15" s="3240">
        <f t="shared" si="2"/>
        <v>2884328</v>
      </c>
    </row>
    <row r="16" spans="1:784 1032:1808 2056:2832 3080:3856 4104:4880 5128:5904 6152:6928 7176:7952 8200:8976 9224:10000 10248:11024 11272:12048 12296:13072 13320:14096 14344:15120 15368:16144" ht="16.5">
      <c r="A16" s="3234">
        <v>14</v>
      </c>
      <c r="B16" s="3234">
        <v>1</v>
      </c>
      <c r="C16" s="3234">
        <v>2</v>
      </c>
      <c r="D16" s="3235">
        <v>201</v>
      </c>
      <c r="E16" s="3236" t="str">
        <f t="shared" si="0"/>
        <v>1-2-201</v>
      </c>
      <c r="F16" s="3237">
        <v>109.72</v>
      </c>
      <c r="G16" s="3238">
        <v>90.17</v>
      </c>
      <c r="H16" s="3239" t="s">
        <v>4406</v>
      </c>
      <c r="I16" s="3239" t="s">
        <v>3395</v>
      </c>
      <c r="J16" s="3239">
        <v>3069051.63</v>
      </c>
      <c r="K16" s="3239">
        <v>27971.67</v>
      </c>
      <c r="L16" s="3239">
        <v>3069051</v>
      </c>
      <c r="M16" s="3239">
        <v>27971.66</v>
      </c>
      <c r="N16" s="3234" t="s">
        <v>4404</v>
      </c>
      <c r="O16" s="3240">
        <f t="shared" si="2"/>
        <v>2915598</v>
      </c>
    </row>
    <row r="17" spans="1:15" ht="16.5">
      <c r="A17" s="3234">
        <v>15</v>
      </c>
      <c r="B17" s="3234">
        <v>1</v>
      </c>
      <c r="C17" s="3234">
        <v>2</v>
      </c>
      <c r="D17" s="3235">
        <v>202</v>
      </c>
      <c r="E17" s="3236" t="str">
        <f t="shared" si="0"/>
        <v>1-2-202</v>
      </c>
      <c r="F17" s="3237">
        <v>109.72</v>
      </c>
      <c r="G17" s="3238">
        <v>90.17</v>
      </c>
      <c r="H17" s="3239" t="s">
        <v>4405</v>
      </c>
      <c r="I17" s="3239" t="s">
        <v>3395</v>
      </c>
      <c r="J17" s="3239">
        <v>3069051.63</v>
      </c>
      <c r="K17" s="3239">
        <v>27971.67</v>
      </c>
      <c r="L17" s="3239">
        <v>3069051</v>
      </c>
      <c r="M17" s="3239">
        <v>27971.66</v>
      </c>
      <c r="N17" s="3234" t="s">
        <v>4404</v>
      </c>
      <c r="O17" s="3240">
        <f t="shared" si="2"/>
        <v>2915598</v>
      </c>
    </row>
    <row r="18" spans="1:15" ht="16.5">
      <c r="A18" s="3234">
        <v>16</v>
      </c>
      <c r="B18" s="3234">
        <v>1</v>
      </c>
      <c r="C18" s="3234">
        <v>2</v>
      </c>
      <c r="D18" s="3235">
        <v>801</v>
      </c>
      <c r="E18" s="3236" t="str">
        <f t="shared" si="0"/>
        <v>1-2-801</v>
      </c>
      <c r="F18" s="3237">
        <v>109.72</v>
      </c>
      <c r="G18" s="3238">
        <v>90.17</v>
      </c>
      <c r="H18" s="3239" t="s">
        <v>4406</v>
      </c>
      <c r="I18" s="3239" t="s">
        <v>3395</v>
      </c>
      <c r="J18" s="3239">
        <v>3554928</v>
      </c>
      <c r="K18" s="3239">
        <v>32400</v>
      </c>
      <c r="L18" s="3239">
        <v>3554928</v>
      </c>
      <c r="M18" s="3239">
        <v>32400</v>
      </c>
      <c r="N18" s="3234" t="s">
        <v>4404</v>
      </c>
      <c r="O18" s="3240">
        <f t="shared" si="2"/>
        <v>3377182</v>
      </c>
    </row>
    <row r="19" spans="1:15" ht="16.5">
      <c r="A19" s="3234">
        <v>17</v>
      </c>
      <c r="B19" s="3234">
        <v>1</v>
      </c>
      <c r="C19" s="3234">
        <v>2</v>
      </c>
      <c r="D19" s="3235">
        <v>802</v>
      </c>
      <c r="E19" s="3236" t="str">
        <f t="shared" si="0"/>
        <v>1-2-802</v>
      </c>
      <c r="F19" s="3237">
        <v>109.72</v>
      </c>
      <c r="G19" s="3238">
        <v>90.17</v>
      </c>
      <c r="H19" s="3239" t="s">
        <v>4405</v>
      </c>
      <c r="I19" s="3239" t="s">
        <v>3395</v>
      </c>
      <c r="J19" s="3239">
        <v>3554928</v>
      </c>
      <c r="K19" s="3239">
        <v>32400</v>
      </c>
      <c r="L19" s="3239">
        <v>3554928</v>
      </c>
      <c r="M19" s="3239">
        <v>32400</v>
      </c>
      <c r="N19" s="3234" t="s">
        <v>4404</v>
      </c>
      <c r="O19" s="3240">
        <f t="shared" si="2"/>
        <v>3377182</v>
      </c>
    </row>
    <row r="20" spans="1:15" ht="16.5">
      <c r="A20" s="3234">
        <v>18</v>
      </c>
      <c r="B20" s="3234">
        <v>1</v>
      </c>
      <c r="C20" s="3234">
        <v>3</v>
      </c>
      <c r="D20" s="3235">
        <v>101</v>
      </c>
      <c r="E20" s="3236" t="str">
        <f t="shared" si="0"/>
        <v>1-3-101</v>
      </c>
      <c r="F20" s="3237">
        <v>90.75</v>
      </c>
      <c r="G20" s="3238">
        <v>74.58</v>
      </c>
      <c r="H20" s="3239" t="s">
        <v>403</v>
      </c>
      <c r="I20" s="3239" t="s">
        <v>3395</v>
      </c>
      <c r="J20" s="3239">
        <v>2579266.5499999998</v>
      </c>
      <c r="K20" s="3239">
        <v>28421.67</v>
      </c>
      <c r="L20" s="3239">
        <v>2579266</v>
      </c>
      <c r="M20" s="3239">
        <v>28421.66</v>
      </c>
      <c r="N20" s="3234" t="s">
        <v>4404</v>
      </c>
      <c r="O20" s="3240">
        <f t="shared" si="2"/>
        <v>2450303</v>
      </c>
    </row>
    <row r="21" spans="1:15" ht="16.5">
      <c r="A21" s="3234">
        <v>19</v>
      </c>
      <c r="B21" s="3234">
        <v>1</v>
      </c>
      <c r="C21" s="3234">
        <v>3</v>
      </c>
      <c r="D21" s="3235">
        <v>102</v>
      </c>
      <c r="E21" s="3236" t="str">
        <f t="shared" si="0"/>
        <v>1-3-102</v>
      </c>
      <c r="F21" s="3237">
        <v>109.72</v>
      </c>
      <c r="G21" s="3238">
        <v>90.17</v>
      </c>
      <c r="H21" s="3239" t="s">
        <v>4405</v>
      </c>
      <c r="I21" s="3239" t="s">
        <v>3395</v>
      </c>
      <c r="J21" s="3239">
        <v>3036135.63</v>
      </c>
      <c r="K21" s="3239">
        <v>27671.67</v>
      </c>
      <c r="L21" s="3239">
        <v>3036135</v>
      </c>
      <c r="M21" s="3239">
        <v>27671.66</v>
      </c>
      <c r="N21" s="3234" t="s">
        <v>4404</v>
      </c>
      <c r="O21" s="3240">
        <f t="shared" si="2"/>
        <v>2884328</v>
      </c>
    </row>
    <row r="22" spans="1:15" ht="16.5">
      <c r="A22" s="3234">
        <v>20</v>
      </c>
      <c r="B22" s="3234">
        <v>1</v>
      </c>
      <c r="C22" s="3234">
        <v>3</v>
      </c>
      <c r="D22" s="3235">
        <v>201</v>
      </c>
      <c r="E22" s="3236" t="str">
        <f t="shared" si="0"/>
        <v>1-3-201</v>
      </c>
      <c r="F22" s="3237">
        <v>109.72</v>
      </c>
      <c r="G22" s="3238">
        <v>90.17</v>
      </c>
      <c r="H22" s="3239" t="s">
        <v>4406</v>
      </c>
      <c r="I22" s="3239" t="s">
        <v>3395</v>
      </c>
      <c r="J22" s="3239">
        <v>3069051.63</v>
      </c>
      <c r="K22" s="3239">
        <v>27971.67</v>
      </c>
      <c r="L22" s="3239">
        <v>3069051</v>
      </c>
      <c r="M22" s="3239">
        <v>27971.66</v>
      </c>
      <c r="N22" s="3234" t="s">
        <v>4404</v>
      </c>
      <c r="O22" s="3240">
        <f t="shared" si="2"/>
        <v>2915598</v>
      </c>
    </row>
    <row r="23" spans="1:15" ht="16.5">
      <c r="A23" s="3234">
        <v>21</v>
      </c>
      <c r="B23" s="3234">
        <v>1</v>
      </c>
      <c r="C23" s="3234">
        <v>3</v>
      </c>
      <c r="D23" s="3235">
        <v>202</v>
      </c>
      <c r="E23" s="3236" t="str">
        <f t="shared" si="0"/>
        <v>1-3-202</v>
      </c>
      <c r="F23" s="3237">
        <v>109.72</v>
      </c>
      <c r="G23" s="3238">
        <v>90.17</v>
      </c>
      <c r="H23" s="3239" t="s">
        <v>4405</v>
      </c>
      <c r="I23" s="3239" t="s">
        <v>3395</v>
      </c>
      <c r="J23" s="3239">
        <v>3069051.63</v>
      </c>
      <c r="K23" s="3239">
        <v>27971.67</v>
      </c>
      <c r="L23" s="3239">
        <v>3069051</v>
      </c>
      <c r="M23" s="3239">
        <v>27971.66</v>
      </c>
      <c r="N23" s="3234" t="s">
        <v>4404</v>
      </c>
      <c r="O23" s="3240">
        <f t="shared" si="2"/>
        <v>2915598</v>
      </c>
    </row>
    <row r="24" spans="1:15" ht="16.5">
      <c r="A24" s="3234">
        <v>22</v>
      </c>
      <c r="B24" s="3234">
        <v>1</v>
      </c>
      <c r="C24" s="3234">
        <v>3</v>
      </c>
      <c r="D24" s="3235">
        <v>302</v>
      </c>
      <c r="E24" s="3241" t="str">
        <f t="shared" si="0"/>
        <v>1-3-302</v>
      </c>
      <c r="F24" s="3242">
        <v>109.72</v>
      </c>
      <c r="G24" s="3238">
        <v>90.17</v>
      </c>
      <c r="H24" s="3239" t="s">
        <v>4405</v>
      </c>
      <c r="I24" s="3239" t="s">
        <v>3395</v>
      </c>
      <c r="J24" s="3239">
        <v>3123911.63</v>
      </c>
      <c r="K24" s="3239">
        <v>28471.67</v>
      </c>
      <c r="L24" s="3239">
        <v>3123911</v>
      </c>
      <c r="M24" s="3239">
        <v>28471.66</v>
      </c>
      <c r="N24" s="3234" t="s">
        <v>4404</v>
      </c>
      <c r="O24" s="3240">
        <f t="shared" si="2"/>
        <v>2967715</v>
      </c>
    </row>
    <row r="25" spans="1:15" ht="16.5">
      <c r="A25" s="3234">
        <v>23</v>
      </c>
      <c r="B25" s="3234">
        <v>1</v>
      </c>
      <c r="C25" s="3234">
        <v>3</v>
      </c>
      <c r="D25" s="3235">
        <v>402</v>
      </c>
      <c r="E25" s="3241" t="str">
        <f t="shared" si="0"/>
        <v>1-3-402</v>
      </c>
      <c r="F25" s="3242">
        <v>109.72</v>
      </c>
      <c r="G25" s="3238">
        <v>90.17</v>
      </c>
      <c r="H25" s="3239" t="s">
        <v>4405</v>
      </c>
      <c r="I25" s="3239" t="s">
        <v>3395</v>
      </c>
      <c r="J25" s="3239">
        <v>3156827.63</v>
      </c>
      <c r="K25" s="3239">
        <v>28771.67</v>
      </c>
      <c r="L25" s="3239">
        <v>3156827</v>
      </c>
      <c r="M25" s="3239">
        <v>28771.66</v>
      </c>
      <c r="N25" s="3234" t="s">
        <v>4407</v>
      </c>
      <c r="O25" s="3240">
        <f t="shared" si="2"/>
        <v>2998986</v>
      </c>
    </row>
    <row r="26" spans="1:15" ht="16.5">
      <c r="A26" s="3234">
        <v>24</v>
      </c>
      <c r="B26" s="3234">
        <v>1</v>
      </c>
      <c r="C26" s="3234">
        <v>3</v>
      </c>
      <c r="D26" s="3235">
        <v>801</v>
      </c>
      <c r="E26" s="3236" t="str">
        <f t="shared" si="0"/>
        <v>1-3-801</v>
      </c>
      <c r="F26" s="3237">
        <v>109.72</v>
      </c>
      <c r="G26" s="3238">
        <v>90.17</v>
      </c>
      <c r="H26" s="3239" t="s">
        <v>4406</v>
      </c>
      <c r="I26" s="3239" t="s">
        <v>3395</v>
      </c>
      <c r="J26" s="3239">
        <v>3554928</v>
      </c>
      <c r="K26" s="3239">
        <v>32400</v>
      </c>
      <c r="L26" s="3239">
        <v>3554928</v>
      </c>
      <c r="M26" s="3239">
        <v>32400</v>
      </c>
      <c r="N26" s="3234" t="s">
        <v>4404</v>
      </c>
      <c r="O26" s="3240">
        <f t="shared" si="2"/>
        <v>3377182</v>
      </c>
    </row>
    <row r="27" spans="1:15" ht="16.5">
      <c r="A27" s="3234">
        <v>25</v>
      </c>
      <c r="B27" s="3234">
        <v>1</v>
      </c>
      <c r="C27" s="3234">
        <v>3</v>
      </c>
      <c r="D27" s="3235">
        <v>802</v>
      </c>
      <c r="E27" s="3236" t="str">
        <f t="shared" si="0"/>
        <v>1-3-802</v>
      </c>
      <c r="F27" s="3237">
        <v>109.72</v>
      </c>
      <c r="G27" s="3238">
        <v>90.17</v>
      </c>
      <c r="H27" s="3239" t="s">
        <v>4405</v>
      </c>
      <c r="I27" s="3239" t="s">
        <v>3395</v>
      </c>
      <c r="J27" s="3239">
        <v>3554928</v>
      </c>
      <c r="K27" s="3239">
        <v>32400</v>
      </c>
      <c r="L27" s="3239">
        <v>3554928</v>
      </c>
      <c r="M27" s="3239">
        <v>32400</v>
      </c>
      <c r="N27" s="3234" t="s">
        <v>4404</v>
      </c>
      <c r="O27" s="3240">
        <f t="shared" si="2"/>
        <v>3377182</v>
      </c>
    </row>
    <row r="28" spans="1:15" ht="16.5">
      <c r="A28" s="3234">
        <v>26</v>
      </c>
      <c r="B28" s="3234">
        <v>1</v>
      </c>
      <c r="C28" s="3234">
        <v>4</v>
      </c>
      <c r="D28" s="3235">
        <v>101</v>
      </c>
      <c r="E28" s="3236" t="str">
        <f t="shared" si="0"/>
        <v>1-4-101</v>
      </c>
      <c r="F28" s="3237">
        <v>90.75</v>
      </c>
      <c r="G28" s="3238">
        <v>74.58</v>
      </c>
      <c r="H28" s="3239" t="s">
        <v>403</v>
      </c>
      <c r="I28" s="3239" t="s">
        <v>3395</v>
      </c>
      <c r="J28" s="3239">
        <v>2574729.0499999998</v>
      </c>
      <c r="K28" s="3239">
        <v>28371.67</v>
      </c>
      <c r="L28" s="3239">
        <v>2574729</v>
      </c>
      <c r="M28" s="3239">
        <v>28371.67</v>
      </c>
      <c r="N28" s="3234" t="s">
        <v>4404</v>
      </c>
      <c r="O28" s="3240">
        <f t="shared" si="2"/>
        <v>2445993</v>
      </c>
    </row>
    <row r="29" spans="1:15" ht="16.5">
      <c r="A29" s="3234">
        <v>27</v>
      </c>
      <c r="B29" s="3234">
        <v>1</v>
      </c>
      <c r="C29" s="3234">
        <v>4</v>
      </c>
      <c r="D29" s="3235">
        <v>102</v>
      </c>
      <c r="E29" s="3236" t="str">
        <f t="shared" si="0"/>
        <v>1-4-102</v>
      </c>
      <c r="F29" s="3237">
        <v>110.17</v>
      </c>
      <c r="G29" s="3238">
        <v>90.54</v>
      </c>
      <c r="H29" s="3239" t="s">
        <v>4405</v>
      </c>
      <c r="I29" s="3239" t="s">
        <v>3395</v>
      </c>
      <c r="J29" s="3239">
        <v>3043079.38</v>
      </c>
      <c r="K29" s="3239">
        <v>27621.67</v>
      </c>
      <c r="L29" s="3239">
        <v>3043079</v>
      </c>
      <c r="M29" s="3239">
        <v>27621.67</v>
      </c>
      <c r="N29" s="3234" t="s">
        <v>4404</v>
      </c>
      <c r="O29" s="3240">
        <f t="shared" si="2"/>
        <v>2890925</v>
      </c>
    </row>
    <row r="30" spans="1:15" ht="16.5">
      <c r="A30" s="3234">
        <v>28</v>
      </c>
      <c r="B30" s="3234">
        <v>1</v>
      </c>
      <c r="C30" s="3234">
        <v>4</v>
      </c>
      <c r="D30" s="3235">
        <v>201</v>
      </c>
      <c r="E30" s="3236" t="str">
        <f t="shared" si="0"/>
        <v>1-4-201</v>
      </c>
      <c r="F30" s="3237">
        <v>109.72</v>
      </c>
      <c r="G30" s="3238">
        <v>90.17</v>
      </c>
      <c r="H30" s="3239" t="s">
        <v>4406</v>
      </c>
      <c r="I30" s="3239" t="s">
        <v>3395</v>
      </c>
      <c r="J30" s="3239">
        <v>3063565.63</v>
      </c>
      <c r="K30" s="3239">
        <v>27921.67</v>
      </c>
      <c r="L30" s="3239">
        <v>3063565</v>
      </c>
      <c r="M30" s="3239">
        <v>27921.66</v>
      </c>
      <c r="N30" s="3234" t="s">
        <v>4404</v>
      </c>
      <c r="O30" s="3240">
        <f t="shared" si="2"/>
        <v>2910387</v>
      </c>
    </row>
    <row r="31" spans="1:15" ht="16.5">
      <c r="A31" s="3234">
        <v>29</v>
      </c>
      <c r="B31" s="3234">
        <v>1</v>
      </c>
      <c r="C31" s="3234">
        <v>4</v>
      </c>
      <c r="D31" s="3235">
        <v>202</v>
      </c>
      <c r="E31" s="3236" t="str">
        <f t="shared" si="0"/>
        <v>1-4-202</v>
      </c>
      <c r="F31" s="3237">
        <v>110.17</v>
      </c>
      <c r="G31" s="3238">
        <v>90.54</v>
      </c>
      <c r="H31" s="3239" t="s">
        <v>4405</v>
      </c>
      <c r="I31" s="3239" t="s">
        <v>3395</v>
      </c>
      <c r="J31" s="3239">
        <v>3076130.38</v>
      </c>
      <c r="K31" s="3239">
        <v>27921.67</v>
      </c>
      <c r="L31" s="3239">
        <v>3076130</v>
      </c>
      <c r="M31" s="3239">
        <v>27921.67</v>
      </c>
      <c r="N31" s="3234" t="s">
        <v>4404</v>
      </c>
      <c r="O31" s="3240">
        <f t="shared" si="2"/>
        <v>2922324</v>
      </c>
    </row>
    <row r="32" spans="1:15" ht="16.5">
      <c r="A32" s="3234">
        <v>30</v>
      </c>
      <c r="B32" s="3234">
        <v>1</v>
      </c>
      <c r="C32" s="3234">
        <v>4</v>
      </c>
      <c r="D32" s="3235">
        <v>301</v>
      </c>
      <c r="E32" s="3236" t="str">
        <f t="shared" si="0"/>
        <v>1-4-301</v>
      </c>
      <c r="F32" s="3237">
        <v>109.72</v>
      </c>
      <c r="G32" s="3238">
        <v>90.17</v>
      </c>
      <c r="H32" s="3239" t="s">
        <v>4406</v>
      </c>
      <c r="I32" s="3239" t="s">
        <v>3395</v>
      </c>
      <c r="J32" s="3239">
        <v>3118425.63</v>
      </c>
      <c r="K32" s="3239">
        <v>28421.67</v>
      </c>
      <c r="L32" s="3239">
        <v>3118425</v>
      </c>
      <c r="M32" s="3239">
        <v>28421.66</v>
      </c>
      <c r="N32" s="3234" t="s">
        <v>4404</v>
      </c>
      <c r="O32" s="3240">
        <f t="shared" si="2"/>
        <v>2962504</v>
      </c>
    </row>
    <row r="33" spans="1:15" ht="16.5">
      <c r="A33" s="3234">
        <v>31</v>
      </c>
      <c r="B33" s="3234">
        <v>1</v>
      </c>
      <c r="C33" s="3234">
        <v>4</v>
      </c>
      <c r="D33" s="3235">
        <v>302</v>
      </c>
      <c r="E33" s="3236" t="str">
        <f t="shared" si="0"/>
        <v>1-4-302</v>
      </c>
      <c r="F33" s="3237">
        <v>110.17</v>
      </c>
      <c r="G33" s="3238">
        <v>90.54</v>
      </c>
      <c r="H33" s="3239" t="s">
        <v>404</v>
      </c>
      <c r="I33" s="3239" t="s">
        <v>3395</v>
      </c>
      <c r="J33" s="3239">
        <v>3142232.38</v>
      </c>
      <c r="K33" s="3239">
        <v>28521.67</v>
      </c>
      <c r="L33" s="3239">
        <v>3142232</v>
      </c>
      <c r="M33" s="3239">
        <v>28521.67</v>
      </c>
      <c r="N33" s="3234" t="s">
        <v>4404</v>
      </c>
      <c r="O33" s="3240">
        <f t="shared" si="2"/>
        <v>2985120</v>
      </c>
    </row>
    <row r="34" spans="1:15" ht="16.5">
      <c r="A34" s="3234">
        <v>32</v>
      </c>
      <c r="B34" s="3234">
        <v>1</v>
      </c>
      <c r="C34" s="3234">
        <v>4</v>
      </c>
      <c r="D34" s="3235">
        <v>401</v>
      </c>
      <c r="E34" s="3236" t="str">
        <f t="shared" si="0"/>
        <v>1-4-401</v>
      </c>
      <c r="F34" s="3237">
        <v>109.72</v>
      </c>
      <c r="G34" s="3238">
        <v>90.17</v>
      </c>
      <c r="H34" s="3239" t="s">
        <v>4406</v>
      </c>
      <c r="I34" s="3239" t="s">
        <v>3395</v>
      </c>
      <c r="J34" s="3239">
        <v>3151341.63</v>
      </c>
      <c r="K34" s="3239">
        <v>28721.67</v>
      </c>
      <c r="L34" s="3239">
        <v>3151341</v>
      </c>
      <c r="M34" s="3239">
        <v>28721.66</v>
      </c>
      <c r="N34" s="3234" t="s">
        <v>4404</v>
      </c>
      <c r="O34" s="3240">
        <f t="shared" si="2"/>
        <v>2993774</v>
      </c>
    </row>
    <row r="35" spans="1:15" ht="16.5">
      <c r="A35" s="3234">
        <v>33</v>
      </c>
      <c r="B35" s="3234">
        <v>1</v>
      </c>
      <c r="C35" s="3234">
        <v>4</v>
      </c>
      <c r="D35" s="3235">
        <v>402</v>
      </c>
      <c r="E35" s="3236" t="str">
        <f t="shared" si="0"/>
        <v>1-4-402</v>
      </c>
      <c r="F35" s="3237">
        <v>110.17</v>
      </c>
      <c r="G35" s="3238">
        <v>90.54</v>
      </c>
      <c r="H35" s="3239" t="s">
        <v>404</v>
      </c>
      <c r="I35" s="3239" t="s">
        <v>3395</v>
      </c>
      <c r="J35" s="3239">
        <v>3175283.38</v>
      </c>
      <c r="K35" s="3239">
        <v>28821.67</v>
      </c>
      <c r="L35" s="3239">
        <v>3175283</v>
      </c>
      <c r="M35" s="3239">
        <v>28821.67</v>
      </c>
      <c r="N35" s="3234" t="s">
        <v>4404</v>
      </c>
      <c r="O35" s="3240">
        <f t="shared" si="2"/>
        <v>3016519</v>
      </c>
    </row>
    <row r="36" spans="1:15" ht="16.5">
      <c r="A36" s="3234">
        <v>34</v>
      </c>
      <c r="B36" s="3234">
        <v>1</v>
      </c>
      <c r="C36" s="3234">
        <v>4</v>
      </c>
      <c r="D36" s="3235">
        <v>502</v>
      </c>
      <c r="E36" s="3236" t="str">
        <f t="shared" si="0"/>
        <v>1-4-502</v>
      </c>
      <c r="F36" s="3237">
        <v>110.17</v>
      </c>
      <c r="G36" s="3238">
        <v>90.54</v>
      </c>
      <c r="H36" s="3239" t="s">
        <v>404</v>
      </c>
      <c r="I36" s="3239" t="s">
        <v>3395</v>
      </c>
      <c r="J36" s="3239">
        <v>3202825.88</v>
      </c>
      <c r="K36" s="3239">
        <v>29071.67</v>
      </c>
      <c r="L36" s="3239">
        <v>3202825</v>
      </c>
      <c r="M36" s="3239">
        <v>29071.66</v>
      </c>
      <c r="N36" s="3234" t="s">
        <v>4404</v>
      </c>
      <c r="O36" s="3240">
        <f t="shared" si="2"/>
        <v>3042684</v>
      </c>
    </row>
    <row r="37" spans="1:15" ht="16.5">
      <c r="A37" s="3234">
        <v>35</v>
      </c>
      <c r="B37" s="3234">
        <v>1</v>
      </c>
      <c r="C37" s="3234">
        <v>4</v>
      </c>
      <c r="D37" s="3235">
        <v>602</v>
      </c>
      <c r="E37" s="3236" t="str">
        <f t="shared" si="0"/>
        <v>1-4-602</v>
      </c>
      <c r="F37" s="3237">
        <v>110.17</v>
      </c>
      <c r="G37" s="3238">
        <v>90.54</v>
      </c>
      <c r="H37" s="3239" t="s">
        <v>404</v>
      </c>
      <c r="I37" s="3239" t="s">
        <v>3395</v>
      </c>
      <c r="J37" s="3239">
        <v>3224859.88</v>
      </c>
      <c r="K37" s="3239">
        <v>29271.67</v>
      </c>
      <c r="L37" s="3239">
        <v>3224859</v>
      </c>
      <c r="M37" s="3239">
        <v>29271.66</v>
      </c>
      <c r="N37" s="3234" t="s">
        <v>4404</v>
      </c>
      <c r="O37" s="3240">
        <f t="shared" si="2"/>
        <v>3063616</v>
      </c>
    </row>
    <row r="38" spans="1:15" ht="16.5">
      <c r="A38" s="3234">
        <v>36</v>
      </c>
      <c r="B38" s="3234">
        <v>1</v>
      </c>
      <c r="C38" s="3234">
        <v>4</v>
      </c>
      <c r="D38" s="3235">
        <v>702</v>
      </c>
      <c r="E38" s="3236" t="str">
        <f t="shared" si="0"/>
        <v>1-4-702</v>
      </c>
      <c r="F38" s="3237">
        <v>110.17</v>
      </c>
      <c r="G38" s="3238">
        <v>90.54</v>
      </c>
      <c r="H38" s="3239" t="s">
        <v>404</v>
      </c>
      <c r="I38" s="3239" t="s">
        <v>3395</v>
      </c>
      <c r="J38" s="3239">
        <v>3246893.88</v>
      </c>
      <c r="K38" s="3239">
        <v>29471.67</v>
      </c>
      <c r="L38" s="3239">
        <v>3246893</v>
      </c>
      <c r="M38" s="3239">
        <v>29471.66</v>
      </c>
      <c r="N38" s="3234" t="s">
        <v>4404</v>
      </c>
      <c r="O38" s="3240">
        <f t="shared" si="2"/>
        <v>3084548</v>
      </c>
    </row>
    <row r="39" spans="1:15" ht="16.5">
      <c r="A39" s="3234">
        <v>37</v>
      </c>
      <c r="B39" s="3234">
        <v>1</v>
      </c>
      <c r="C39" s="3234">
        <v>4</v>
      </c>
      <c r="D39" s="3235">
        <v>801</v>
      </c>
      <c r="E39" s="3236" t="str">
        <f t="shared" si="0"/>
        <v>1-4-801</v>
      </c>
      <c r="F39" s="3237">
        <v>109.72</v>
      </c>
      <c r="G39" s="3238">
        <v>90.17</v>
      </c>
      <c r="H39" s="3239" t="s">
        <v>4406</v>
      </c>
      <c r="I39" s="3239" t="s">
        <v>3395</v>
      </c>
      <c r="J39" s="3239">
        <v>3554928</v>
      </c>
      <c r="K39" s="3239">
        <v>32400</v>
      </c>
      <c r="L39" s="3239">
        <v>3554928</v>
      </c>
      <c r="M39" s="3239">
        <v>32400</v>
      </c>
      <c r="N39" s="3234" t="s">
        <v>4404</v>
      </c>
      <c r="O39" s="3240">
        <f t="shared" si="2"/>
        <v>3377182</v>
      </c>
    </row>
    <row r="40" spans="1:15" ht="16.5">
      <c r="A40" s="3234">
        <v>38</v>
      </c>
      <c r="B40" s="3234">
        <v>1</v>
      </c>
      <c r="C40" s="3234">
        <v>4</v>
      </c>
      <c r="D40" s="3235">
        <v>802</v>
      </c>
      <c r="E40" s="3236" t="str">
        <f t="shared" si="0"/>
        <v>1-4-802</v>
      </c>
      <c r="F40" s="3237">
        <v>110.17</v>
      </c>
      <c r="G40" s="3238">
        <v>90.54</v>
      </c>
      <c r="H40" s="3239" t="s">
        <v>404</v>
      </c>
      <c r="I40" s="3239" t="s">
        <v>3395</v>
      </c>
      <c r="J40" s="3239">
        <v>3569508</v>
      </c>
      <c r="K40" s="3239">
        <v>32400</v>
      </c>
      <c r="L40" s="3239">
        <v>3569508</v>
      </c>
      <c r="M40" s="3239">
        <v>32400</v>
      </c>
      <c r="N40" s="3234" t="s">
        <v>4404</v>
      </c>
      <c r="O40" s="3240">
        <f t="shared" si="2"/>
        <v>3391033</v>
      </c>
    </row>
    <row r="41" spans="1:15" ht="16.5">
      <c r="A41" s="3234">
        <v>39</v>
      </c>
      <c r="B41" s="3234">
        <v>2</v>
      </c>
      <c r="C41" s="3234"/>
      <c r="D41" s="3235">
        <v>101</v>
      </c>
      <c r="E41" s="3236" t="str">
        <f t="shared" si="0"/>
        <v>2--101</v>
      </c>
      <c r="F41" s="3237">
        <v>140.91999999999999</v>
      </c>
      <c r="G41" s="3238">
        <v>111.76</v>
      </c>
      <c r="H41" s="3239" t="s">
        <v>4408</v>
      </c>
      <c r="I41" s="3239" t="s">
        <v>3395</v>
      </c>
      <c r="J41" s="3239">
        <v>4068595.74</v>
      </c>
      <c r="K41" s="3239">
        <v>28871.67</v>
      </c>
      <c r="L41" s="3231">
        <v>4068595</v>
      </c>
      <c r="M41" s="3231">
        <v>28871.66</v>
      </c>
      <c r="N41" s="3230" t="s">
        <v>4404</v>
      </c>
      <c r="O41" s="3240">
        <f t="shared" si="2"/>
        <v>3865165</v>
      </c>
    </row>
    <row r="42" spans="1:15" ht="16.5">
      <c r="A42" s="3234">
        <v>40</v>
      </c>
      <c r="B42" s="3234">
        <v>2</v>
      </c>
      <c r="C42" s="3234"/>
      <c r="D42" s="3235">
        <v>102</v>
      </c>
      <c r="E42" s="3236" t="str">
        <f t="shared" si="0"/>
        <v>2--102</v>
      </c>
      <c r="F42" s="3237">
        <v>139.9</v>
      </c>
      <c r="G42" s="3238">
        <v>110.95</v>
      </c>
      <c r="H42" s="3239" t="s">
        <v>4409</v>
      </c>
      <c r="I42" s="3239" t="s">
        <v>3395</v>
      </c>
      <c r="J42" s="3239">
        <v>3997176.63</v>
      </c>
      <c r="K42" s="3239">
        <v>28571.67</v>
      </c>
      <c r="L42" s="3231">
        <v>3997176</v>
      </c>
      <c r="M42" s="3231">
        <v>28571.67</v>
      </c>
      <c r="N42" s="3230" t="s">
        <v>4404</v>
      </c>
      <c r="O42" s="3240">
        <f t="shared" si="2"/>
        <v>3797317</v>
      </c>
    </row>
    <row r="43" spans="1:15" ht="16.5">
      <c r="A43" s="3234">
        <v>41</v>
      </c>
      <c r="B43" s="3234">
        <v>2</v>
      </c>
      <c r="C43" s="3234"/>
      <c r="D43" s="3235">
        <v>201</v>
      </c>
      <c r="E43" s="3236" t="str">
        <f t="shared" si="0"/>
        <v>2--201</v>
      </c>
      <c r="F43" s="3237">
        <v>140.91999999999999</v>
      </c>
      <c r="G43" s="3238">
        <v>111.76</v>
      </c>
      <c r="H43" s="3239" t="s">
        <v>4408</v>
      </c>
      <c r="I43" s="3239" t="s">
        <v>3395</v>
      </c>
      <c r="J43" s="3239">
        <v>4110871.74</v>
      </c>
      <c r="K43" s="3239">
        <v>29171.67</v>
      </c>
      <c r="L43" s="3231">
        <v>4110871</v>
      </c>
      <c r="M43" s="3231">
        <v>29171.66</v>
      </c>
      <c r="N43" s="3230" t="s">
        <v>4404</v>
      </c>
      <c r="O43" s="3240">
        <f t="shared" si="2"/>
        <v>3905327</v>
      </c>
    </row>
    <row r="44" spans="1:15" ht="16.5">
      <c r="A44" s="3234">
        <v>42</v>
      </c>
      <c r="B44" s="3234">
        <v>2</v>
      </c>
      <c r="C44" s="3234"/>
      <c r="D44" s="3235">
        <v>202</v>
      </c>
      <c r="E44" s="3236" t="str">
        <f t="shared" si="0"/>
        <v>2--202</v>
      </c>
      <c r="F44" s="3237">
        <v>139.9</v>
      </c>
      <c r="G44" s="3238">
        <v>110.95</v>
      </c>
      <c r="H44" s="3239" t="s">
        <v>4409</v>
      </c>
      <c r="I44" s="3239" t="s">
        <v>3395</v>
      </c>
      <c r="J44" s="3239">
        <v>4039146.63</v>
      </c>
      <c r="K44" s="3239">
        <v>28871.67</v>
      </c>
      <c r="L44" s="3231">
        <v>4039146</v>
      </c>
      <c r="M44" s="3231">
        <v>28871.67</v>
      </c>
      <c r="N44" s="3230" t="s">
        <v>4404</v>
      </c>
      <c r="O44" s="3240">
        <f t="shared" si="2"/>
        <v>3837189</v>
      </c>
    </row>
    <row r="45" spans="1:15" ht="16.5">
      <c r="A45" s="3234">
        <v>43</v>
      </c>
      <c r="B45" s="3234">
        <v>2</v>
      </c>
      <c r="C45" s="3234"/>
      <c r="D45" s="3235">
        <v>301</v>
      </c>
      <c r="E45" s="3236" t="str">
        <f t="shared" si="0"/>
        <v>2--301</v>
      </c>
      <c r="F45" s="3237">
        <v>140.91999999999999</v>
      </c>
      <c r="G45" s="3238">
        <v>111.76</v>
      </c>
      <c r="H45" s="3239" t="s">
        <v>4408</v>
      </c>
      <c r="I45" s="3239" t="s">
        <v>3395</v>
      </c>
      <c r="J45" s="3239">
        <v>4181331.74</v>
      </c>
      <c r="K45" s="3239">
        <v>29671.67</v>
      </c>
      <c r="L45" s="3231">
        <v>4181331</v>
      </c>
      <c r="M45" s="3231">
        <v>29671.66</v>
      </c>
      <c r="N45" s="3230" t="s">
        <v>4404</v>
      </c>
      <c r="O45" s="3240">
        <f t="shared" si="2"/>
        <v>3972264</v>
      </c>
    </row>
    <row r="46" spans="1:15" ht="16.5">
      <c r="A46" s="3234">
        <v>44</v>
      </c>
      <c r="B46" s="3234">
        <v>2</v>
      </c>
      <c r="C46" s="3234"/>
      <c r="D46" s="3235">
        <v>302</v>
      </c>
      <c r="E46" s="3236" t="str">
        <f t="shared" si="0"/>
        <v>2--302</v>
      </c>
      <c r="F46" s="3237">
        <v>139.9</v>
      </c>
      <c r="G46" s="3238">
        <v>110.95</v>
      </c>
      <c r="H46" s="3239" t="s">
        <v>4409</v>
      </c>
      <c r="I46" s="3239" t="s">
        <v>3395</v>
      </c>
      <c r="J46" s="3239">
        <v>4109096.63</v>
      </c>
      <c r="K46" s="3239">
        <v>29371.67</v>
      </c>
      <c r="L46" s="3231">
        <v>4109096</v>
      </c>
      <c r="M46" s="3231">
        <v>29371.67</v>
      </c>
      <c r="N46" s="3230" t="s">
        <v>4404</v>
      </c>
      <c r="O46" s="3240">
        <f t="shared" si="2"/>
        <v>3903641</v>
      </c>
    </row>
    <row r="47" spans="1:15" ht="16.5">
      <c r="A47" s="3234">
        <v>45</v>
      </c>
      <c r="B47" s="3234">
        <v>2</v>
      </c>
      <c r="C47" s="3234"/>
      <c r="D47" s="3235">
        <v>401</v>
      </c>
      <c r="E47" s="3236" t="str">
        <f t="shared" si="0"/>
        <v>2--401</v>
      </c>
      <c r="F47" s="3237">
        <v>140.91999999999999</v>
      </c>
      <c r="G47" s="3238">
        <v>111.76</v>
      </c>
      <c r="H47" s="3239" t="s">
        <v>4408</v>
      </c>
      <c r="I47" s="3239" t="s">
        <v>3395</v>
      </c>
      <c r="J47" s="3239">
        <v>4223607.74</v>
      </c>
      <c r="K47" s="3239">
        <v>29971.67</v>
      </c>
      <c r="L47" s="3231">
        <v>4223607</v>
      </c>
      <c r="M47" s="3231">
        <v>29971.66</v>
      </c>
      <c r="N47" s="3230" t="s">
        <v>4407</v>
      </c>
      <c r="O47" s="3240">
        <v>4016608</v>
      </c>
    </row>
    <row r="48" spans="1:15" ht="16.5">
      <c r="A48" s="3234">
        <v>46</v>
      </c>
      <c r="B48" s="3234">
        <v>2</v>
      </c>
      <c r="C48" s="3234"/>
      <c r="D48" s="3235">
        <v>402</v>
      </c>
      <c r="E48" s="3236" t="str">
        <f t="shared" si="0"/>
        <v>2--402</v>
      </c>
      <c r="F48" s="3237">
        <v>139.9</v>
      </c>
      <c r="G48" s="3238">
        <v>110.95</v>
      </c>
      <c r="H48" s="3239" t="s">
        <v>4409</v>
      </c>
      <c r="I48" s="3239" t="s">
        <v>3395</v>
      </c>
      <c r="J48" s="3239">
        <v>4151066.63</v>
      </c>
      <c r="K48" s="3239">
        <v>29671.67</v>
      </c>
      <c r="L48" s="3231">
        <v>4151066</v>
      </c>
      <c r="M48" s="3231">
        <v>29671.67</v>
      </c>
      <c r="N48" s="3230" t="s">
        <v>4407</v>
      </c>
      <c r="O48" s="3240">
        <f>ROUND(L48*0.95,0)</f>
        <v>3943513</v>
      </c>
    </row>
    <row r="49" spans="1:15" ht="16.5">
      <c r="A49" s="3234">
        <v>47</v>
      </c>
      <c r="B49" s="3234">
        <v>2</v>
      </c>
      <c r="C49" s="3234"/>
      <c r="D49" s="3235">
        <v>701</v>
      </c>
      <c r="E49" s="3241" t="str">
        <f t="shared" si="0"/>
        <v>2--701</v>
      </c>
      <c r="F49" s="3242">
        <v>140.91999999999999</v>
      </c>
      <c r="G49" s="3238">
        <v>111.76</v>
      </c>
      <c r="H49" s="3239" t="s">
        <v>4408</v>
      </c>
      <c r="I49" s="3239" t="s">
        <v>3395</v>
      </c>
      <c r="J49" s="3239">
        <v>4308159.74</v>
      </c>
      <c r="K49" s="3239">
        <v>30571.67</v>
      </c>
      <c r="L49" s="3231">
        <v>4308159</v>
      </c>
      <c r="M49" s="3231">
        <v>30571.66</v>
      </c>
      <c r="N49" s="3230" t="s">
        <v>4407</v>
      </c>
      <c r="O49" s="3240">
        <v>4097016</v>
      </c>
    </row>
    <row r="50" spans="1:15" ht="16.5">
      <c r="A50" s="3234">
        <v>48</v>
      </c>
      <c r="B50" s="3234">
        <v>2</v>
      </c>
      <c r="C50" s="3234"/>
      <c r="D50" s="3235">
        <v>802</v>
      </c>
      <c r="E50" s="3236" t="str">
        <f t="shared" si="0"/>
        <v>2--802</v>
      </c>
      <c r="F50" s="3237">
        <v>139.9</v>
      </c>
      <c r="G50" s="3238">
        <v>110.95</v>
      </c>
      <c r="H50" s="3239" t="s">
        <v>4409</v>
      </c>
      <c r="I50" s="3239" t="s">
        <v>3395</v>
      </c>
      <c r="J50" s="3239">
        <v>4532760</v>
      </c>
      <c r="K50" s="3239">
        <v>32400</v>
      </c>
      <c r="L50" s="3231">
        <v>4532760</v>
      </c>
      <c r="M50" s="3231">
        <v>32400</v>
      </c>
      <c r="N50" s="3230" t="s">
        <v>4404</v>
      </c>
      <c r="O50" s="3240">
        <f t="shared" ref="O50:O55" si="3">ROUND(L50*0.95,0)</f>
        <v>4306122</v>
      </c>
    </row>
    <row r="51" spans="1:15" ht="16.5">
      <c r="A51" s="3234">
        <v>49</v>
      </c>
      <c r="B51" s="3234">
        <v>3</v>
      </c>
      <c r="C51" s="3234"/>
      <c r="D51" s="3235">
        <v>101</v>
      </c>
      <c r="E51" s="3236" t="str">
        <f t="shared" si="0"/>
        <v>3--101</v>
      </c>
      <c r="F51" s="3237">
        <v>114.93</v>
      </c>
      <c r="G51" s="3238">
        <v>93.55</v>
      </c>
      <c r="H51" s="3239" t="s">
        <v>4410</v>
      </c>
      <c r="I51" s="3239" t="s">
        <v>3395</v>
      </c>
      <c r="J51" s="3239">
        <v>3220530.53</v>
      </c>
      <c r="K51" s="3239">
        <v>28021.67</v>
      </c>
      <c r="L51" s="3231">
        <v>3220530</v>
      </c>
      <c r="M51" s="3231">
        <v>28021.67</v>
      </c>
      <c r="N51" s="3230" t="s">
        <v>4404</v>
      </c>
      <c r="O51" s="3240">
        <f t="shared" si="3"/>
        <v>3059504</v>
      </c>
    </row>
    <row r="52" spans="1:15" ht="16.5">
      <c r="A52" s="3234">
        <v>50</v>
      </c>
      <c r="B52" s="3234">
        <v>3</v>
      </c>
      <c r="C52" s="3234"/>
      <c r="D52" s="3235">
        <v>102</v>
      </c>
      <c r="E52" s="3236" t="str">
        <f t="shared" si="0"/>
        <v>3--102</v>
      </c>
      <c r="F52" s="3237">
        <v>131.5</v>
      </c>
      <c r="G52" s="3238">
        <v>107.04</v>
      </c>
      <c r="H52" s="3239" t="s">
        <v>4411</v>
      </c>
      <c r="I52" s="3239" t="s">
        <v>3395</v>
      </c>
      <c r="J52" s="3239">
        <v>3711149.61</v>
      </c>
      <c r="K52" s="3239">
        <v>28221.67</v>
      </c>
      <c r="L52" s="3231">
        <v>3711149</v>
      </c>
      <c r="M52" s="3231">
        <v>28221.67</v>
      </c>
      <c r="N52" s="3230" t="s">
        <v>4404</v>
      </c>
      <c r="O52" s="3240">
        <f t="shared" si="3"/>
        <v>3525592</v>
      </c>
    </row>
    <row r="53" spans="1:15" ht="16.5">
      <c r="A53" s="3234">
        <v>51</v>
      </c>
      <c r="B53" s="3234">
        <v>3</v>
      </c>
      <c r="C53" s="3234"/>
      <c r="D53" s="3235">
        <v>201</v>
      </c>
      <c r="E53" s="3241" t="str">
        <f t="shared" si="0"/>
        <v>3--201</v>
      </c>
      <c r="F53" s="3242">
        <v>114.93</v>
      </c>
      <c r="G53" s="3238">
        <v>93.55</v>
      </c>
      <c r="H53" s="3239" t="s">
        <v>4410</v>
      </c>
      <c r="I53" s="3239" t="s">
        <v>3395</v>
      </c>
      <c r="J53" s="3239">
        <v>3255009.53</v>
      </c>
      <c r="K53" s="3239">
        <v>28321.67</v>
      </c>
      <c r="L53" s="3231">
        <v>3255009</v>
      </c>
      <c r="M53" s="3231">
        <v>28321.67</v>
      </c>
      <c r="N53" s="3230" t="s">
        <v>4407</v>
      </c>
      <c r="O53" s="3240">
        <f t="shared" si="3"/>
        <v>3092259</v>
      </c>
    </row>
    <row r="54" spans="1:15" ht="16.5">
      <c r="A54" s="3234">
        <v>52</v>
      </c>
      <c r="B54" s="3234">
        <v>3</v>
      </c>
      <c r="C54" s="3234"/>
      <c r="D54" s="3235">
        <v>202</v>
      </c>
      <c r="E54" s="3236" t="str">
        <f t="shared" si="0"/>
        <v>3--202</v>
      </c>
      <c r="F54" s="3237">
        <v>131.5</v>
      </c>
      <c r="G54" s="3238">
        <v>107.04</v>
      </c>
      <c r="H54" s="3239" t="s">
        <v>4411</v>
      </c>
      <c r="I54" s="3239" t="s">
        <v>3395</v>
      </c>
      <c r="J54" s="3239">
        <v>3750599.61</v>
      </c>
      <c r="K54" s="3239">
        <v>28521.67</v>
      </c>
      <c r="L54" s="3231">
        <v>3750599</v>
      </c>
      <c r="M54" s="3231">
        <v>28521.67</v>
      </c>
      <c r="N54" s="3230" t="s">
        <v>4404</v>
      </c>
      <c r="O54" s="3240">
        <f t="shared" si="3"/>
        <v>3563069</v>
      </c>
    </row>
    <row r="55" spans="1:15" ht="16.5">
      <c r="A55" s="3234">
        <v>53</v>
      </c>
      <c r="B55" s="3234">
        <v>3</v>
      </c>
      <c r="C55" s="3234"/>
      <c r="D55" s="3235">
        <v>301</v>
      </c>
      <c r="E55" s="3241" t="str">
        <f t="shared" si="0"/>
        <v>3--301</v>
      </c>
      <c r="F55" s="3242">
        <v>114.93</v>
      </c>
      <c r="G55" s="3238">
        <v>93.55</v>
      </c>
      <c r="H55" s="3239" t="s">
        <v>4410</v>
      </c>
      <c r="I55" s="3239" t="s">
        <v>3395</v>
      </c>
      <c r="J55" s="3239">
        <v>3312474.53</v>
      </c>
      <c r="K55" s="3239">
        <v>28821.67</v>
      </c>
      <c r="L55" s="3231">
        <v>3312474</v>
      </c>
      <c r="M55" s="3231">
        <v>28821.67</v>
      </c>
      <c r="N55" s="3230" t="s">
        <v>4407</v>
      </c>
      <c r="O55" s="3240">
        <f t="shared" si="3"/>
        <v>3146850</v>
      </c>
    </row>
    <row r="56" spans="1:15" ht="16.5">
      <c r="A56" s="3234">
        <v>54</v>
      </c>
      <c r="B56" s="3234">
        <v>3</v>
      </c>
      <c r="C56" s="3234"/>
      <c r="D56" s="3235">
        <v>302</v>
      </c>
      <c r="E56" s="3241" t="str">
        <f t="shared" si="0"/>
        <v>3--302</v>
      </c>
      <c r="F56" s="3242">
        <v>131.5</v>
      </c>
      <c r="G56" s="3238">
        <v>107.04</v>
      </c>
      <c r="H56" s="3239" t="s">
        <v>4411</v>
      </c>
      <c r="I56" s="3239" t="s">
        <v>3395</v>
      </c>
      <c r="J56" s="3239">
        <v>3816349.61</v>
      </c>
      <c r="K56" s="3239">
        <v>29021.67</v>
      </c>
      <c r="L56" s="3231">
        <v>3816349</v>
      </c>
      <c r="M56" s="3231">
        <v>29021.67</v>
      </c>
      <c r="N56" s="3230" t="s">
        <v>4407</v>
      </c>
      <c r="O56" s="3240">
        <v>3587368</v>
      </c>
    </row>
    <row r="57" spans="1:15" ht="16.5">
      <c r="A57" s="3234">
        <v>55</v>
      </c>
      <c r="B57" s="3234">
        <v>3</v>
      </c>
      <c r="C57" s="3234"/>
      <c r="D57" s="3235">
        <v>601</v>
      </c>
      <c r="E57" s="3236" t="str">
        <f t="shared" si="0"/>
        <v>3--601</v>
      </c>
      <c r="F57" s="3237">
        <v>114.93</v>
      </c>
      <c r="G57" s="3238">
        <v>93.55</v>
      </c>
      <c r="H57" s="3239" t="s">
        <v>4410</v>
      </c>
      <c r="I57" s="3239" t="s">
        <v>3395</v>
      </c>
      <c r="J57" s="3239">
        <v>3392925.53</v>
      </c>
      <c r="K57" s="3239">
        <v>29521.67</v>
      </c>
      <c r="L57" s="3231">
        <v>3392925</v>
      </c>
      <c r="M57" s="3231">
        <v>29521.67</v>
      </c>
      <c r="N57" s="3230" t="s">
        <v>4407</v>
      </c>
      <c r="O57" s="3240">
        <v>3226638</v>
      </c>
    </row>
    <row r="58" spans="1:15" ht="16.5">
      <c r="A58" s="3234">
        <v>56</v>
      </c>
      <c r="B58" s="3234">
        <v>3</v>
      </c>
      <c r="C58" s="3234"/>
      <c r="D58" s="3235">
        <v>602</v>
      </c>
      <c r="E58" s="3241" t="str">
        <f t="shared" si="0"/>
        <v>3--602</v>
      </c>
      <c r="F58" s="3242">
        <v>131.5</v>
      </c>
      <c r="G58" s="3238">
        <v>107.04</v>
      </c>
      <c r="H58" s="3239" t="s">
        <v>4411</v>
      </c>
      <c r="I58" s="3239" t="s">
        <v>3395</v>
      </c>
      <c r="J58" s="3239">
        <v>3914974.61</v>
      </c>
      <c r="K58" s="3239">
        <v>29771.67</v>
      </c>
      <c r="L58" s="3231">
        <v>3914974</v>
      </c>
      <c r="M58" s="3231">
        <v>29771.67</v>
      </c>
      <c r="N58" s="3230" t="s">
        <v>4407</v>
      </c>
      <c r="O58" s="3240">
        <v>3723101</v>
      </c>
    </row>
    <row r="59" spans="1:15" ht="16.5">
      <c r="A59" s="3234">
        <v>57</v>
      </c>
      <c r="B59" s="3234">
        <v>3</v>
      </c>
      <c r="C59" s="3234"/>
      <c r="D59" s="3235">
        <v>801</v>
      </c>
      <c r="E59" s="3236" t="str">
        <f t="shared" si="0"/>
        <v>3--801</v>
      </c>
      <c r="F59" s="3237">
        <v>114.93</v>
      </c>
      <c r="G59" s="3238">
        <v>93.55</v>
      </c>
      <c r="H59" s="3239" t="s">
        <v>4410</v>
      </c>
      <c r="I59" s="3239" t="s">
        <v>3395</v>
      </c>
      <c r="J59" s="3239">
        <v>3723732</v>
      </c>
      <c r="K59" s="3239">
        <v>32400</v>
      </c>
      <c r="L59" s="3231">
        <v>3723732</v>
      </c>
      <c r="M59" s="3231">
        <v>32400</v>
      </c>
      <c r="N59" s="3230" t="s">
        <v>4404</v>
      </c>
      <c r="O59" s="3240">
        <f>ROUND(L59*0.95,0)</f>
        <v>3537545</v>
      </c>
    </row>
    <row r="60" spans="1:15" ht="16.5">
      <c r="A60" s="3234">
        <v>58</v>
      </c>
      <c r="B60" s="3234">
        <v>3</v>
      </c>
      <c r="C60" s="3234"/>
      <c r="D60" s="3235">
        <v>802</v>
      </c>
      <c r="E60" s="3236" t="str">
        <f t="shared" si="0"/>
        <v>3--802</v>
      </c>
      <c r="F60" s="3237">
        <v>131.5</v>
      </c>
      <c r="G60" s="3238">
        <v>107.04</v>
      </c>
      <c r="H60" s="3239" t="s">
        <v>4411</v>
      </c>
      <c r="I60" s="3239" t="s">
        <v>3395</v>
      </c>
      <c r="J60" s="3239">
        <v>4260600</v>
      </c>
      <c r="K60" s="3239">
        <v>32400</v>
      </c>
      <c r="L60" s="3231">
        <v>4260600</v>
      </c>
      <c r="M60" s="3231">
        <v>32400</v>
      </c>
      <c r="N60" s="3230" t="s">
        <v>4407</v>
      </c>
      <c r="O60" s="3240">
        <v>4260600</v>
      </c>
    </row>
    <row r="61" spans="1:15" ht="16.5">
      <c r="A61" s="3234">
        <v>59</v>
      </c>
      <c r="B61" s="3234">
        <v>4</v>
      </c>
      <c r="C61" s="3234">
        <v>1</v>
      </c>
      <c r="D61" s="3235">
        <v>101</v>
      </c>
      <c r="E61" s="3236" t="str">
        <f t="shared" si="0"/>
        <v>4-1-101</v>
      </c>
      <c r="F61" s="3297">
        <v>114.31</v>
      </c>
      <c r="G61" s="3238">
        <v>93.55</v>
      </c>
      <c r="H61" s="3239" t="s">
        <v>4410</v>
      </c>
      <c r="I61" s="3239" t="s">
        <v>3395</v>
      </c>
      <c r="J61" s="3239">
        <v>3294605.1</v>
      </c>
      <c r="K61" s="3239">
        <v>28821.67</v>
      </c>
      <c r="L61" s="3231">
        <v>3294605</v>
      </c>
      <c r="M61" s="3231">
        <v>28821.67</v>
      </c>
      <c r="N61" s="3230" t="s">
        <v>4404</v>
      </c>
      <c r="O61" s="3240">
        <f t="shared" ref="O61:O66" si="4">ROUND(L61*0.95,0)</f>
        <v>3129875</v>
      </c>
    </row>
    <row r="62" spans="1:15" ht="16.5">
      <c r="A62" s="3234">
        <v>60</v>
      </c>
      <c r="B62" s="3234">
        <v>4</v>
      </c>
      <c r="C62" s="3234">
        <v>1</v>
      </c>
      <c r="D62" s="3235">
        <v>102</v>
      </c>
      <c r="E62" s="3236" t="str">
        <f t="shared" si="0"/>
        <v>4-1-102</v>
      </c>
      <c r="F62" s="3297">
        <v>110.18</v>
      </c>
      <c r="G62" s="3238">
        <v>90.17</v>
      </c>
      <c r="H62" s="3239" t="s">
        <v>4405</v>
      </c>
      <c r="I62" s="3239" t="s">
        <v>3395</v>
      </c>
      <c r="J62" s="3239">
        <v>3148026.6</v>
      </c>
      <c r="K62" s="3239">
        <v>28571.67</v>
      </c>
      <c r="L62" s="3231">
        <v>3148026</v>
      </c>
      <c r="M62" s="3231">
        <v>28571.66</v>
      </c>
      <c r="N62" s="3230" t="s">
        <v>4404</v>
      </c>
      <c r="O62" s="3240">
        <f t="shared" si="4"/>
        <v>2990625</v>
      </c>
    </row>
    <row r="63" spans="1:15" ht="16.5">
      <c r="A63" s="3234">
        <v>61</v>
      </c>
      <c r="B63" s="3234">
        <v>4</v>
      </c>
      <c r="C63" s="3234">
        <v>1</v>
      </c>
      <c r="D63" s="3235">
        <v>201</v>
      </c>
      <c r="E63" s="3236" t="str">
        <f t="shared" si="0"/>
        <v>4-1-201</v>
      </c>
      <c r="F63" s="3297">
        <v>114.31</v>
      </c>
      <c r="G63" s="3238">
        <v>93.55</v>
      </c>
      <c r="H63" s="3239" t="s">
        <v>4410</v>
      </c>
      <c r="I63" s="3239" t="s">
        <v>3395</v>
      </c>
      <c r="J63" s="3239">
        <v>3328898.1</v>
      </c>
      <c r="K63" s="3239">
        <v>29121.67</v>
      </c>
      <c r="L63" s="3231">
        <v>3328898</v>
      </c>
      <c r="M63" s="3231">
        <v>29121.67</v>
      </c>
      <c r="N63" s="3230" t="s">
        <v>4404</v>
      </c>
      <c r="O63" s="3240">
        <f t="shared" si="4"/>
        <v>3162453</v>
      </c>
    </row>
    <row r="64" spans="1:15" ht="16.5">
      <c r="A64" s="3234">
        <v>62</v>
      </c>
      <c r="B64" s="3234">
        <v>4</v>
      </c>
      <c r="C64" s="3234">
        <v>1</v>
      </c>
      <c r="D64" s="3235">
        <v>202</v>
      </c>
      <c r="E64" s="3236" t="str">
        <f t="shared" si="0"/>
        <v>4-1-202</v>
      </c>
      <c r="F64" s="3297">
        <v>110.18</v>
      </c>
      <c r="G64" s="3238">
        <v>90.17</v>
      </c>
      <c r="H64" s="3239" t="s">
        <v>4405</v>
      </c>
      <c r="I64" s="3239" t="s">
        <v>3395</v>
      </c>
      <c r="J64" s="3239">
        <v>3181080.6</v>
      </c>
      <c r="K64" s="3239">
        <v>28871.67</v>
      </c>
      <c r="L64" s="3231">
        <v>3181080</v>
      </c>
      <c r="M64" s="3231">
        <v>28871.66</v>
      </c>
      <c r="N64" s="3230" t="s">
        <v>4404</v>
      </c>
      <c r="O64" s="3240">
        <f t="shared" si="4"/>
        <v>3022026</v>
      </c>
    </row>
    <row r="65" spans="1:15" ht="16.5">
      <c r="A65" s="3234">
        <v>63</v>
      </c>
      <c r="B65" s="3234">
        <v>4</v>
      </c>
      <c r="C65" s="3234">
        <v>1</v>
      </c>
      <c r="D65" s="3235">
        <v>301</v>
      </c>
      <c r="E65" s="3236" t="str">
        <f t="shared" si="0"/>
        <v>4-1-301</v>
      </c>
      <c r="F65" s="3297">
        <v>114.31</v>
      </c>
      <c r="G65" s="3238">
        <v>93.55</v>
      </c>
      <c r="H65" s="3239" t="s">
        <v>4410</v>
      </c>
      <c r="I65" s="3239" t="s">
        <v>3395</v>
      </c>
      <c r="J65" s="3239">
        <v>3386053.1</v>
      </c>
      <c r="K65" s="3239">
        <v>29621.67</v>
      </c>
      <c r="L65" s="3231">
        <v>3386053</v>
      </c>
      <c r="M65" s="3231">
        <v>29621.67</v>
      </c>
      <c r="N65" s="3230" t="s">
        <v>4404</v>
      </c>
      <c r="O65" s="3240">
        <f t="shared" si="4"/>
        <v>3216750</v>
      </c>
    </row>
    <row r="66" spans="1:15" ht="16.5">
      <c r="A66" s="3234">
        <v>64</v>
      </c>
      <c r="B66" s="3234">
        <v>4</v>
      </c>
      <c r="C66" s="3234">
        <v>1</v>
      </c>
      <c r="D66" s="3235">
        <v>302</v>
      </c>
      <c r="E66" s="3236" t="str">
        <f t="shared" si="0"/>
        <v>4-1-302</v>
      </c>
      <c r="F66" s="3297">
        <v>110.18</v>
      </c>
      <c r="G66" s="3238">
        <v>90.17</v>
      </c>
      <c r="H66" s="3239" t="s">
        <v>4405</v>
      </c>
      <c r="I66" s="3239" t="s">
        <v>3395</v>
      </c>
      <c r="J66" s="3239">
        <v>3236170.6</v>
      </c>
      <c r="K66" s="3239">
        <v>29371.67</v>
      </c>
      <c r="L66" s="3231">
        <v>3236170</v>
      </c>
      <c r="M66" s="3231">
        <v>29371.66</v>
      </c>
      <c r="N66" s="3230" t="s">
        <v>4404</v>
      </c>
      <c r="O66" s="3240">
        <f t="shared" si="4"/>
        <v>3074362</v>
      </c>
    </row>
    <row r="67" spans="1:15" ht="16.5">
      <c r="A67" s="3234">
        <v>65</v>
      </c>
      <c r="B67" s="3234">
        <v>4</v>
      </c>
      <c r="C67" s="3234">
        <v>1</v>
      </c>
      <c r="D67" s="3235">
        <v>402</v>
      </c>
      <c r="E67" s="3236" t="str">
        <f t="shared" ref="E67:E130" si="5">CONCATENATE(B67,"-",C67,"-",D67)</f>
        <v>4-1-402</v>
      </c>
      <c r="F67" s="3297">
        <v>110.18</v>
      </c>
      <c r="G67" s="3238">
        <v>90.17</v>
      </c>
      <c r="H67" s="3239" t="s">
        <v>4405</v>
      </c>
      <c r="I67" s="3239" t="s">
        <v>3395</v>
      </c>
      <c r="J67" s="3239">
        <v>3269224.6</v>
      </c>
      <c r="K67" s="3239">
        <v>29671.67</v>
      </c>
      <c r="L67" s="3231">
        <v>3269224</v>
      </c>
      <c r="M67" s="3231">
        <v>29671.66</v>
      </c>
      <c r="N67" s="3230" t="s">
        <v>4407</v>
      </c>
      <c r="O67" s="3240">
        <v>3108999</v>
      </c>
    </row>
    <row r="68" spans="1:15" ht="16.5">
      <c r="A68" s="3234">
        <v>66</v>
      </c>
      <c r="B68" s="3234">
        <v>4</v>
      </c>
      <c r="C68" s="3234">
        <v>1</v>
      </c>
      <c r="D68" s="3235">
        <v>501</v>
      </c>
      <c r="E68" s="3241" t="str">
        <f t="shared" si="5"/>
        <v>4-1-501</v>
      </c>
      <c r="F68" s="3242">
        <v>114.31</v>
      </c>
      <c r="G68" s="3238">
        <v>93.55</v>
      </c>
      <c r="H68" s="3239" t="s">
        <v>4410</v>
      </c>
      <c r="I68" s="3239" t="s">
        <v>3395</v>
      </c>
      <c r="J68" s="3239">
        <v>3443208.1</v>
      </c>
      <c r="K68" s="3239">
        <v>30121.67</v>
      </c>
      <c r="L68" s="3231">
        <v>3443208</v>
      </c>
      <c r="M68" s="3231">
        <v>30121.67</v>
      </c>
      <c r="N68" s="3230" t="s">
        <v>4407</v>
      </c>
      <c r="O68" s="3240">
        <v>3274457</v>
      </c>
    </row>
    <row r="69" spans="1:15" ht="16.5">
      <c r="A69" s="3234">
        <v>67</v>
      </c>
      <c r="B69" s="3234">
        <v>4</v>
      </c>
      <c r="C69" s="3234">
        <v>1</v>
      </c>
      <c r="D69" s="3235">
        <v>601</v>
      </c>
      <c r="E69" s="3241" t="str">
        <f t="shared" si="5"/>
        <v>4-1-601</v>
      </c>
      <c r="F69" s="3242">
        <v>114.31</v>
      </c>
      <c r="G69" s="3238">
        <v>93.55</v>
      </c>
      <c r="H69" s="3239" t="s">
        <v>4410</v>
      </c>
      <c r="I69" s="3239" t="s">
        <v>3395</v>
      </c>
      <c r="J69" s="3239">
        <v>3466070.1</v>
      </c>
      <c r="K69" s="3239">
        <v>30321.67</v>
      </c>
      <c r="L69" s="3231">
        <v>3466070</v>
      </c>
      <c r="M69" s="3231">
        <v>30321.67</v>
      </c>
      <c r="N69" s="3230" t="s">
        <v>4407</v>
      </c>
      <c r="O69" s="3240">
        <v>3296198</v>
      </c>
    </row>
    <row r="70" spans="1:15" ht="16.5">
      <c r="A70" s="3234">
        <v>68</v>
      </c>
      <c r="B70" s="3234">
        <v>4</v>
      </c>
      <c r="C70" s="3234">
        <v>1</v>
      </c>
      <c r="D70" s="3235">
        <v>602</v>
      </c>
      <c r="E70" s="3236" t="str">
        <f t="shared" si="5"/>
        <v>4-1-602</v>
      </c>
      <c r="F70" s="3297">
        <v>110.18</v>
      </c>
      <c r="G70" s="3238">
        <v>90.17</v>
      </c>
      <c r="H70" s="3239" t="s">
        <v>4405</v>
      </c>
      <c r="I70" s="3239" t="s">
        <v>3395</v>
      </c>
      <c r="J70" s="3239">
        <v>3313296.6</v>
      </c>
      <c r="K70" s="3239">
        <v>30071.67</v>
      </c>
      <c r="L70" s="3231">
        <v>3313296</v>
      </c>
      <c r="M70" s="3231">
        <v>30071.66</v>
      </c>
      <c r="N70" s="3230" t="s">
        <v>4407</v>
      </c>
      <c r="O70" s="3240">
        <v>3150912</v>
      </c>
    </row>
    <row r="71" spans="1:15" ht="16.5">
      <c r="A71" s="3234">
        <v>69</v>
      </c>
      <c r="B71" s="3234">
        <v>4</v>
      </c>
      <c r="C71" s="3234">
        <v>1</v>
      </c>
      <c r="D71" s="3235">
        <v>801</v>
      </c>
      <c r="E71" s="3236" t="str">
        <f t="shared" si="5"/>
        <v>4-1-801</v>
      </c>
      <c r="F71" s="3297">
        <v>114.31</v>
      </c>
      <c r="G71" s="3238">
        <v>93.55</v>
      </c>
      <c r="H71" s="3239" t="s">
        <v>4410</v>
      </c>
      <c r="I71" s="3239" t="s">
        <v>3395</v>
      </c>
      <c r="J71" s="3239">
        <v>3703644</v>
      </c>
      <c r="K71" s="3239">
        <v>32400</v>
      </c>
      <c r="L71" s="3231">
        <v>3703644</v>
      </c>
      <c r="M71" s="3231">
        <v>32400</v>
      </c>
      <c r="N71" s="3230" t="s">
        <v>4404</v>
      </c>
      <c r="O71" s="3240">
        <f>ROUND(L71*0.95,0)</f>
        <v>3518462</v>
      </c>
    </row>
    <row r="72" spans="1:15" ht="16.5">
      <c r="A72" s="3234">
        <v>70</v>
      </c>
      <c r="B72" s="3234">
        <v>4</v>
      </c>
      <c r="C72" s="3234">
        <v>2</v>
      </c>
      <c r="D72" s="3235">
        <v>201</v>
      </c>
      <c r="E72" s="3236" t="str">
        <f t="shared" si="5"/>
        <v>4-2-201</v>
      </c>
      <c r="F72" s="3297">
        <v>110.18</v>
      </c>
      <c r="G72" s="3238">
        <v>90.17</v>
      </c>
      <c r="H72" s="3239" t="s">
        <v>4406</v>
      </c>
      <c r="I72" s="3239" t="s">
        <v>3395</v>
      </c>
      <c r="J72" s="3239">
        <v>3181080.6</v>
      </c>
      <c r="K72" s="3239">
        <v>28871.67</v>
      </c>
      <c r="L72" s="3231">
        <v>3181080</v>
      </c>
      <c r="M72" s="3231">
        <v>28871.66</v>
      </c>
      <c r="N72" s="3230" t="s">
        <v>4404</v>
      </c>
      <c r="O72" s="3240">
        <f>ROUND(L72*0.95,0)</f>
        <v>3022026</v>
      </c>
    </row>
    <row r="73" spans="1:15" ht="16.5">
      <c r="A73" s="3234">
        <v>71</v>
      </c>
      <c r="B73" s="3234">
        <v>4</v>
      </c>
      <c r="C73" s="3234">
        <v>2</v>
      </c>
      <c r="D73" s="3235">
        <v>202</v>
      </c>
      <c r="E73" s="3236" t="str">
        <f t="shared" si="5"/>
        <v>4-2-202</v>
      </c>
      <c r="F73" s="3297">
        <v>110.63</v>
      </c>
      <c r="G73" s="3238">
        <v>90.54</v>
      </c>
      <c r="H73" s="3239" t="s">
        <v>4405</v>
      </c>
      <c r="I73" s="3239" t="s">
        <v>3395</v>
      </c>
      <c r="J73" s="3239">
        <v>3199604.35</v>
      </c>
      <c r="K73" s="3239">
        <v>28921.67</v>
      </c>
      <c r="L73" s="3231">
        <v>3199604</v>
      </c>
      <c r="M73" s="3231">
        <v>28921.67</v>
      </c>
      <c r="N73" s="3230" t="s">
        <v>4404</v>
      </c>
      <c r="O73" s="3240">
        <f>ROUND(L73*0.95,0)</f>
        <v>3039624</v>
      </c>
    </row>
    <row r="74" spans="1:15" ht="16.5">
      <c r="A74" s="3234">
        <v>72</v>
      </c>
      <c r="B74" s="3234">
        <v>4</v>
      </c>
      <c r="C74" s="3234">
        <v>2</v>
      </c>
      <c r="D74" s="3235">
        <v>302</v>
      </c>
      <c r="E74" s="3236" t="str">
        <f t="shared" si="5"/>
        <v>4-2-302</v>
      </c>
      <c r="F74" s="3297">
        <v>110.63</v>
      </c>
      <c r="G74" s="3238">
        <v>90.54</v>
      </c>
      <c r="H74" s="3239" t="s">
        <v>4405</v>
      </c>
      <c r="I74" s="3239" t="s">
        <v>3395</v>
      </c>
      <c r="J74" s="3239">
        <v>3254919.35</v>
      </c>
      <c r="K74" s="3239">
        <v>29421.67</v>
      </c>
      <c r="L74" s="3231">
        <v>3254919</v>
      </c>
      <c r="M74" s="3231">
        <v>29421.67</v>
      </c>
      <c r="N74" s="3230" t="s">
        <v>4407</v>
      </c>
      <c r="O74" s="3240">
        <v>3064129</v>
      </c>
    </row>
    <row r="75" spans="1:15" ht="16.5">
      <c r="A75" s="3234">
        <v>73</v>
      </c>
      <c r="B75" s="3234">
        <v>4</v>
      </c>
      <c r="C75" s="3234">
        <v>2</v>
      </c>
      <c r="D75" s="3235">
        <v>401</v>
      </c>
      <c r="E75" s="3241" t="str">
        <f t="shared" si="5"/>
        <v>4-2-401</v>
      </c>
      <c r="F75" s="3242">
        <v>110.18</v>
      </c>
      <c r="G75" s="3238">
        <v>90.17</v>
      </c>
      <c r="H75" s="3239" t="s">
        <v>4406</v>
      </c>
      <c r="I75" s="3239" t="s">
        <v>3395</v>
      </c>
      <c r="J75" s="3239">
        <v>3269224.6</v>
      </c>
      <c r="K75" s="3239">
        <v>29671.67</v>
      </c>
      <c r="L75" s="3231">
        <v>3269224</v>
      </c>
      <c r="M75" s="3231">
        <v>29671.66</v>
      </c>
      <c r="N75" s="3230" t="s">
        <v>4407</v>
      </c>
      <c r="O75" s="3240">
        <v>3108999</v>
      </c>
    </row>
    <row r="76" spans="1:15" ht="16.5">
      <c r="A76" s="3234">
        <v>74</v>
      </c>
      <c r="B76" s="3234">
        <v>4</v>
      </c>
      <c r="C76" s="3234">
        <v>2</v>
      </c>
      <c r="D76" s="3235">
        <v>402</v>
      </c>
      <c r="E76" s="3236" t="str">
        <f t="shared" si="5"/>
        <v>4-2-402</v>
      </c>
      <c r="F76" s="3297">
        <v>110.63</v>
      </c>
      <c r="G76" s="3238">
        <v>90.54</v>
      </c>
      <c r="H76" s="3239" t="s">
        <v>4405</v>
      </c>
      <c r="I76" s="3239" t="s">
        <v>3395</v>
      </c>
      <c r="J76" s="3239">
        <v>3288108.35</v>
      </c>
      <c r="K76" s="3239">
        <v>29721.67</v>
      </c>
      <c r="L76" s="3231">
        <v>3288108</v>
      </c>
      <c r="M76" s="3231">
        <v>29721.67</v>
      </c>
      <c r="N76" s="3230" t="s">
        <v>4407</v>
      </c>
      <c r="O76" s="3240">
        <v>3126958</v>
      </c>
    </row>
    <row r="77" spans="1:15" ht="16.5">
      <c r="A77" s="3234">
        <v>75</v>
      </c>
      <c r="B77" s="3234">
        <v>4</v>
      </c>
      <c r="C77" s="3234">
        <v>2</v>
      </c>
      <c r="D77" s="3235">
        <v>702</v>
      </c>
      <c r="E77" s="3298" t="str">
        <f t="shared" si="5"/>
        <v>4-2-702</v>
      </c>
      <c r="F77" s="3299">
        <v>110.63</v>
      </c>
      <c r="G77" s="3238">
        <v>90.54</v>
      </c>
      <c r="H77" s="3239" t="s">
        <v>4405</v>
      </c>
      <c r="I77" s="3239" t="s">
        <v>3395</v>
      </c>
      <c r="J77" s="3239">
        <v>3354486.35</v>
      </c>
      <c r="K77" s="3239">
        <v>30321.67</v>
      </c>
      <c r="L77" s="3231">
        <v>3354486</v>
      </c>
      <c r="M77" s="3231">
        <v>30321.67</v>
      </c>
      <c r="N77" s="3230" t="s">
        <v>4404</v>
      </c>
      <c r="O77" s="3240">
        <f>ROUND(L77*0.95,0)</f>
        <v>3186762</v>
      </c>
    </row>
    <row r="78" spans="1:15" ht="16.5">
      <c r="A78" s="3234">
        <v>76</v>
      </c>
      <c r="B78" s="3234">
        <v>4</v>
      </c>
      <c r="C78" s="3234">
        <v>2</v>
      </c>
      <c r="D78" s="3235">
        <v>802</v>
      </c>
      <c r="E78" s="3236" t="str">
        <f t="shared" si="5"/>
        <v>4-2-802</v>
      </c>
      <c r="F78" s="3297">
        <v>110.63</v>
      </c>
      <c r="G78" s="3238">
        <v>90.54</v>
      </c>
      <c r="H78" s="3239" t="s">
        <v>4405</v>
      </c>
      <c r="I78" s="3239" t="s">
        <v>3395</v>
      </c>
      <c r="J78" s="3239">
        <v>3584412</v>
      </c>
      <c r="K78" s="3239">
        <v>32400</v>
      </c>
      <c r="L78" s="3231">
        <v>3584412</v>
      </c>
      <c r="M78" s="3231">
        <v>32400</v>
      </c>
      <c r="N78" s="3230" t="s">
        <v>4404</v>
      </c>
      <c r="O78" s="3240">
        <f>ROUND(L78*0.95,0)</f>
        <v>3405191</v>
      </c>
    </row>
    <row r="79" spans="1:15" ht="16.5">
      <c r="A79" s="3234">
        <v>77</v>
      </c>
      <c r="B79" s="3234">
        <v>5</v>
      </c>
      <c r="C79" s="3234">
        <v>1</v>
      </c>
      <c r="D79" s="3235">
        <v>201</v>
      </c>
      <c r="E79" s="3276" t="str">
        <f t="shared" si="5"/>
        <v>5-1-201</v>
      </c>
      <c r="F79" s="3237">
        <v>110.63</v>
      </c>
      <c r="G79" s="3238">
        <v>90.54</v>
      </c>
      <c r="H79" s="3239" t="s">
        <v>4406</v>
      </c>
      <c r="I79" s="3239" t="s">
        <v>3395</v>
      </c>
      <c r="J79" s="3239">
        <v>3277045.35</v>
      </c>
      <c r="K79" s="3239">
        <v>29621.67</v>
      </c>
      <c r="L79" s="3231">
        <v>3277045</v>
      </c>
      <c r="M79" s="3231">
        <v>29621.67</v>
      </c>
      <c r="N79" s="3230" t="s">
        <v>4404</v>
      </c>
      <c r="O79" s="3240">
        <f t="shared" ref="O79:O100" si="6">ROUND(L79*0.95,0)</f>
        <v>3113193</v>
      </c>
    </row>
    <row r="80" spans="1:15" ht="16.5">
      <c r="A80" s="3234">
        <v>78</v>
      </c>
      <c r="B80" s="3234">
        <v>5</v>
      </c>
      <c r="C80" s="3234">
        <v>1</v>
      </c>
      <c r="D80" s="3235">
        <v>202</v>
      </c>
      <c r="E80" s="3276" t="str">
        <f t="shared" si="5"/>
        <v>5-1-202</v>
      </c>
      <c r="F80" s="3237">
        <v>110.18</v>
      </c>
      <c r="G80" s="3238">
        <v>90.17</v>
      </c>
      <c r="H80" s="3239" t="s">
        <v>4405</v>
      </c>
      <c r="I80" s="3239" t="s">
        <v>3395</v>
      </c>
      <c r="J80" s="3239">
        <v>3258206.6</v>
      </c>
      <c r="K80" s="3239">
        <v>29571.67</v>
      </c>
      <c r="L80" s="3231">
        <v>3258206</v>
      </c>
      <c r="M80" s="3231">
        <v>29571.66</v>
      </c>
      <c r="N80" s="3230" t="s">
        <v>4404</v>
      </c>
      <c r="O80" s="3240">
        <f t="shared" si="6"/>
        <v>3095296</v>
      </c>
    </row>
    <row r="81" spans="1:15" ht="16.5">
      <c r="A81" s="3234">
        <v>79</v>
      </c>
      <c r="B81" s="3234">
        <v>5</v>
      </c>
      <c r="C81" s="3234">
        <v>1</v>
      </c>
      <c r="D81" s="3235">
        <v>301</v>
      </c>
      <c r="E81" s="3276" t="str">
        <f t="shared" si="5"/>
        <v>5-1-301</v>
      </c>
      <c r="F81" s="3237">
        <v>110.63</v>
      </c>
      <c r="G81" s="3238">
        <v>90.54</v>
      </c>
      <c r="H81" s="3239" t="s">
        <v>4406</v>
      </c>
      <c r="I81" s="3239" t="s">
        <v>3395</v>
      </c>
      <c r="J81" s="3239">
        <v>3332360.35</v>
      </c>
      <c r="K81" s="3239">
        <v>30121.67</v>
      </c>
      <c r="L81" s="3231">
        <v>3332360</v>
      </c>
      <c r="M81" s="3231">
        <v>30121.67</v>
      </c>
      <c r="N81" s="3230" t="s">
        <v>4404</v>
      </c>
      <c r="O81" s="3240">
        <f t="shared" si="6"/>
        <v>3165742</v>
      </c>
    </row>
    <row r="82" spans="1:15" ht="16.5">
      <c r="A82" s="3234">
        <v>80</v>
      </c>
      <c r="B82" s="3234">
        <v>5</v>
      </c>
      <c r="C82" s="3234">
        <v>1</v>
      </c>
      <c r="D82" s="3235">
        <v>302</v>
      </c>
      <c r="E82" s="3298" t="str">
        <f t="shared" si="5"/>
        <v>5-1-302</v>
      </c>
      <c r="F82" s="3300">
        <v>110.18</v>
      </c>
      <c r="G82" s="3238">
        <v>90.17</v>
      </c>
      <c r="H82" s="3239" t="s">
        <v>4405</v>
      </c>
      <c r="I82" s="3239" t="s">
        <v>3395</v>
      </c>
      <c r="J82" s="3239">
        <v>3313296.6</v>
      </c>
      <c r="K82" s="3239">
        <v>30071.67</v>
      </c>
      <c r="L82" s="3231">
        <v>3313296</v>
      </c>
      <c r="M82" s="3231">
        <v>30071.66</v>
      </c>
      <c r="N82" s="3230" t="s">
        <v>4404</v>
      </c>
      <c r="O82" s="3240">
        <f t="shared" si="6"/>
        <v>3147631</v>
      </c>
    </row>
    <row r="83" spans="1:15" ht="16.5">
      <c r="A83" s="3234">
        <v>81</v>
      </c>
      <c r="B83" s="3234">
        <v>5</v>
      </c>
      <c r="C83" s="3234">
        <v>1</v>
      </c>
      <c r="D83" s="3235">
        <v>401</v>
      </c>
      <c r="E83" s="3276" t="str">
        <f t="shared" si="5"/>
        <v>5-1-401</v>
      </c>
      <c r="F83" s="3237">
        <v>110.63</v>
      </c>
      <c r="G83" s="3238">
        <v>90.54</v>
      </c>
      <c r="H83" s="3239" t="s">
        <v>4406</v>
      </c>
      <c r="I83" s="3239" t="s">
        <v>3395</v>
      </c>
      <c r="J83" s="3239">
        <v>3365549.35</v>
      </c>
      <c r="K83" s="3239">
        <v>30421.67</v>
      </c>
      <c r="L83" s="3231">
        <v>3365549</v>
      </c>
      <c r="M83" s="3231">
        <v>30421.67</v>
      </c>
      <c r="N83" s="3230" t="s">
        <v>4404</v>
      </c>
      <c r="O83" s="3240">
        <f t="shared" si="6"/>
        <v>3197272</v>
      </c>
    </row>
    <row r="84" spans="1:15" ht="16.5">
      <c r="A84" s="3234">
        <v>82</v>
      </c>
      <c r="B84" s="3234">
        <v>5</v>
      </c>
      <c r="C84" s="3234">
        <v>1</v>
      </c>
      <c r="D84" s="3235">
        <v>402</v>
      </c>
      <c r="E84" s="3276" t="str">
        <f t="shared" si="5"/>
        <v>5-1-402</v>
      </c>
      <c r="F84" s="3237">
        <v>110.18</v>
      </c>
      <c r="G84" s="3238">
        <v>90.17</v>
      </c>
      <c r="H84" s="3239" t="s">
        <v>4405</v>
      </c>
      <c r="I84" s="3239" t="s">
        <v>3395</v>
      </c>
      <c r="J84" s="3239">
        <v>3346350.6</v>
      </c>
      <c r="K84" s="3239">
        <v>30371.67</v>
      </c>
      <c r="L84" s="3231">
        <v>3346350</v>
      </c>
      <c r="M84" s="3231">
        <v>30371.66</v>
      </c>
      <c r="N84" s="3230" t="s">
        <v>4404</v>
      </c>
      <c r="O84" s="3240">
        <f t="shared" si="6"/>
        <v>3179033</v>
      </c>
    </row>
    <row r="85" spans="1:15" ht="16.5">
      <c r="A85" s="3234">
        <v>83</v>
      </c>
      <c r="B85" s="3234">
        <v>5</v>
      </c>
      <c r="C85" s="3234">
        <v>1</v>
      </c>
      <c r="D85" s="3235">
        <v>501</v>
      </c>
      <c r="E85" s="3276" t="str">
        <f t="shared" si="5"/>
        <v>5-1-501</v>
      </c>
      <c r="F85" s="3237">
        <v>110.63</v>
      </c>
      <c r="G85" s="3238">
        <v>90.54</v>
      </c>
      <c r="H85" s="3239" t="s">
        <v>4406</v>
      </c>
      <c r="I85" s="3239" t="s">
        <v>3395</v>
      </c>
      <c r="J85" s="3239">
        <v>3387675.35</v>
      </c>
      <c r="K85" s="3239">
        <v>30621.67</v>
      </c>
      <c r="L85" s="3231">
        <v>3387675</v>
      </c>
      <c r="M85" s="3231">
        <v>30621.67</v>
      </c>
      <c r="N85" s="3230" t="s">
        <v>4404</v>
      </c>
      <c r="O85" s="3240">
        <f t="shared" si="6"/>
        <v>3218291</v>
      </c>
    </row>
    <row r="86" spans="1:15" ht="16.5">
      <c r="A86" s="3234">
        <v>84</v>
      </c>
      <c r="B86" s="3234">
        <v>5</v>
      </c>
      <c r="C86" s="3234">
        <v>1</v>
      </c>
      <c r="D86" s="3235">
        <v>601</v>
      </c>
      <c r="E86" s="3276" t="str">
        <f t="shared" si="5"/>
        <v>5-1-601</v>
      </c>
      <c r="F86" s="3237">
        <v>110.63</v>
      </c>
      <c r="G86" s="3238">
        <v>90.54</v>
      </c>
      <c r="H86" s="3239" t="s">
        <v>4406</v>
      </c>
      <c r="I86" s="3239" t="s">
        <v>3395</v>
      </c>
      <c r="J86" s="3239">
        <v>3409801.35</v>
      </c>
      <c r="K86" s="3239">
        <v>30821.67</v>
      </c>
      <c r="L86" s="3231">
        <v>3409801</v>
      </c>
      <c r="M86" s="3231">
        <v>30821.67</v>
      </c>
      <c r="N86" s="3230" t="s">
        <v>4404</v>
      </c>
      <c r="O86" s="3240">
        <f t="shared" si="6"/>
        <v>3239311</v>
      </c>
    </row>
    <row r="87" spans="1:15" ht="16.5">
      <c r="A87" s="3234">
        <v>85</v>
      </c>
      <c r="B87" s="3234">
        <v>5</v>
      </c>
      <c r="C87" s="3234">
        <v>1</v>
      </c>
      <c r="D87" s="3235">
        <v>701</v>
      </c>
      <c r="E87" s="3276" t="str">
        <f t="shared" si="5"/>
        <v>5-1-701</v>
      </c>
      <c r="F87" s="3237">
        <v>110.63</v>
      </c>
      <c r="G87" s="3238">
        <v>90.54</v>
      </c>
      <c r="H87" s="3239" t="s">
        <v>4406</v>
      </c>
      <c r="I87" s="3239" t="s">
        <v>3395</v>
      </c>
      <c r="J87" s="3239">
        <v>3431927.35</v>
      </c>
      <c r="K87" s="3239">
        <v>31021.67</v>
      </c>
      <c r="L87" s="3231">
        <v>3431927</v>
      </c>
      <c r="M87" s="3231">
        <v>31021.67</v>
      </c>
      <c r="N87" s="3230" t="s">
        <v>4404</v>
      </c>
      <c r="O87" s="3240">
        <f t="shared" si="6"/>
        <v>3260331</v>
      </c>
    </row>
    <row r="88" spans="1:15" ht="16.5">
      <c r="A88" s="3234">
        <v>86</v>
      </c>
      <c r="B88" s="3234">
        <v>5</v>
      </c>
      <c r="C88" s="3234">
        <v>1</v>
      </c>
      <c r="D88" s="3235">
        <v>702</v>
      </c>
      <c r="E88" s="3276" t="str">
        <f t="shared" si="5"/>
        <v>5-1-702</v>
      </c>
      <c r="F88" s="3237">
        <v>110.18</v>
      </c>
      <c r="G88" s="3238">
        <v>90.17</v>
      </c>
      <c r="H88" s="3239" t="s">
        <v>4405</v>
      </c>
      <c r="I88" s="3239" t="s">
        <v>3395</v>
      </c>
      <c r="J88" s="3239">
        <v>3412458.6</v>
      </c>
      <c r="K88" s="3239">
        <v>30971.67</v>
      </c>
      <c r="L88" s="3231">
        <v>3412458</v>
      </c>
      <c r="M88" s="3231">
        <v>30971.66</v>
      </c>
      <c r="N88" s="3230" t="s">
        <v>4404</v>
      </c>
      <c r="O88" s="3240">
        <f t="shared" si="6"/>
        <v>3241835</v>
      </c>
    </row>
    <row r="89" spans="1:15" ht="16.5">
      <c r="A89" s="3234">
        <v>87</v>
      </c>
      <c r="B89" s="3234">
        <v>5</v>
      </c>
      <c r="C89" s="3234">
        <v>1</v>
      </c>
      <c r="D89" s="3235">
        <v>801</v>
      </c>
      <c r="E89" s="3276" t="str">
        <f t="shared" si="5"/>
        <v>5-1-801</v>
      </c>
      <c r="F89" s="3237">
        <v>110.63</v>
      </c>
      <c r="G89" s="3238">
        <v>90.54</v>
      </c>
      <c r="H89" s="3239" t="s">
        <v>4406</v>
      </c>
      <c r="I89" s="3239" t="s">
        <v>3395</v>
      </c>
      <c r="J89" s="3239">
        <v>3584412</v>
      </c>
      <c r="K89" s="3239">
        <v>32400</v>
      </c>
      <c r="L89" s="3231">
        <v>3584412</v>
      </c>
      <c r="M89" s="3231">
        <v>32400</v>
      </c>
      <c r="N89" s="3230" t="s">
        <v>4404</v>
      </c>
      <c r="O89" s="3240">
        <f t="shared" si="6"/>
        <v>3405191</v>
      </c>
    </row>
    <row r="90" spans="1:15" ht="16.5">
      <c r="A90" s="3234">
        <v>88</v>
      </c>
      <c r="B90" s="3234">
        <v>5</v>
      </c>
      <c r="C90" s="3234">
        <v>1</v>
      </c>
      <c r="D90" s="3235">
        <v>802</v>
      </c>
      <c r="E90" s="3276" t="str">
        <f t="shared" si="5"/>
        <v>5-1-802</v>
      </c>
      <c r="F90" s="3237">
        <v>110.18</v>
      </c>
      <c r="G90" s="3238">
        <v>90.17</v>
      </c>
      <c r="H90" s="3239" t="s">
        <v>4405</v>
      </c>
      <c r="I90" s="3239" t="s">
        <v>3395</v>
      </c>
      <c r="J90" s="3239">
        <v>3569832</v>
      </c>
      <c r="K90" s="3239">
        <v>32400</v>
      </c>
      <c r="L90" s="3231">
        <v>3569832</v>
      </c>
      <c r="M90" s="3231">
        <v>32400</v>
      </c>
      <c r="N90" s="3230" t="s">
        <v>4404</v>
      </c>
      <c r="O90" s="3240">
        <f t="shared" si="6"/>
        <v>3391340</v>
      </c>
    </row>
    <row r="91" spans="1:15" s="3248" customFormat="1" ht="16.5">
      <c r="A91" s="3234">
        <v>89</v>
      </c>
      <c r="B91" s="3243">
        <v>5</v>
      </c>
      <c r="C91" s="3243">
        <v>2</v>
      </c>
      <c r="D91" s="3244">
        <v>102</v>
      </c>
      <c r="E91" s="3236" t="str">
        <f t="shared" si="5"/>
        <v>5-2-102</v>
      </c>
      <c r="F91" s="3245">
        <v>114.15</v>
      </c>
      <c r="G91" s="3246">
        <v>93.42</v>
      </c>
      <c r="H91" s="3239" t="s">
        <v>409</v>
      </c>
      <c r="I91" s="3247" t="s">
        <v>3395</v>
      </c>
      <c r="J91" s="3247">
        <v>3364191.13</v>
      </c>
      <c r="K91" s="3239">
        <v>29471.67</v>
      </c>
      <c r="L91" s="3231">
        <v>3364191</v>
      </c>
      <c r="M91" s="3231">
        <v>29471.67</v>
      </c>
      <c r="N91" s="3230" t="s">
        <v>4404</v>
      </c>
      <c r="O91" s="3240">
        <f t="shared" si="6"/>
        <v>3195981</v>
      </c>
    </row>
    <row r="92" spans="1:15" ht="16.5">
      <c r="A92" s="3234">
        <v>90</v>
      </c>
      <c r="B92" s="3234">
        <v>5</v>
      </c>
      <c r="C92" s="3234">
        <v>2</v>
      </c>
      <c r="D92" s="3235">
        <v>201</v>
      </c>
      <c r="E92" s="3236" t="str">
        <f t="shared" si="5"/>
        <v>5-2-201</v>
      </c>
      <c r="F92" s="3237">
        <v>110.18</v>
      </c>
      <c r="G92" s="3238">
        <v>90.17</v>
      </c>
      <c r="H92" s="3239" t="s">
        <v>4406</v>
      </c>
      <c r="I92" s="3239" t="s">
        <v>3395</v>
      </c>
      <c r="J92" s="3239">
        <v>3258206.6</v>
      </c>
      <c r="K92" s="3239">
        <v>29571.67</v>
      </c>
      <c r="L92" s="3231">
        <v>3258206</v>
      </c>
      <c r="M92" s="3231">
        <v>29571.66</v>
      </c>
      <c r="N92" s="3230" t="s">
        <v>4404</v>
      </c>
      <c r="O92" s="3240">
        <f t="shared" si="6"/>
        <v>3095296</v>
      </c>
    </row>
    <row r="93" spans="1:15" ht="16.5">
      <c r="A93" s="3234">
        <v>91</v>
      </c>
      <c r="B93" s="3234">
        <v>5</v>
      </c>
      <c r="C93" s="3234">
        <v>2</v>
      </c>
      <c r="D93" s="3235">
        <v>202</v>
      </c>
      <c r="E93" s="3236" t="str">
        <f t="shared" si="5"/>
        <v>5-2-202</v>
      </c>
      <c r="F93" s="3237">
        <v>114.31</v>
      </c>
      <c r="G93" s="3238">
        <v>93.55</v>
      </c>
      <c r="H93" s="3239" t="s">
        <v>409</v>
      </c>
      <c r="I93" s="3239" t="s">
        <v>3395</v>
      </c>
      <c r="J93" s="3239">
        <v>3403199.6</v>
      </c>
      <c r="K93" s="3239">
        <v>29771.67</v>
      </c>
      <c r="L93" s="3231">
        <v>3403199</v>
      </c>
      <c r="M93" s="3231">
        <v>29771.66</v>
      </c>
      <c r="N93" s="3230" t="s">
        <v>4404</v>
      </c>
      <c r="O93" s="3240">
        <f t="shared" si="6"/>
        <v>3233039</v>
      </c>
    </row>
    <row r="94" spans="1:15" ht="16.5">
      <c r="A94" s="3234">
        <v>92</v>
      </c>
      <c r="B94" s="3234">
        <v>5</v>
      </c>
      <c r="C94" s="3234">
        <v>2</v>
      </c>
      <c r="D94" s="3235">
        <v>301</v>
      </c>
      <c r="E94" s="3236" t="str">
        <f t="shared" si="5"/>
        <v>5-2-301</v>
      </c>
      <c r="F94" s="3237">
        <v>110.18</v>
      </c>
      <c r="G94" s="3238">
        <v>90.17</v>
      </c>
      <c r="H94" s="3239" t="s">
        <v>4406</v>
      </c>
      <c r="I94" s="3239" t="s">
        <v>3395</v>
      </c>
      <c r="J94" s="3239">
        <v>3313296.6</v>
      </c>
      <c r="K94" s="3239">
        <v>30071.67</v>
      </c>
      <c r="L94" s="3231">
        <v>3313296</v>
      </c>
      <c r="M94" s="3231">
        <v>30071.66</v>
      </c>
      <c r="N94" s="3230" t="s">
        <v>4404</v>
      </c>
      <c r="O94" s="3240">
        <f t="shared" si="6"/>
        <v>3147631</v>
      </c>
    </row>
    <row r="95" spans="1:15" ht="16.5">
      <c r="A95" s="3234">
        <v>93</v>
      </c>
      <c r="B95" s="3234">
        <v>5</v>
      </c>
      <c r="C95" s="3234">
        <v>2</v>
      </c>
      <c r="D95" s="3235">
        <v>302</v>
      </c>
      <c r="E95" s="3236" t="str">
        <f t="shared" si="5"/>
        <v>5-2-302</v>
      </c>
      <c r="F95" s="3237">
        <v>114.31</v>
      </c>
      <c r="G95" s="3238">
        <v>93.55</v>
      </c>
      <c r="H95" s="3239" t="s">
        <v>409</v>
      </c>
      <c r="I95" s="3239" t="s">
        <v>3395</v>
      </c>
      <c r="J95" s="3239">
        <v>3460354.6</v>
      </c>
      <c r="K95" s="3239">
        <v>30271.67</v>
      </c>
      <c r="L95" s="3231">
        <v>3460354</v>
      </c>
      <c r="M95" s="3231">
        <v>30271.66</v>
      </c>
      <c r="N95" s="3230" t="s">
        <v>4404</v>
      </c>
      <c r="O95" s="3240">
        <f t="shared" si="6"/>
        <v>3287336</v>
      </c>
    </row>
    <row r="96" spans="1:15" ht="16.5">
      <c r="A96" s="3234">
        <v>94</v>
      </c>
      <c r="B96" s="3234">
        <v>5</v>
      </c>
      <c r="C96" s="3234">
        <v>2</v>
      </c>
      <c r="D96" s="3235">
        <v>401</v>
      </c>
      <c r="E96" s="3249" t="str">
        <f t="shared" si="5"/>
        <v>5-2-401</v>
      </c>
      <c r="F96" s="3250">
        <v>110.18</v>
      </c>
      <c r="G96" s="3251">
        <v>90.17</v>
      </c>
      <c r="H96" s="3252" t="s">
        <v>4406</v>
      </c>
      <c r="I96" s="3252" t="s">
        <v>3395</v>
      </c>
      <c r="J96" s="3252">
        <v>3346350.6</v>
      </c>
      <c r="K96" s="3252">
        <v>30371.67</v>
      </c>
      <c r="L96" s="3253">
        <v>3346350</v>
      </c>
      <c r="M96" s="3253">
        <v>30371.66</v>
      </c>
      <c r="N96" s="3254" t="s">
        <v>4404</v>
      </c>
      <c r="O96" s="3240">
        <f t="shared" si="6"/>
        <v>3179033</v>
      </c>
    </row>
    <row r="97" spans="1:15" ht="16.5">
      <c r="A97" s="3234">
        <v>95</v>
      </c>
      <c r="B97" s="3234">
        <v>5</v>
      </c>
      <c r="C97" s="3234">
        <v>2</v>
      </c>
      <c r="D97" s="3235">
        <v>402</v>
      </c>
      <c r="E97" s="3236" t="str">
        <f t="shared" si="5"/>
        <v>5-2-402</v>
      </c>
      <c r="F97" s="3237">
        <v>114.31</v>
      </c>
      <c r="G97" s="3238">
        <v>93.55</v>
      </c>
      <c r="H97" s="3239" t="s">
        <v>409</v>
      </c>
      <c r="I97" s="3239" t="s">
        <v>3395</v>
      </c>
      <c r="J97" s="3239">
        <v>3500363.1</v>
      </c>
      <c r="K97" s="3239">
        <v>30621.67</v>
      </c>
      <c r="L97" s="3231">
        <v>3500363</v>
      </c>
      <c r="M97" s="3231">
        <v>30621.67</v>
      </c>
      <c r="N97" s="3230" t="s">
        <v>4404</v>
      </c>
      <c r="O97" s="3240">
        <f t="shared" si="6"/>
        <v>3325345</v>
      </c>
    </row>
    <row r="98" spans="1:15" ht="16.5">
      <c r="A98" s="3234">
        <v>96</v>
      </c>
      <c r="B98" s="3234">
        <v>5</v>
      </c>
      <c r="C98" s="3234">
        <v>2</v>
      </c>
      <c r="D98" s="3235">
        <v>501</v>
      </c>
      <c r="E98" s="3236" t="str">
        <f t="shared" si="5"/>
        <v>5-2-501</v>
      </c>
      <c r="F98" s="3237">
        <v>110.18</v>
      </c>
      <c r="G98" s="3238">
        <v>90.17</v>
      </c>
      <c r="H98" s="3239" t="s">
        <v>4406</v>
      </c>
      <c r="I98" s="3239" t="s">
        <v>3395</v>
      </c>
      <c r="J98" s="3239">
        <v>3368386.6</v>
      </c>
      <c r="K98" s="3239">
        <v>30571.67</v>
      </c>
      <c r="L98" s="3231">
        <v>3368386</v>
      </c>
      <c r="M98" s="3231">
        <v>30571.66</v>
      </c>
      <c r="N98" s="3230" t="s">
        <v>4404</v>
      </c>
      <c r="O98" s="3240">
        <f t="shared" si="6"/>
        <v>3199967</v>
      </c>
    </row>
    <row r="99" spans="1:15" ht="16.5">
      <c r="A99" s="3234">
        <v>97</v>
      </c>
      <c r="B99" s="3234">
        <v>5</v>
      </c>
      <c r="C99" s="3234">
        <v>2</v>
      </c>
      <c r="D99" s="3235">
        <v>502</v>
      </c>
      <c r="E99" s="3236" t="str">
        <f t="shared" si="5"/>
        <v>5-2-502</v>
      </c>
      <c r="F99" s="3237">
        <v>114.31</v>
      </c>
      <c r="G99" s="3238">
        <v>93.55</v>
      </c>
      <c r="H99" s="3239" t="s">
        <v>409</v>
      </c>
      <c r="I99" s="3239" t="s">
        <v>3395</v>
      </c>
      <c r="J99" s="3239">
        <v>3523225.1</v>
      </c>
      <c r="K99" s="3239">
        <v>30821.67</v>
      </c>
      <c r="L99" s="3231">
        <v>3523225</v>
      </c>
      <c r="M99" s="3231">
        <v>30821.67</v>
      </c>
      <c r="N99" s="3230" t="s">
        <v>4404</v>
      </c>
      <c r="O99" s="3240">
        <f t="shared" si="6"/>
        <v>3347064</v>
      </c>
    </row>
    <row r="100" spans="1:15" ht="16.5">
      <c r="A100" s="3234">
        <v>98</v>
      </c>
      <c r="B100" s="3234">
        <v>5</v>
      </c>
      <c r="C100" s="3234">
        <v>2</v>
      </c>
      <c r="D100" s="3235">
        <v>601</v>
      </c>
      <c r="E100" s="3236" t="str">
        <f t="shared" si="5"/>
        <v>5-2-601</v>
      </c>
      <c r="F100" s="3237">
        <v>110.18</v>
      </c>
      <c r="G100" s="3238">
        <v>90.17</v>
      </c>
      <c r="H100" s="3239" t="s">
        <v>4406</v>
      </c>
      <c r="I100" s="3239" t="s">
        <v>3395</v>
      </c>
      <c r="J100" s="3239">
        <v>3390422.6</v>
      </c>
      <c r="K100" s="3239">
        <v>30771.67</v>
      </c>
      <c r="L100" s="3231">
        <v>3390422</v>
      </c>
      <c r="M100" s="3231">
        <v>30771.66</v>
      </c>
      <c r="N100" s="3230" t="s">
        <v>4404</v>
      </c>
      <c r="O100" s="3240">
        <f t="shared" si="6"/>
        <v>3220901</v>
      </c>
    </row>
    <row r="101" spans="1:15" ht="16.5">
      <c r="A101" s="3234">
        <v>99</v>
      </c>
      <c r="B101" s="3234">
        <v>5</v>
      </c>
      <c r="C101" s="3234">
        <v>2</v>
      </c>
      <c r="D101" s="3235">
        <v>602</v>
      </c>
      <c r="E101" s="3236" t="str">
        <f t="shared" si="5"/>
        <v>5-2-602</v>
      </c>
      <c r="F101" s="3237">
        <v>114.31</v>
      </c>
      <c r="G101" s="3238">
        <v>93.55</v>
      </c>
      <c r="H101" s="3239" t="s">
        <v>409</v>
      </c>
      <c r="I101" s="3239" t="s">
        <v>3395</v>
      </c>
      <c r="J101" s="3239">
        <v>3546087.1</v>
      </c>
      <c r="K101" s="3239">
        <v>31021.67</v>
      </c>
      <c r="L101" s="3231">
        <v>3546087</v>
      </c>
      <c r="M101" s="3231">
        <v>31021.67</v>
      </c>
      <c r="N101" s="3230" t="s">
        <v>4407</v>
      </c>
      <c r="O101" s="3240">
        <v>3372293</v>
      </c>
    </row>
    <row r="102" spans="1:15" ht="16.5">
      <c r="A102" s="3234">
        <v>100</v>
      </c>
      <c r="B102" s="3234">
        <v>5</v>
      </c>
      <c r="C102" s="3234">
        <v>2</v>
      </c>
      <c r="D102" s="3235">
        <v>701</v>
      </c>
      <c r="E102" s="3236" t="str">
        <f t="shared" si="5"/>
        <v>5-2-701</v>
      </c>
      <c r="F102" s="3237">
        <v>110.18</v>
      </c>
      <c r="G102" s="3238">
        <v>90.17</v>
      </c>
      <c r="H102" s="3239" t="s">
        <v>4406</v>
      </c>
      <c r="I102" s="3239" t="s">
        <v>3395</v>
      </c>
      <c r="J102" s="3239">
        <v>3412458.6</v>
      </c>
      <c r="K102" s="3239">
        <v>30971.67</v>
      </c>
      <c r="L102" s="3231">
        <v>3412458</v>
      </c>
      <c r="M102" s="3231">
        <v>30971.66</v>
      </c>
      <c r="N102" s="3230" t="s">
        <v>4404</v>
      </c>
      <c r="O102" s="3240">
        <f>ROUND(L102*0.95,0)</f>
        <v>3241835</v>
      </c>
    </row>
    <row r="103" spans="1:15" ht="16.5">
      <c r="A103" s="3234">
        <v>101</v>
      </c>
      <c r="B103" s="3234">
        <v>5</v>
      </c>
      <c r="C103" s="3234">
        <v>2</v>
      </c>
      <c r="D103" s="3235">
        <v>702</v>
      </c>
      <c r="E103" s="3236" t="str">
        <f t="shared" si="5"/>
        <v>5-2-702</v>
      </c>
      <c r="F103" s="3237">
        <v>114.31</v>
      </c>
      <c r="G103" s="3238">
        <v>93.55</v>
      </c>
      <c r="H103" s="3239" t="s">
        <v>409</v>
      </c>
      <c r="I103" s="3239" t="s">
        <v>3395</v>
      </c>
      <c r="J103" s="3239">
        <v>3568949.1</v>
      </c>
      <c r="K103" s="3239">
        <v>31221.67</v>
      </c>
      <c r="L103" s="3231">
        <v>3568949</v>
      </c>
      <c r="M103" s="3231">
        <v>31221.67</v>
      </c>
      <c r="N103" s="3230" t="s">
        <v>4404</v>
      </c>
      <c r="O103" s="3240">
        <f>ROUND(L103*0.95,0)</f>
        <v>3390502</v>
      </c>
    </row>
    <row r="104" spans="1:15" ht="16.5">
      <c r="A104" s="3234">
        <v>102</v>
      </c>
      <c r="B104" s="3234">
        <v>5</v>
      </c>
      <c r="C104" s="3234">
        <v>2</v>
      </c>
      <c r="D104" s="3235">
        <v>801</v>
      </c>
      <c r="E104" s="3236" t="str">
        <f t="shared" si="5"/>
        <v>5-2-801</v>
      </c>
      <c r="F104" s="3237">
        <v>110.18</v>
      </c>
      <c r="G104" s="3238">
        <v>90.17</v>
      </c>
      <c r="H104" s="3239" t="s">
        <v>4406</v>
      </c>
      <c r="I104" s="3239" t="s">
        <v>3395</v>
      </c>
      <c r="J104" s="3239">
        <v>3569832</v>
      </c>
      <c r="K104" s="3239">
        <v>32400</v>
      </c>
      <c r="L104" s="3231">
        <v>3569832</v>
      </c>
      <c r="M104" s="3231">
        <v>32400</v>
      </c>
      <c r="N104" s="3230" t="s">
        <v>4404</v>
      </c>
      <c r="O104" s="3240">
        <f>ROUND(L104*0.95,0)</f>
        <v>3391340</v>
      </c>
    </row>
    <row r="105" spans="1:15" ht="16.5">
      <c r="A105" s="3234">
        <v>103</v>
      </c>
      <c r="B105" s="3234">
        <v>5</v>
      </c>
      <c r="C105" s="3234">
        <v>2</v>
      </c>
      <c r="D105" s="3235">
        <v>802</v>
      </c>
      <c r="E105" s="3236" t="str">
        <f t="shared" si="5"/>
        <v>5-2-802</v>
      </c>
      <c r="F105" s="3237">
        <v>114.31</v>
      </c>
      <c r="G105" s="3238">
        <v>93.55</v>
      </c>
      <c r="H105" s="3239" t="s">
        <v>409</v>
      </c>
      <c r="I105" s="3239" t="s">
        <v>3395</v>
      </c>
      <c r="J105" s="3239">
        <v>3703644</v>
      </c>
      <c r="K105" s="3239">
        <v>32400</v>
      </c>
      <c r="L105" s="3231">
        <v>3703644</v>
      </c>
      <c r="M105" s="3231">
        <v>32400</v>
      </c>
      <c r="N105" s="3230" t="s">
        <v>4404</v>
      </c>
      <c r="O105" s="3240">
        <f>ROUND(L105*0.95,0)</f>
        <v>3518462</v>
      </c>
    </row>
    <row r="106" spans="1:15" ht="16.5">
      <c r="A106" s="3234">
        <v>104</v>
      </c>
      <c r="B106" s="3234">
        <v>6</v>
      </c>
      <c r="C106" s="3234"/>
      <c r="D106" s="3235">
        <v>101</v>
      </c>
      <c r="E106" s="3236" t="str">
        <f t="shared" si="5"/>
        <v>6--101</v>
      </c>
      <c r="F106" s="3237">
        <v>141.16999999999999</v>
      </c>
      <c r="G106" s="3238">
        <v>111.76</v>
      </c>
      <c r="H106" s="3239" t="s">
        <v>4408</v>
      </c>
      <c r="I106" s="3239" t="s">
        <v>3395</v>
      </c>
      <c r="J106" s="3239">
        <v>4202866.6500000004</v>
      </c>
      <c r="K106" s="3239">
        <v>29771.67</v>
      </c>
      <c r="L106" s="3231">
        <v>4202866</v>
      </c>
      <c r="M106" s="3231">
        <v>29771.67</v>
      </c>
      <c r="N106" s="3230" t="s">
        <v>4404</v>
      </c>
      <c r="O106" s="3240">
        <f t="shared" ref="O106:O113" si="7">ROUND(L106*0.95,0)</f>
        <v>3992723</v>
      </c>
    </row>
    <row r="107" spans="1:15" ht="16.5">
      <c r="A107" s="3234">
        <v>105</v>
      </c>
      <c r="B107" s="3234">
        <v>6</v>
      </c>
      <c r="C107" s="3234"/>
      <c r="D107" s="3235">
        <v>102</v>
      </c>
      <c r="E107" s="3236" t="str">
        <f t="shared" si="5"/>
        <v>6--102</v>
      </c>
      <c r="F107" s="3237">
        <v>140.15</v>
      </c>
      <c r="G107" s="3238">
        <v>110.95</v>
      </c>
      <c r="H107" s="3239" t="s">
        <v>4409</v>
      </c>
      <c r="I107" s="3239" t="s">
        <v>3395</v>
      </c>
      <c r="J107" s="3239">
        <v>4130454.55</v>
      </c>
      <c r="K107" s="3239">
        <v>29471.67</v>
      </c>
      <c r="L107" s="3231">
        <v>4130454</v>
      </c>
      <c r="M107" s="3231">
        <v>29471.67</v>
      </c>
      <c r="N107" s="3230" t="s">
        <v>4404</v>
      </c>
      <c r="O107" s="3240">
        <f t="shared" si="7"/>
        <v>3923931</v>
      </c>
    </row>
    <row r="108" spans="1:15" ht="16.5">
      <c r="A108" s="3234">
        <v>106</v>
      </c>
      <c r="B108" s="3234">
        <v>6</v>
      </c>
      <c r="C108" s="3234"/>
      <c r="D108" s="3235">
        <v>201</v>
      </c>
      <c r="E108" s="3236" t="str">
        <f t="shared" si="5"/>
        <v>6--201</v>
      </c>
      <c r="F108" s="3237">
        <v>141.16999999999999</v>
      </c>
      <c r="G108" s="3238">
        <v>111.76</v>
      </c>
      <c r="H108" s="3239" t="s">
        <v>4408</v>
      </c>
      <c r="I108" s="3239" t="s">
        <v>3395</v>
      </c>
      <c r="J108" s="3239">
        <v>4245217.6500000004</v>
      </c>
      <c r="K108" s="3239">
        <v>30071.67</v>
      </c>
      <c r="L108" s="3231">
        <v>4245217</v>
      </c>
      <c r="M108" s="3231">
        <v>30071.67</v>
      </c>
      <c r="N108" s="3230" t="s">
        <v>4404</v>
      </c>
      <c r="O108" s="3240">
        <f t="shared" si="7"/>
        <v>4032956</v>
      </c>
    </row>
    <row r="109" spans="1:15" ht="16.5">
      <c r="A109" s="3234">
        <v>107</v>
      </c>
      <c r="B109" s="3234">
        <v>6</v>
      </c>
      <c r="C109" s="3234"/>
      <c r="D109" s="3235">
        <v>202</v>
      </c>
      <c r="E109" s="3236" t="str">
        <f t="shared" si="5"/>
        <v>6--202</v>
      </c>
      <c r="F109" s="3237">
        <v>140.15</v>
      </c>
      <c r="G109" s="3238">
        <v>110.95</v>
      </c>
      <c r="H109" s="3239" t="s">
        <v>4409</v>
      </c>
      <c r="I109" s="3239" t="s">
        <v>3395</v>
      </c>
      <c r="J109" s="3239">
        <v>4172499.55</v>
      </c>
      <c r="K109" s="3239">
        <v>29771.67</v>
      </c>
      <c r="L109" s="3231">
        <v>4172499</v>
      </c>
      <c r="M109" s="3231">
        <v>29771.67</v>
      </c>
      <c r="N109" s="3230" t="s">
        <v>4404</v>
      </c>
      <c r="O109" s="3240">
        <f t="shared" si="7"/>
        <v>3963874</v>
      </c>
    </row>
    <row r="110" spans="1:15" ht="16.5">
      <c r="A110" s="3234">
        <v>108</v>
      </c>
      <c r="B110" s="3234">
        <v>6</v>
      </c>
      <c r="C110" s="3234"/>
      <c r="D110" s="3235">
        <v>301</v>
      </c>
      <c r="E110" s="3236" t="str">
        <f t="shared" si="5"/>
        <v>6--301</v>
      </c>
      <c r="F110" s="3237">
        <v>141.16999999999999</v>
      </c>
      <c r="G110" s="3238">
        <v>111.76</v>
      </c>
      <c r="H110" s="3239" t="s">
        <v>4408</v>
      </c>
      <c r="I110" s="3239" t="s">
        <v>3395</v>
      </c>
      <c r="J110" s="3239">
        <v>4315802.6500000004</v>
      </c>
      <c r="K110" s="3239">
        <v>30571.67</v>
      </c>
      <c r="L110" s="3231">
        <v>4315802</v>
      </c>
      <c r="M110" s="3231">
        <v>30571.67</v>
      </c>
      <c r="N110" s="3230" t="s">
        <v>4404</v>
      </c>
      <c r="O110" s="3240">
        <f t="shared" si="7"/>
        <v>4100012</v>
      </c>
    </row>
    <row r="111" spans="1:15" ht="16.5">
      <c r="A111" s="3234">
        <v>109</v>
      </c>
      <c r="B111" s="3234">
        <v>6</v>
      </c>
      <c r="C111" s="3234"/>
      <c r="D111" s="3235">
        <v>302</v>
      </c>
      <c r="E111" s="3236" t="str">
        <f t="shared" si="5"/>
        <v>6--302</v>
      </c>
      <c r="F111" s="3237">
        <v>140.15</v>
      </c>
      <c r="G111" s="3238">
        <v>110.95</v>
      </c>
      <c r="H111" s="3239" t="s">
        <v>4409</v>
      </c>
      <c r="I111" s="3239" t="s">
        <v>3395</v>
      </c>
      <c r="J111" s="3239">
        <v>4242574.55</v>
      </c>
      <c r="K111" s="3239">
        <v>30271.67</v>
      </c>
      <c r="L111" s="3231">
        <v>4242574</v>
      </c>
      <c r="M111" s="3231">
        <v>30271.67</v>
      </c>
      <c r="N111" s="3230" t="s">
        <v>4404</v>
      </c>
      <c r="O111" s="3240">
        <f t="shared" si="7"/>
        <v>4030445</v>
      </c>
    </row>
    <row r="112" spans="1:15" ht="16.5">
      <c r="A112" s="3234">
        <v>110</v>
      </c>
      <c r="B112" s="3234">
        <v>6</v>
      </c>
      <c r="C112" s="3234"/>
      <c r="D112" s="3235">
        <v>401</v>
      </c>
      <c r="E112" s="3236" t="str">
        <f t="shared" si="5"/>
        <v>6--401</v>
      </c>
      <c r="F112" s="3237">
        <v>141.16999999999999</v>
      </c>
      <c r="G112" s="3238">
        <v>111.76</v>
      </c>
      <c r="H112" s="3239" t="s">
        <v>4408</v>
      </c>
      <c r="I112" s="3239" t="s">
        <v>3395</v>
      </c>
      <c r="J112" s="3239">
        <v>4358153.6500000004</v>
      </c>
      <c r="K112" s="3239">
        <v>30871.67</v>
      </c>
      <c r="L112" s="3231">
        <v>4358153</v>
      </c>
      <c r="M112" s="3231">
        <v>30871.67</v>
      </c>
      <c r="N112" s="3230" t="s">
        <v>4404</v>
      </c>
      <c r="O112" s="3240">
        <f t="shared" si="7"/>
        <v>4140245</v>
      </c>
    </row>
    <row r="113" spans="1:15" ht="16.5">
      <c r="A113" s="3234">
        <v>111</v>
      </c>
      <c r="B113" s="3234">
        <v>6</v>
      </c>
      <c r="C113" s="3234"/>
      <c r="D113" s="3235">
        <v>402</v>
      </c>
      <c r="E113" s="3236" t="str">
        <f t="shared" si="5"/>
        <v>6--402</v>
      </c>
      <c r="F113" s="3237">
        <v>140.15</v>
      </c>
      <c r="G113" s="3238">
        <v>110.95</v>
      </c>
      <c r="H113" s="3239" t="s">
        <v>4409</v>
      </c>
      <c r="I113" s="3239" t="s">
        <v>3395</v>
      </c>
      <c r="J113" s="3239">
        <v>4284619.55</v>
      </c>
      <c r="K113" s="3239">
        <v>30571.67</v>
      </c>
      <c r="L113" s="3231">
        <v>4284619</v>
      </c>
      <c r="M113" s="3231">
        <v>30571.67</v>
      </c>
      <c r="N113" s="3230" t="s">
        <v>4404</v>
      </c>
      <c r="O113" s="3240">
        <f t="shared" si="7"/>
        <v>4070388</v>
      </c>
    </row>
    <row r="114" spans="1:15" ht="16.5">
      <c r="A114" s="3234">
        <v>112</v>
      </c>
      <c r="B114" s="3234">
        <v>6</v>
      </c>
      <c r="C114" s="3234"/>
      <c r="D114" s="3235">
        <v>601</v>
      </c>
      <c r="E114" s="3236" t="str">
        <f t="shared" si="5"/>
        <v>6--601</v>
      </c>
      <c r="F114" s="3237">
        <v>141.16999999999999</v>
      </c>
      <c r="G114" s="3238">
        <v>111.76</v>
      </c>
      <c r="H114" s="3239" t="s">
        <v>4408</v>
      </c>
      <c r="I114" s="3239" t="s">
        <v>3395</v>
      </c>
      <c r="J114" s="3239">
        <v>4414621.6500000004</v>
      </c>
      <c r="K114" s="3239">
        <v>31271.67</v>
      </c>
      <c r="L114" s="3231">
        <v>4414621</v>
      </c>
      <c r="M114" s="3231">
        <v>31271.67</v>
      </c>
      <c r="N114" s="3230" t="s">
        <v>4407</v>
      </c>
      <c r="O114" s="3240">
        <v>4198260</v>
      </c>
    </row>
    <row r="115" spans="1:15" ht="16.5">
      <c r="A115" s="3234">
        <v>113</v>
      </c>
      <c r="B115" s="3234">
        <v>6</v>
      </c>
      <c r="C115" s="3234"/>
      <c r="D115" s="3235">
        <v>602</v>
      </c>
      <c r="E115" s="3236" t="str">
        <f t="shared" si="5"/>
        <v>6--602</v>
      </c>
      <c r="F115" s="3237">
        <v>140.15</v>
      </c>
      <c r="G115" s="3238">
        <v>110.95</v>
      </c>
      <c r="H115" s="3239" t="s">
        <v>4409</v>
      </c>
      <c r="I115" s="3239" t="s">
        <v>3395</v>
      </c>
      <c r="J115" s="3239">
        <v>4340679.55</v>
      </c>
      <c r="K115" s="3239">
        <v>30971.67</v>
      </c>
      <c r="L115" s="3231">
        <v>4340679</v>
      </c>
      <c r="M115" s="3231">
        <v>30971.67</v>
      </c>
      <c r="N115" s="3230" t="s">
        <v>4407</v>
      </c>
      <c r="O115" s="3240">
        <v>4127943</v>
      </c>
    </row>
    <row r="116" spans="1:15" ht="16.5">
      <c r="A116" s="3234">
        <v>114</v>
      </c>
      <c r="B116" s="3234">
        <v>6</v>
      </c>
      <c r="C116" s="3234"/>
      <c r="D116" s="3235">
        <v>701</v>
      </c>
      <c r="E116" s="3241" t="str">
        <f t="shared" si="5"/>
        <v>6--701</v>
      </c>
      <c r="F116" s="3242">
        <v>141.16999999999999</v>
      </c>
      <c r="G116" s="3238">
        <v>111.76</v>
      </c>
      <c r="H116" s="3239" t="s">
        <v>4408</v>
      </c>
      <c r="I116" s="3239" t="s">
        <v>3395</v>
      </c>
      <c r="J116" s="3239">
        <v>4442855.6500000004</v>
      </c>
      <c r="K116" s="3239">
        <v>31471.67</v>
      </c>
      <c r="L116" s="3231">
        <v>4442855</v>
      </c>
      <c r="M116" s="3231">
        <v>31471.67</v>
      </c>
      <c r="N116" s="3230" t="s">
        <v>4407</v>
      </c>
      <c r="O116" s="3240">
        <v>4265141</v>
      </c>
    </row>
    <row r="117" spans="1:15" ht="16.5">
      <c r="A117" s="3234">
        <v>115</v>
      </c>
      <c r="B117" s="3234">
        <v>6</v>
      </c>
      <c r="C117" s="3234"/>
      <c r="D117" s="3235">
        <v>702</v>
      </c>
      <c r="E117" s="3236" t="str">
        <f t="shared" si="5"/>
        <v>6--702</v>
      </c>
      <c r="F117" s="3237">
        <v>140.15</v>
      </c>
      <c r="G117" s="3238">
        <v>110.95</v>
      </c>
      <c r="H117" s="3239" t="s">
        <v>4409</v>
      </c>
      <c r="I117" s="3239" t="s">
        <v>3395</v>
      </c>
      <c r="J117" s="3239">
        <v>4368709.55</v>
      </c>
      <c r="K117" s="3239">
        <v>31171.67</v>
      </c>
      <c r="L117" s="3231">
        <v>4368709</v>
      </c>
      <c r="M117" s="3231">
        <v>31171.67</v>
      </c>
      <c r="N117" s="3230" t="s">
        <v>4404</v>
      </c>
      <c r="O117" s="3240">
        <f>ROUND(L117*0.95,0)</f>
        <v>4150274</v>
      </c>
    </row>
    <row r="118" spans="1:15" ht="16.5">
      <c r="A118" s="3234">
        <v>116</v>
      </c>
      <c r="B118" s="3234">
        <v>6</v>
      </c>
      <c r="C118" s="3234"/>
      <c r="D118" s="3235">
        <v>801</v>
      </c>
      <c r="E118" s="3236" t="str">
        <f t="shared" si="5"/>
        <v>6--801</v>
      </c>
      <c r="F118" s="3237">
        <v>141.16999999999999</v>
      </c>
      <c r="G118" s="3238">
        <v>111.76</v>
      </c>
      <c r="H118" s="3239" t="s">
        <v>4408</v>
      </c>
      <c r="I118" s="3239" t="s">
        <v>3395</v>
      </c>
      <c r="J118" s="3239">
        <v>4573908</v>
      </c>
      <c r="K118" s="3239">
        <v>32400</v>
      </c>
      <c r="L118" s="3231">
        <v>4573908</v>
      </c>
      <c r="M118" s="3231">
        <v>32400</v>
      </c>
      <c r="N118" s="3230" t="s">
        <v>4407</v>
      </c>
      <c r="O118" s="3240">
        <v>4573908</v>
      </c>
    </row>
    <row r="119" spans="1:15" ht="16.5">
      <c r="A119" s="3234">
        <v>117</v>
      </c>
      <c r="B119" s="3234">
        <v>6</v>
      </c>
      <c r="C119" s="3234"/>
      <c r="D119" s="3235">
        <v>802</v>
      </c>
      <c r="E119" s="3236" t="str">
        <f t="shared" si="5"/>
        <v>6--802</v>
      </c>
      <c r="F119" s="3237">
        <v>140.15</v>
      </c>
      <c r="G119" s="3238">
        <v>110.95</v>
      </c>
      <c r="H119" s="3239" t="s">
        <v>4409</v>
      </c>
      <c r="I119" s="3239" t="s">
        <v>3395</v>
      </c>
      <c r="J119" s="3239">
        <v>4540860</v>
      </c>
      <c r="K119" s="3239">
        <v>32400</v>
      </c>
      <c r="L119" s="3231">
        <v>4540860</v>
      </c>
      <c r="M119" s="3231">
        <v>32400</v>
      </c>
      <c r="N119" s="3230" t="s">
        <v>4404</v>
      </c>
      <c r="O119" s="3240">
        <f>ROUND(L119*0.95,0)</f>
        <v>4313817</v>
      </c>
    </row>
    <row r="120" spans="1:15" ht="16.5">
      <c r="A120" s="3234">
        <v>118</v>
      </c>
      <c r="B120" s="3234">
        <v>7</v>
      </c>
      <c r="C120" s="3234"/>
      <c r="D120" s="3235">
        <v>101</v>
      </c>
      <c r="E120" s="3236" t="str">
        <f t="shared" si="5"/>
        <v>7--101</v>
      </c>
      <c r="F120" s="3237">
        <v>115.15</v>
      </c>
      <c r="G120" s="3238">
        <v>93.55</v>
      </c>
      <c r="H120" s="3239" t="s">
        <v>4410</v>
      </c>
      <c r="I120" s="3239" t="s">
        <v>3395</v>
      </c>
      <c r="J120" s="3239">
        <v>3330330.3</v>
      </c>
      <c r="K120" s="3239">
        <v>28921.67</v>
      </c>
      <c r="L120" s="3231">
        <v>3330330</v>
      </c>
      <c r="M120" s="3231">
        <v>28921.67</v>
      </c>
      <c r="N120" s="3230" t="s">
        <v>4404</v>
      </c>
      <c r="O120" s="3240">
        <f t="shared" ref="O120:O136" si="8">ROUND(L120*0.95,0)</f>
        <v>3163814</v>
      </c>
    </row>
    <row r="121" spans="1:15" ht="16.5">
      <c r="A121" s="3234">
        <v>119</v>
      </c>
      <c r="B121" s="3234">
        <v>7</v>
      </c>
      <c r="C121" s="3234"/>
      <c r="D121" s="3235">
        <v>102</v>
      </c>
      <c r="E121" s="3236" t="str">
        <f t="shared" si="5"/>
        <v>7--102</v>
      </c>
      <c r="F121" s="3237">
        <v>131.75</v>
      </c>
      <c r="G121" s="3238">
        <v>107.04</v>
      </c>
      <c r="H121" s="3239" t="s">
        <v>4411</v>
      </c>
      <c r="I121" s="3239" t="s">
        <v>3395</v>
      </c>
      <c r="J121" s="3239">
        <v>3843367.52</v>
      </c>
      <c r="K121" s="3239">
        <v>29171.67</v>
      </c>
      <c r="L121" s="3231">
        <v>3843367</v>
      </c>
      <c r="M121" s="3231">
        <v>29171.67</v>
      </c>
      <c r="N121" s="3230" t="s">
        <v>4404</v>
      </c>
      <c r="O121" s="3240">
        <f t="shared" si="8"/>
        <v>3651199</v>
      </c>
    </row>
    <row r="122" spans="1:15" ht="16.5">
      <c r="A122" s="3234">
        <v>120</v>
      </c>
      <c r="B122" s="3234">
        <v>7</v>
      </c>
      <c r="C122" s="3234"/>
      <c r="D122" s="3235">
        <v>201</v>
      </c>
      <c r="E122" s="3236" t="str">
        <f t="shared" si="5"/>
        <v>7--201</v>
      </c>
      <c r="F122" s="3237">
        <v>115.15</v>
      </c>
      <c r="G122" s="3238">
        <v>93.55</v>
      </c>
      <c r="H122" s="3239" t="s">
        <v>4410</v>
      </c>
      <c r="I122" s="3239" t="s">
        <v>3395</v>
      </c>
      <c r="J122" s="3239">
        <v>3364875.3</v>
      </c>
      <c r="K122" s="3239">
        <v>29221.67</v>
      </c>
      <c r="L122" s="3231">
        <v>3364875</v>
      </c>
      <c r="M122" s="3231">
        <v>29221.67</v>
      </c>
      <c r="N122" s="3230" t="s">
        <v>4404</v>
      </c>
      <c r="O122" s="3240">
        <f t="shared" si="8"/>
        <v>3196631</v>
      </c>
    </row>
    <row r="123" spans="1:15" ht="16.5">
      <c r="A123" s="3234">
        <v>121</v>
      </c>
      <c r="B123" s="3234">
        <v>7</v>
      </c>
      <c r="C123" s="3234"/>
      <c r="D123" s="3235">
        <v>202</v>
      </c>
      <c r="E123" s="3236" t="str">
        <f t="shared" si="5"/>
        <v>7--202</v>
      </c>
      <c r="F123" s="3237">
        <v>131.75</v>
      </c>
      <c r="G123" s="3238">
        <v>107.04</v>
      </c>
      <c r="H123" s="3239" t="s">
        <v>4411</v>
      </c>
      <c r="I123" s="3239" t="s">
        <v>3395</v>
      </c>
      <c r="J123" s="3239">
        <v>3882892.52</v>
      </c>
      <c r="K123" s="3239">
        <v>29471.67</v>
      </c>
      <c r="L123" s="3231">
        <v>3882892</v>
      </c>
      <c r="M123" s="3231">
        <v>29471.67</v>
      </c>
      <c r="N123" s="3230" t="s">
        <v>4404</v>
      </c>
      <c r="O123" s="3240">
        <f t="shared" si="8"/>
        <v>3688747</v>
      </c>
    </row>
    <row r="124" spans="1:15" ht="16.5">
      <c r="A124" s="3234">
        <v>122</v>
      </c>
      <c r="B124" s="3234">
        <v>7</v>
      </c>
      <c r="C124" s="3234"/>
      <c r="D124" s="3235">
        <v>301</v>
      </c>
      <c r="E124" s="3236" t="str">
        <f t="shared" si="5"/>
        <v>7--301</v>
      </c>
      <c r="F124" s="3237">
        <v>115.15</v>
      </c>
      <c r="G124" s="3238">
        <v>93.55</v>
      </c>
      <c r="H124" s="3239" t="s">
        <v>4410</v>
      </c>
      <c r="I124" s="3239" t="s">
        <v>3395</v>
      </c>
      <c r="J124" s="3239">
        <v>3422450.3</v>
      </c>
      <c r="K124" s="3239">
        <v>29721.67</v>
      </c>
      <c r="L124" s="3231">
        <v>3422450</v>
      </c>
      <c r="M124" s="3231">
        <v>29721.67</v>
      </c>
      <c r="N124" s="3230" t="s">
        <v>4404</v>
      </c>
      <c r="O124" s="3240">
        <f t="shared" si="8"/>
        <v>3251328</v>
      </c>
    </row>
    <row r="125" spans="1:15" ht="16.5">
      <c r="A125" s="3234">
        <v>123</v>
      </c>
      <c r="B125" s="3234">
        <v>7</v>
      </c>
      <c r="C125" s="3234"/>
      <c r="D125" s="3235">
        <v>302</v>
      </c>
      <c r="E125" s="3236" t="str">
        <f t="shared" si="5"/>
        <v>7--302</v>
      </c>
      <c r="F125" s="3237">
        <v>131.75</v>
      </c>
      <c r="G125" s="3238">
        <v>107.04</v>
      </c>
      <c r="H125" s="3239" t="s">
        <v>4411</v>
      </c>
      <c r="I125" s="3239" t="s">
        <v>3395</v>
      </c>
      <c r="J125" s="3239">
        <v>3948767.52</v>
      </c>
      <c r="K125" s="3239">
        <v>29971.67</v>
      </c>
      <c r="L125" s="3231">
        <v>3948767</v>
      </c>
      <c r="M125" s="3231">
        <v>29971.67</v>
      </c>
      <c r="N125" s="3230" t="s">
        <v>4404</v>
      </c>
      <c r="O125" s="3240">
        <f t="shared" si="8"/>
        <v>3751329</v>
      </c>
    </row>
    <row r="126" spans="1:15" ht="16.5">
      <c r="A126" s="3234">
        <v>124</v>
      </c>
      <c r="B126" s="3234">
        <v>7</v>
      </c>
      <c r="C126" s="3234"/>
      <c r="D126" s="3235">
        <v>401</v>
      </c>
      <c r="E126" s="3236" t="str">
        <f t="shared" si="5"/>
        <v>7--401</v>
      </c>
      <c r="F126" s="3237">
        <v>115.15</v>
      </c>
      <c r="G126" s="3238">
        <v>93.55</v>
      </c>
      <c r="H126" s="3239" t="s">
        <v>4410</v>
      </c>
      <c r="I126" s="3239" t="s">
        <v>3395</v>
      </c>
      <c r="J126" s="3239">
        <v>3456995.3</v>
      </c>
      <c r="K126" s="3239">
        <v>30021.67</v>
      </c>
      <c r="L126" s="3231">
        <v>3456995</v>
      </c>
      <c r="M126" s="3231">
        <v>30021.67</v>
      </c>
      <c r="N126" s="3230" t="s">
        <v>4404</v>
      </c>
      <c r="O126" s="3240">
        <f t="shared" si="8"/>
        <v>3284145</v>
      </c>
    </row>
    <row r="127" spans="1:15" ht="16.5">
      <c r="A127" s="3234">
        <v>125</v>
      </c>
      <c r="B127" s="3234">
        <v>7</v>
      </c>
      <c r="C127" s="3234"/>
      <c r="D127" s="3235">
        <v>402</v>
      </c>
      <c r="E127" s="3236" t="str">
        <f t="shared" si="5"/>
        <v>7--402</v>
      </c>
      <c r="F127" s="3237">
        <v>131.75</v>
      </c>
      <c r="G127" s="3238">
        <v>107.04</v>
      </c>
      <c r="H127" s="3239" t="s">
        <v>4411</v>
      </c>
      <c r="I127" s="3239" t="s">
        <v>3395</v>
      </c>
      <c r="J127" s="3239">
        <v>3988292.52</v>
      </c>
      <c r="K127" s="3239">
        <v>30271.67</v>
      </c>
      <c r="L127" s="3231">
        <v>3988292</v>
      </c>
      <c r="M127" s="3231">
        <v>30271.67</v>
      </c>
      <c r="N127" s="3230" t="s">
        <v>4404</v>
      </c>
      <c r="O127" s="3240">
        <f t="shared" si="8"/>
        <v>3788877</v>
      </c>
    </row>
    <row r="128" spans="1:15" ht="16.5">
      <c r="A128" s="3234">
        <v>126</v>
      </c>
      <c r="B128" s="3234">
        <v>7</v>
      </c>
      <c r="C128" s="3234"/>
      <c r="D128" s="3235">
        <v>501</v>
      </c>
      <c r="E128" s="3236" t="str">
        <f t="shared" si="5"/>
        <v>7--501</v>
      </c>
      <c r="F128" s="3237">
        <v>115.15</v>
      </c>
      <c r="G128" s="3238">
        <v>93.55</v>
      </c>
      <c r="H128" s="3239" t="s">
        <v>4410</v>
      </c>
      <c r="I128" s="3239" t="s">
        <v>3395</v>
      </c>
      <c r="J128" s="3239">
        <v>3485782.8</v>
      </c>
      <c r="K128" s="3239">
        <v>30271.67</v>
      </c>
      <c r="L128" s="3231">
        <v>3485782</v>
      </c>
      <c r="M128" s="3231">
        <v>30271.66</v>
      </c>
      <c r="N128" s="3230" t="s">
        <v>4404</v>
      </c>
      <c r="O128" s="3240">
        <f t="shared" si="8"/>
        <v>3311493</v>
      </c>
    </row>
    <row r="129" spans="1:15" ht="16.5">
      <c r="A129" s="3234">
        <v>127</v>
      </c>
      <c r="B129" s="3234">
        <v>7</v>
      </c>
      <c r="C129" s="3234"/>
      <c r="D129" s="3235">
        <v>601</v>
      </c>
      <c r="E129" s="3236" t="str">
        <f t="shared" si="5"/>
        <v>7--601</v>
      </c>
      <c r="F129" s="3237">
        <v>115.15</v>
      </c>
      <c r="G129" s="3238">
        <v>93.55</v>
      </c>
      <c r="H129" s="3239" t="s">
        <v>4410</v>
      </c>
      <c r="I129" s="3239" t="s">
        <v>3395</v>
      </c>
      <c r="J129" s="3239">
        <v>3508812.8</v>
      </c>
      <c r="K129" s="3239">
        <v>30471.67</v>
      </c>
      <c r="L129" s="3231">
        <v>3508812</v>
      </c>
      <c r="M129" s="3231">
        <v>30471.66</v>
      </c>
      <c r="N129" s="3230" t="s">
        <v>4404</v>
      </c>
      <c r="O129" s="3240">
        <f t="shared" si="8"/>
        <v>3333371</v>
      </c>
    </row>
    <row r="130" spans="1:15" ht="16.5">
      <c r="A130" s="3234">
        <v>128</v>
      </c>
      <c r="B130" s="3234">
        <v>7</v>
      </c>
      <c r="C130" s="3234"/>
      <c r="D130" s="3235">
        <v>701</v>
      </c>
      <c r="E130" s="3236" t="str">
        <f t="shared" si="5"/>
        <v>7--701</v>
      </c>
      <c r="F130" s="3237">
        <v>115.15</v>
      </c>
      <c r="G130" s="3238">
        <v>93.55</v>
      </c>
      <c r="H130" s="3239" t="s">
        <v>4410</v>
      </c>
      <c r="I130" s="3239" t="s">
        <v>3395</v>
      </c>
      <c r="J130" s="3239">
        <v>3531842.8</v>
      </c>
      <c r="K130" s="3239">
        <v>30671.67</v>
      </c>
      <c r="L130" s="3231">
        <v>3531842</v>
      </c>
      <c r="M130" s="3231">
        <v>30671.66</v>
      </c>
      <c r="N130" s="3230" t="s">
        <v>4404</v>
      </c>
      <c r="O130" s="3240">
        <f t="shared" si="8"/>
        <v>3355250</v>
      </c>
    </row>
    <row r="131" spans="1:15" ht="16.5">
      <c r="A131" s="3234">
        <v>129</v>
      </c>
      <c r="B131" s="3234">
        <v>7</v>
      </c>
      <c r="C131" s="3234"/>
      <c r="D131" s="3235">
        <v>801</v>
      </c>
      <c r="E131" s="3236" t="str">
        <f t="shared" ref="E131:E194" si="9">CONCATENATE(B131,"-",C131,"-",D131)</f>
        <v>7--801</v>
      </c>
      <c r="F131" s="3237">
        <v>115.15</v>
      </c>
      <c r="G131" s="3238">
        <v>93.55</v>
      </c>
      <c r="H131" s="3239" t="s">
        <v>4410</v>
      </c>
      <c r="I131" s="3239" t="s">
        <v>3395</v>
      </c>
      <c r="J131" s="3239">
        <v>3730860</v>
      </c>
      <c r="K131" s="3239">
        <v>32400</v>
      </c>
      <c r="L131" s="3231">
        <v>3730860</v>
      </c>
      <c r="M131" s="3231">
        <v>32400</v>
      </c>
      <c r="N131" s="3230" t="s">
        <v>4404</v>
      </c>
      <c r="O131" s="3240">
        <f t="shared" si="8"/>
        <v>3544317</v>
      </c>
    </row>
    <row r="132" spans="1:15" ht="16.5">
      <c r="A132" s="3234">
        <v>130</v>
      </c>
      <c r="B132" s="3234">
        <v>8</v>
      </c>
      <c r="C132" s="3234">
        <v>1</v>
      </c>
      <c r="D132" s="3235">
        <v>101</v>
      </c>
      <c r="E132" s="3236" t="str">
        <f t="shared" si="9"/>
        <v>8-1-101</v>
      </c>
      <c r="F132" s="3237">
        <v>134.37</v>
      </c>
      <c r="G132" s="3238">
        <v>109.98</v>
      </c>
      <c r="H132" s="3239" t="s">
        <v>4412</v>
      </c>
      <c r="I132" s="3239" t="s">
        <v>3395</v>
      </c>
      <c r="J132" s="3239">
        <v>3913078.8</v>
      </c>
      <c r="K132" s="3239">
        <v>29121.67</v>
      </c>
      <c r="L132" s="3231">
        <v>3913078</v>
      </c>
      <c r="M132" s="3231">
        <v>29121.66</v>
      </c>
      <c r="N132" s="3230" t="s">
        <v>4404</v>
      </c>
      <c r="O132" s="3240">
        <f t="shared" si="8"/>
        <v>3717424</v>
      </c>
    </row>
    <row r="133" spans="1:15" ht="16.5">
      <c r="A133" s="3234">
        <v>131</v>
      </c>
      <c r="B133" s="3234">
        <v>8</v>
      </c>
      <c r="C133" s="3234">
        <v>1</v>
      </c>
      <c r="D133" s="3235">
        <v>201</v>
      </c>
      <c r="E133" s="3236" t="str">
        <f t="shared" si="9"/>
        <v>8-1-201</v>
      </c>
      <c r="F133" s="3237">
        <v>134.37</v>
      </c>
      <c r="G133" s="3238">
        <v>109.98</v>
      </c>
      <c r="H133" s="3239" t="s">
        <v>4412</v>
      </c>
      <c r="I133" s="3239" t="s">
        <v>3395</v>
      </c>
      <c r="J133" s="3239">
        <v>3953389.8</v>
      </c>
      <c r="K133" s="3239">
        <v>29421.67</v>
      </c>
      <c r="L133" s="3231">
        <v>3953389</v>
      </c>
      <c r="M133" s="3231">
        <v>29421.66</v>
      </c>
      <c r="N133" s="3230" t="s">
        <v>4404</v>
      </c>
      <c r="O133" s="3240">
        <f t="shared" si="8"/>
        <v>3755720</v>
      </c>
    </row>
    <row r="134" spans="1:15" ht="16.5">
      <c r="A134" s="3234">
        <v>132</v>
      </c>
      <c r="B134" s="3234">
        <v>8</v>
      </c>
      <c r="C134" s="3234">
        <v>1</v>
      </c>
      <c r="D134" s="3235">
        <v>202</v>
      </c>
      <c r="E134" s="3236" t="str">
        <f t="shared" si="9"/>
        <v>8-1-202</v>
      </c>
      <c r="F134" s="3237">
        <v>109.95</v>
      </c>
      <c r="G134" s="3238">
        <v>89.99</v>
      </c>
      <c r="H134" s="3239" t="s">
        <v>4413</v>
      </c>
      <c r="I134" s="3239" t="s">
        <v>3395</v>
      </c>
      <c r="J134" s="3239">
        <v>3179937.62</v>
      </c>
      <c r="K134" s="3239">
        <v>28921.67</v>
      </c>
      <c r="L134" s="3231">
        <v>3179937</v>
      </c>
      <c r="M134" s="3231">
        <v>28921.66</v>
      </c>
      <c r="N134" s="3230" t="s">
        <v>4404</v>
      </c>
      <c r="O134" s="3240">
        <f t="shared" si="8"/>
        <v>3020940</v>
      </c>
    </row>
    <row r="135" spans="1:15" ht="16.5">
      <c r="A135" s="3234">
        <v>133</v>
      </c>
      <c r="B135" s="3234">
        <v>8</v>
      </c>
      <c r="C135" s="3234">
        <v>1</v>
      </c>
      <c r="D135" s="3235">
        <v>301</v>
      </c>
      <c r="E135" s="3236" t="str">
        <f t="shared" si="9"/>
        <v>8-1-301</v>
      </c>
      <c r="F135" s="3237">
        <v>134.37</v>
      </c>
      <c r="G135" s="3238">
        <v>109.98</v>
      </c>
      <c r="H135" s="3239" t="s">
        <v>4412</v>
      </c>
      <c r="I135" s="3239" t="s">
        <v>3395</v>
      </c>
      <c r="J135" s="3239">
        <v>4020574.8</v>
      </c>
      <c r="K135" s="3239">
        <v>29921.67</v>
      </c>
      <c r="L135" s="3231">
        <v>4020574</v>
      </c>
      <c r="M135" s="3231">
        <v>29921.66</v>
      </c>
      <c r="N135" s="3230" t="s">
        <v>4404</v>
      </c>
      <c r="O135" s="3240">
        <f t="shared" si="8"/>
        <v>3819545</v>
      </c>
    </row>
    <row r="136" spans="1:15" ht="16.5">
      <c r="A136" s="3234">
        <v>134</v>
      </c>
      <c r="B136" s="3234">
        <v>8</v>
      </c>
      <c r="C136" s="3234">
        <v>1</v>
      </c>
      <c r="D136" s="3235">
        <v>401</v>
      </c>
      <c r="E136" s="3276" t="str">
        <f t="shared" si="9"/>
        <v>8-1-401</v>
      </c>
      <c r="F136" s="3237">
        <v>134.37</v>
      </c>
      <c r="G136" s="3238">
        <v>109.98</v>
      </c>
      <c r="H136" s="3239" t="s">
        <v>4412</v>
      </c>
      <c r="I136" s="3239" t="s">
        <v>3395</v>
      </c>
      <c r="J136" s="3239">
        <v>4060885.8</v>
      </c>
      <c r="K136" s="3239">
        <v>30221.67</v>
      </c>
      <c r="L136" s="3231">
        <v>4060885</v>
      </c>
      <c r="M136" s="3231">
        <v>30221.66</v>
      </c>
      <c r="N136" s="3230" t="s">
        <v>4404</v>
      </c>
      <c r="O136" s="3240">
        <f t="shared" si="8"/>
        <v>3857841</v>
      </c>
    </row>
    <row r="137" spans="1:15" ht="16.5">
      <c r="A137" s="3234">
        <v>135</v>
      </c>
      <c r="B137" s="3234">
        <v>8</v>
      </c>
      <c r="C137" s="3234">
        <v>1</v>
      </c>
      <c r="D137" s="3235">
        <v>501</v>
      </c>
      <c r="E137" s="3236" t="str">
        <f t="shared" si="9"/>
        <v>8-1-501</v>
      </c>
      <c r="F137" s="3237">
        <v>134.37</v>
      </c>
      <c r="G137" s="3238">
        <v>109.98</v>
      </c>
      <c r="H137" s="3239" t="s">
        <v>4412</v>
      </c>
      <c r="I137" s="3239" t="s">
        <v>3395</v>
      </c>
      <c r="J137" s="3239">
        <v>4087759.8</v>
      </c>
      <c r="K137" s="3239">
        <v>30421.67</v>
      </c>
      <c r="L137" s="3231">
        <v>4087759</v>
      </c>
      <c r="M137" s="3231">
        <v>30421.66</v>
      </c>
      <c r="N137" s="3230" t="s">
        <v>4407</v>
      </c>
      <c r="O137" s="3240">
        <v>3887418</v>
      </c>
    </row>
    <row r="138" spans="1:15" ht="16.5">
      <c r="A138" s="3234">
        <v>136</v>
      </c>
      <c r="B138" s="3234">
        <v>8</v>
      </c>
      <c r="C138" s="3234">
        <v>1</v>
      </c>
      <c r="D138" s="3235">
        <v>601</v>
      </c>
      <c r="E138" s="3241" t="str">
        <f t="shared" si="9"/>
        <v>8-1-601</v>
      </c>
      <c r="F138" s="3242">
        <v>134.37</v>
      </c>
      <c r="G138" s="3238">
        <v>109.98</v>
      </c>
      <c r="H138" s="3239" t="s">
        <v>4412</v>
      </c>
      <c r="I138" s="3239" t="s">
        <v>3395</v>
      </c>
      <c r="J138" s="3239">
        <v>4114633.8</v>
      </c>
      <c r="K138" s="3239">
        <v>30621.67</v>
      </c>
      <c r="L138" s="3231">
        <v>4114633</v>
      </c>
      <c r="M138" s="3231">
        <v>30621.66</v>
      </c>
      <c r="N138" s="3230" t="s">
        <v>4407</v>
      </c>
      <c r="O138" s="3240">
        <v>3873450</v>
      </c>
    </row>
    <row r="139" spans="1:15" ht="16.5">
      <c r="A139" s="3234">
        <v>137</v>
      </c>
      <c r="B139" s="3234">
        <v>8</v>
      </c>
      <c r="C139" s="3234">
        <v>1</v>
      </c>
      <c r="D139" s="3235">
        <v>602</v>
      </c>
      <c r="E139" s="3236" t="str">
        <f t="shared" si="9"/>
        <v>8-1-602</v>
      </c>
      <c r="F139" s="3237">
        <v>109.97</v>
      </c>
      <c r="G139" s="3238">
        <v>90.01</v>
      </c>
      <c r="H139" s="3239" t="s">
        <v>4413</v>
      </c>
      <c r="I139" s="3239" t="s">
        <v>3395</v>
      </c>
      <c r="J139" s="3239">
        <v>3312480.05</v>
      </c>
      <c r="K139" s="3239">
        <v>30121.67</v>
      </c>
      <c r="L139" s="3231">
        <v>3312480</v>
      </c>
      <c r="M139" s="3231">
        <v>30121.67</v>
      </c>
      <c r="N139" s="3230" t="s">
        <v>4407</v>
      </c>
      <c r="O139" s="3240">
        <v>3150136</v>
      </c>
    </row>
    <row r="140" spans="1:15" ht="16.5">
      <c r="A140" s="3234">
        <v>138</v>
      </c>
      <c r="B140" s="3234">
        <v>8</v>
      </c>
      <c r="C140" s="3234">
        <v>1</v>
      </c>
      <c r="D140" s="3235">
        <v>701</v>
      </c>
      <c r="E140" s="3236" t="str">
        <f t="shared" si="9"/>
        <v>8-1-701</v>
      </c>
      <c r="F140" s="3237">
        <v>134.37</v>
      </c>
      <c r="G140" s="3238">
        <v>109.98</v>
      </c>
      <c r="H140" s="3239" t="s">
        <v>4412</v>
      </c>
      <c r="I140" s="3239" t="s">
        <v>3395</v>
      </c>
      <c r="J140" s="3239">
        <v>4141507.8</v>
      </c>
      <c r="K140" s="3239">
        <v>30821.67</v>
      </c>
      <c r="L140" s="3231">
        <v>4141507</v>
      </c>
      <c r="M140" s="3231">
        <v>30821.66</v>
      </c>
      <c r="N140" s="3230" t="s">
        <v>4404</v>
      </c>
      <c r="O140" s="3240">
        <f t="shared" ref="O140:O145" si="10">ROUND(L140*0.95,0)</f>
        <v>3934432</v>
      </c>
    </row>
    <row r="141" spans="1:15" ht="16.5">
      <c r="A141" s="3234">
        <v>139</v>
      </c>
      <c r="B141" s="3234">
        <v>8</v>
      </c>
      <c r="C141" s="3234">
        <v>1</v>
      </c>
      <c r="D141" s="3235">
        <v>801</v>
      </c>
      <c r="E141" s="3236" t="str">
        <f t="shared" si="9"/>
        <v>8-1-801</v>
      </c>
      <c r="F141" s="3237">
        <v>134.37</v>
      </c>
      <c r="G141" s="3238">
        <v>109.98</v>
      </c>
      <c r="H141" s="3239" t="s">
        <v>4412</v>
      </c>
      <c r="I141" s="3239" t="s">
        <v>3395</v>
      </c>
      <c r="J141" s="3239">
        <v>4353588</v>
      </c>
      <c r="K141" s="3239">
        <v>32400</v>
      </c>
      <c r="L141" s="3231">
        <v>4353588</v>
      </c>
      <c r="M141" s="3231">
        <v>32400</v>
      </c>
      <c r="N141" s="3230" t="s">
        <v>4404</v>
      </c>
      <c r="O141" s="3240">
        <f t="shared" si="10"/>
        <v>4135909</v>
      </c>
    </row>
    <row r="142" spans="1:15" ht="16.5">
      <c r="A142" s="3234">
        <v>140</v>
      </c>
      <c r="B142" s="3234">
        <v>8</v>
      </c>
      <c r="C142" s="3234">
        <v>1</v>
      </c>
      <c r="D142" s="3235">
        <v>802</v>
      </c>
      <c r="E142" s="3236" t="str">
        <f t="shared" si="9"/>
        <v>8-1-802</v>
      </c>
      <c r="F142" s="3237">
        <v>109.97</v>
      </c>
      <c r="G142" s="3238">
        <v>90.01</v>
      </c>
      <c r="H142" s="3239" t="s">
        <v>4413</v>
      </c>
      <c r="I142" s="3239" t="s">
        <v>3395</v>
      </c>
      <c r="J142" s="3239">
        <v>3563028</v>
      </c>
      <c r="K142" s="3239">
        <v>32400</v>
      </c>
      <c r="L142" s="3231">
        <v>3563028</v>
      </c>
      <c r="M142" s="3231">
        <v>32400</v>
      </c>
      <c r="N142" s="3230" t="s">
        <v>4404</v>
      </c>
      <c r="O142" s="3240">
        <f t="shared" si="10"/>
        <v>3384877</v>
      </c>
    </row>
    <row r="143" spans="1:15" ht="16.5">
      <c r="A143" s="3234">
        <v>141</v>
      </c>
      <c r="B143" s="3234">
        <v>8</v>
      </c>
      <c r="C143" s="3234">
        <v>2</v>
      </c>
      <c r="D143" s="3235">
        <v>102</v>
      </c>
      <c r="E143" s="3236" t="str">
        <f t="shared" si="9"/>
        <v>8-2-102</v>
      </c>
      <c r="F143" s="3237">
        <v>114.3</v>
      </c>
      <c r="G143" s="3238">
        <v>93.55</v>
      </c>
      <c r="H143" s="3239" t="s">
        <v>409</v>
      </c>
      <c r="I143" s="3239" t="s">
        <v>3395</v>
      </c>
      <c r="J143" s="3239">
        <v>3294316.88</v>
      </c>
      <c r="K143" s="3239">
        <v>28821.67</v>
      </c>
      <c r="L143" s="3231">
        <v>3294316</v>
      </c>
      <c r="M143" s="3231">
        <v>28821.66</v>
      </c>
      <c r="N143" s="3230" t="s">
        <v>4404</v>
      </c>
      <c r="O143" s="3240">
        <f t="shared" si="10"/>
        <v>3129600</v>
      </c>
    </row>
    <row r="144" spans="1:15" ht="16.5">
      <c r="A144" s="3234">
        <v>142</v>
      </c>
      <c r="B144" s="3234">
        <v>8</v>
      </c>
      <c r="C144" s="3234">
        <v>2</v>
      </c>
      <c r="D144" s="3235">
        <v>202</v>
      </c>
      <c r="E144" s="3236" t="str">
        <f t="shared" si="9"/>
        <v>8-2-202</v>
      </c>
      <c r="F144" s="3237">
        <v>114.3</v>
      </c>
      <c r="G144" s="3238">
        <v>93.55</v>
      </c>
      <c r="H144" s="3239" t="s">
        <v>409</v>
      </c>
      <c r="I144" s="3239" t="s">
        <v>3395</v>
      </c>
      <c r="J144" s="3239">
        <v>3328606.88</v>
      </c>
      <c r="K144" s="3239">
        <v>29121.67</v>
      </c>
      <c r="L144" s="3231">
        <v>3328606</v>
      </c>
      <c r="M144" s="3231">
        <v>29121.66</v>
      </c>
      <c r="N144" s="3230" t="s">
        <v>4404</v>
      </c>
      <c r="O144" s="3240">
        <f t="shared" si="10"/>
        <v>3162176</v>
      </c>
    </row>
    <row r="145" spans="1:15" ht="16.5">
      <c r="A145" s="3234">
        <v>143</v>
      </c>
      <c r="B145" s="3234">
        <v>8</v>
      </c>
      <c r="C145" s="3234">
        <v>2</v>
      </c>
      <c r="D145" s="3235">
        <v>402</v>
      </c>
      <c r="E145" s="3241" t="str">
        <f t="shared" si="9"/>
        <v>8-2-402</v>
      </c>
      <c r="F145" s="3242">
        <v>114.3</v>
      </c>
      <c r="G145" s="3238">
        <v>93.55</v>
      </c>
      <c r="H145" s="3239" t="s">
        <v>409</v>
      </c>
      <c r="I145" s="3239" t="s">
        <v>3395</v>
      </c>
      <c r="J145" s="3239">
        <v>3420046.88</v>
      </c>
      <c r="K145" s="3239">
        <v>29921.67</v>
      </c>
      <c r="L145" s="3231">
        <v>3420046</v>
      </c>
      <c r="M145" s="3231">
        <v>29921.66</v>
      </c>
      <c r="N145" s="3230" t="s">
        <v>4407</v>
      </c>
      <c r="O145" s="3240">
        <f t="shared" si="10"/>
        <v>3249044</v>
      </c>
    </row>
    <row r="146" spans="1:15" ht="16.5">
      <c r="A146" s="3234">
        <v>144</v>
      </c>
      <c r="B146" s="3234">
        <v>8</v>
      </c>
      <c r="C146" s="3234">
        <v>2</v>
      </c>
      <c r="D146" s="3235">
        <v>701</v>
      </c>
      <c r="E146" s="3241" t="str">
        <f t="shared" si="9"/>
        <v>8-2-701</v>
      </c>
      <c r="F146" s="3242">
        <v>110.17</v>
      </c>
      <c r="G146" s="3238">
        <v>90.17</v>
      </c>
      <c r="H146" s="3239" t="s">
        <v>4405</v>
      </c>
      <c r="I146" s="3239" t="s">
        <v>3395</v>
      </c>
      <c r="J146" s="3239">
        <v>3335029.88</v>
      </c>
      <c r="K146" s="3239">
        <v>30271.67</v>
      </c>
      <c r="L146" s="3231">
        <v>3335029</v>
      </c>
      <c r="M146" s="3231">
        <v>30271.66</v>
      </c>
      <c r="N146" s="3230" t="s">
        <v>4407</v>
      </c>
      <c r="O146" s="3240">
        <v>3171579</v>
      </c>
    </row>
    <row r="147" spans="1:15" ht="16.5">
      <c r="A147" s="3234">
        <v>145</v>
      </c>
      <c r="B147" s="3234">
        <v>8</v>
      </c>
      <c r="C147" s="3234">
        <v>2</v>
      </c>
      <c r="D147" s="3235">
        <v>802</v>
      </c>
      <c r="E147" s="3236" t="str">
        <f t="shared" si="9"/>
        <v>8-2-802</v>
      </c>
      <c r="F147" s="3237">
        <v>114.3</v>
      </c>
      <c r="G147" s="3238">
        <v>93.55</v>
      </c>
      <c r="H147" s="3239" t="s">
        <v>409</v>
      </c>
      <c r="I147" s="3239" t="s">
        <v>3395</v>
      </c>
      <c r="J147" s="3239">
        <v>3703320</v>
      </c>
      <c r="K147" s="3239">
        <v>32400</v>
      </c>
      <c r="L147" s="3231">
        <v>3703320</v>
      </c>
      <c r="M147" s="3231">
        <v>32400</v>
      </c>
      <c r="N147" s="3230" t="s">
        <v>4404</v>
      </c>
      <c r="O147" s="3240">
        <f>ROUND(L147*0.95,0)</f>
        <v>3518154</v>
      </c>
    </row>
    <row r="148" spans="1:15" ht="16.5">
      <c r="A148" s="3234">
        <v>146</v>
      </c>
      <c r="B148" s="3234">
        <v>9</v>
      </c>
      <c r="C148" s="3234">
        <v>1</v>
      </c>
      <c r="D148" s="3235">
        <v>101</v>
      </c>
      <c r="E148" s="3236" t="str">
        <f t="shared" si="9"/>
        <v>9-1-101</v>
      </c>
      <c r="F148" s="3237">
        <v>114.18</v>
      </c>
      <c r="G148" s="3238">
        <v>93.55</v>
      </c>
      <c r="H148" s="3239" t="s">
        <v>409</v>
      </c>
      <c r="I148" s="3239" t="s">
        <v>3395</v>
      </c>
      <c r="J148" s="3239">
        <v>3370784.28</v>
      </c>
      <c r="K148" s="3239">
        <v>29521.67</v>
      </c>
      <c r="L148" s="3231">
        <v>3370784</v>
      </c>
      <c r="M148" s="3231">
        <v>29521.67</v>
      </c>
      <c r="N148" s="3230" t="s">
        <v>4404</v>
      </c>
      <c r="O148" s="3240">
        <f t="shared" ref="O148:O155" si="11">ROUND(L148*0.95,0)</f>
        <v>3202245</v>
      </c>
    </row>
    <row r="149" spans="1:15" ht="16.5">
      <c r="A149" s="3234">
        <v>147</v>
      </c>
      <c r="B149" s="3234">
        <v>9</v>
      </c>
      <c r="C149" s="3234">
        <v>1</v>
      </c>
      <c r="D149" s="3235">
        <v>201</v>
      </c>
      <c r="E149" s="3236" t="str">
        <f t="shared" si="9"/>
        <v>9-1-201</v>
      </c>
      <c r="F149" s="3237">
        <v>114.18</v>
      </c>
      <c r="G149" s="3238">
        <v>93.55</v>
      </c>
      <c r="H149" s="3239" t="s">
        <v>409</v>
      </c>
      <c r="I149" s="3239" t="s">
        <v>3395</v>
      </c>
      <c r="J149" s="3239">
        <v>3405038.28</v>
      </c>
      <c r="K149" s="3239">
        <v>29821.67</v>
      </c>
      <c r="L149" s="3231">
        <v>3405038</v>
      </c>
      <c r="M149" s="3231">
        <v>29821.67</v>
      </c>
      <c r="N149" s="3230" t="s">
        <v>4404</v>
      </c>
      <c r="O149" s="3240">
        <f t="shared" si="11"/>
        <v>3234786</v>
      </c>
    </row>
    <row r="150" spans="1:15" ht="16.5">
      <c r="A150" s="3234">
        <v>148</v>
      </c>
      <c r="B150" s="3234">
        <v>9</v>
      </c>
      <c r="C150" s="3234">
        <v>1</v>
      </c>
      <c r="D150" s="3235">
        <v>202</v>
      </c>
      <c r="E150" s="3236" t="str">
        <f t="shared" si="9"/>
        <v>9-1-202</v>
      </c>
      <c r="F150" s="3237">
        <v>110.06</v>
      </c>
      <c r="G150" s="3238">
        <v>90.17</v>
      </c>
      <c r="H150" s="3239" t="s">
        <v>4405</v>
      </c>
      <c r="I150" s="3239" t="s">
        <v>3395</v>
      </c>
      <c r="J150" s="3239">
        <v>3254658</v>
      </c>
      <c r="K150" s="3239">
        <v>29571.67</v>
      </c>
      <c r="L150" s="3231">
        <v>3254658</v>
      </c>
      <c r="M150" s="3231">
        <v>29571.67</v>
      </c>
      <c r="N150" s="3230" t="s">
        <v>4404</v>
      </c>
      <c r="O150" s="3240">
        <f t="shared" si="11"/>
        <v>3091925</v>
      </c>
    </row>
    <row r="151" spans="1:15" ht="16.5">
      <c r="A151" s="3234">
        <v>149</v>
      </c>
      <c r="B151" s="3234">
        <v>9</v>
      </c>
      <c r="C151" s="3234">
        <v>1</v>
      </c>
      <c r="D151" s="3235">
        <v>301</v>
      </c>
      <c r="E151" s="3236" t="str">
        <f t="shared" si="9"/>
        <v>9-1-301</v>
      </c>
      <c r="F151" s="3237">
        <v>114.18</v>
      </c>
      <c r="G151" s="3238">
        <v>93.55</v>
      </c>
      <c r="H151" s="3239" t="s">
        <v>409</v>
      </c>
      <c r="I151" s="3239" t="s">
        <v>3395</v>
      </c>
      <c r="J151" s="3239">
        <v>3462128.28</v>
      </c>
      <c r="K151" s="3239">
        <v>30321.67</v>
      </c>
      <c r="L151" s="3231">
        <v>3462128</v>
      </c>
      <c r="M151" s="3231">
        <v>30321.67</v>
      </c>
      <c r="N151" s="3230" t="s">
        <v>4404</v>
      </c>
      <c r="O151" s="3240">
        <f t="shared" si="11"/>
        <v>3289022</v>
      </c>
    </row>
    <row r="152" spans="1:15" ht="16.5">
      <c r="A152" s="3234">
        <v>150</v>
      </c>
      <c r="B152" s="3234">
        <v>9</v>
      </c>
      <c r="C152" s="3234">
        <v>1</v>
      </c>
      <c r="D152" s="3235">
        <v>302</v>
      </c>
      <c r="E152" s="3236" t="str">
        <f t="shared" si="9"/>
        <v>9-1-302</v>
      </c>
      <c r="F152" s="3237">
        <v>110.06</v>
      </c>
      <c r="G152" s="3238">
        <v>90.17</v>
      </c>
      <c r="H152" s="3239" t="s">
        <v>4405</v>
      </c>
      <c r="I152" s="3239" t="s">
        <v>3395</v>
      </c>
      <c r="J152" s="3239">
        <v>3309688</v>
      </c>
      <c r="K152" s="3239">
        <v>30071.67</v>
      </c>
      <c r="L152" s="3231">
        <v>3309688</v>
      </c>
      <c r="M152" s="3231">
        <v>30071.67</v>
      </c>
      <c r="N152" s="3230" t="s">
        <v>4404</v>
      </c>
      <c r="O152" s="3240">
        <f t="shared" si="11"/>
        <v>3144204</v>
      </c>
    </row>
    <row r="153" spans="1:15" ht="16.5">
      <c r="A153" s="3234">
        <v>151</v>
      </c>
      <c r="B153" s="3234">
        <v>9</v>
      </c>
      <c r="C153" s="3234">
        <v>1</v>
      </c>
      <c r="D153" s="3235">
        <v>401</v>
      </c>
      <c r="E153" s="3236" t="str">
        <f t="shared" si="9"/>
        <v>9-1-401</v>
      </c>
      <c r="F153" s="3237">
        <v>114.18</v>
      </c>
      <c r="G153" s="3238">
        <v>93.55</v>
      </c>
      <c r="H153" s="3239" t="s">
        <v>409</v>
      </c>
      <c r="I153" s="3239" t="s">
        <v>3395</v>
      </c>
      <c r="J153" s="3239">
        <v>3496382.28</v>
      </c>
      <c r="K153" s="3239">
        <v>30621.67</v>
      </c>
      <c r="L153" s="3231">
        <v>3496382</v>
      </c>
      <c r="M153" s="3231">
        <v>30621.67</v>
      </c>
      <c r="N153" s="3230" t="s">
        <v>4404</v>
      </c>
      <c r="O153" s="3240">
        <f t="shared" si="11"/>
        <v>3321563</v>
      </c>
    </row>
    <row r="154" spans="1:15" ht="16.5">
      <c r="A154" s="3234">
        <v>152</v>
      </c>
      <c r="B154" s="3234">
        <v>9</v>
      </c>
      <c r="C154" s="3234">
        <v>1</v>
      </c>
      <c r="D154" s="3235">
        <v>402</v>
      </c>
      <c r="E154" s="3236" t="str">
        <f t="shared" si="9"/>
        <v>9-1-402</v>
      </c>
      <c r="F154" s="3237">
        <v>110.06</v>
      </c>
      <c r="G154" s="3238">
        <v>90.17</v>
      </c>
      <c r="H154" s="3239" t="s">
        <v>4405</v>
      </c>
      <c r="I154" s="3239" t="s">
        <v>3395</v>
      </c>
      <c r="J154" s="3239">
        <v>3342706</v>
      </c>
      <c r="K154" s="3239">
        <v>30371.67</v>
      </c>
      <c r="L154" s="3231">
        <v>3342706</v>
      </c>
      <c r="M154" s="3231">
        <v>30371.67</v>
      </c>
      <c r="N154" s="3230" t="s">
        <v>4404</v>
      </c>
      <c r="O154" s="3240">
        <f t="shared" si="11"/>
        <v>3175571</v>
      </c>
    </row>
    <row r="155" spans="1:15" ht="16.5">
      <c r="A155" s="3234">
        <v>153</v>
      </c>
      <c r="B155" s="3234">
        <v>9</v>
      </c>
      <c r="C155" s="3234">
        <v>1</v>
      </c>
      <c r="D155" s="3235">
        <v>502</v>
      </c>
      <c r="E155" s="3241" t="str">
        <f t="shared" si="9"/>
        <v>9-1-502</v>
      </c>
      <c r="F155" s="3242">
        <v>110.06</v>
      </c>
      <c r="G155" s="3238">
        <v>90.17</v>
      </c>
      <c r="H155" s="3239" t="s">
        <v>4405</v>
      </c>
      <c r="I155" s="3239" t="s">
        <v>3395</v>
      </c>
      <c r="J155" s="3239">
        <v>3364718</v>
      </c>
      <c r="K155" s="3239">
        <v>30571.67</v>
      </c>
      <c r="L155" s="3231">
        <v>3364718</v>
      </c>
      <c r="M155" s="3231">
        <v>30571.67</v>
      </c>
      <c r="N155" s="3230" t="s">
        <v>4404</v>
      </c>
      <c r="O155" s="3240">
        <f t="shared" si="11"/>
        <v>3196482</v>
      </c>
    </row>
    <row r="156" spans="1:15" ht="16.5">
      <c r="A156" s="3234">
        <v>154</v>
      </c>
      <c r="B156" s="3234">
        <v>9</v>
      </c>
      <c r="C156" s="3234">
        <v>1</v>
      </c>
      <c r="D156" s="3235">
        <v>602</v>
      </c>
      <c r="E156" s="3236" t="str">
        <f t="shared" si="9"/>
        <v>9-1-602</v>
      </c>
      <c r="F156" s="3237">
        <v>110.06</v>
      </c>
      <c r="G156" s="3238">
        <v>90.17</v>
      </c>
      <c r="H156" s="3239" t="s">
        <v>4405</v>
      </c>
      <c r="I156" s="3239" t="s">
        <v>3395</v>
      </c>
      <c r="J156" s="3239">
        <v>3386730</v>
      </c>
      <c r="K156" s="3239">
        <v>30771.67</v>
      </c>
      <c r="L156" s="3231">
        <v>3386730</v>
      </c>
      <c r="M156" s="3231">
        <v>30771.67</v>
      </c>
      <c r="N156" s="3230" t="s">
        <v>4407</v>
      </c>
      <c r="O156" s="3240">
        <v>3220747</v>
      </c>
    </row>
    <row r="157" spans="1:15" ht="16.5">
      <c r="A157" s="3234">
        <v>155</v>
      </c>
      <c r="B157" s="3234">
        <v>9</v>
      </c>
      <c r="C157" s="3234">
        <v>1</v>
      </c>
      <c r="D157" s="3235">
        <v>801</v>
      </c>
      <c r="E157" s="3236" t="str">
        <f t="shared" si="9"/>
        <v>9-1-801</v>
      </c>
      <c r="F157" s="3237">
        <v>114.18</v>
      </c>
      <c r="G157" s="3238">
        <v>93.55</v>
      </c>
      <c r="H157" s="3239" t="s">
        <v>409</v>
      </c>
      <c r="I157" s="3239" t="s">
        <v>3395</v>
      </c>
      <c r="J157" s="3239">
        <v>3699432</v>
      </c>
      <c r="K157" s="3239">
        <v>32400</v>
      </c>
      <c r="L157" s="3231">
        <v>3699432</v>
      </c>
      <c r="M157" s="3231">
        <v>32400</v>
      </c>
      <c r="N157" s="3230" t="s">
        <v>4404</v>
      </c>
      <c r="O157" s="3240">
        <f t="shared" ref="O157:O170" si="12">ROUND(L157*0.95,0)</f>
        <v>3514460</v>
      </c>
    </row>
    <row r="158" spans="1:15" ht="16.5">
      <c r="A158" s="3234">
        <v>156</v>
      </c>
      <c r="B158" s="3234">
        <v>9</v>
      </c>
      <c r="C158" s="3234">
        <v>1</v>
      </c>
      <c r="D158" s="3235">
        <v>802</v>
      </c>
      <c r="E158" s="3236" t="str">
        <f t="shared" si="9"/>
        <v>9-1-802</v>
      </c>
      <c r="F158" s="3237">
        <v>110.06</v>
      </c>
      <c r="G158" s="3238">
        <v>90.17</v>
      </c>
      <c r="H158" s="3239" t="s">
        <v>4405</v>
      </c>
      <c r="I158" s="3239" t="s">
        <v>3395</v>
      </c>
      <c r="J158" s="3239">
        <v>3565944</v>
      </c>
      <c r="K158" s="3239">
        <v>32400</v>
      </c>
      <c r="L158" s="3231">
        <v>3565944</v>
      </c>
      <c r="M158" s="3231">
        <v>32400</v>
      </c>
      <c r="N158" s="3230" t="s">
        <v>4404</v>
      </c>
      <c r="O158" s="3240">
        <f t="shared" si="12"/>
        <v>3387647</v>
      </c>
    </row>
    <row r="159" spans="1:15" ht="16.5">
      <c r="A159" s="3234">
        <v>157</v>
      </c>
      <c r="B159" s="3234">
        <v>9</v>
      </c>
      <c r="C159" s="3234">
        <v>2</v>
      </c>
      <c r="D159" s="3235">
        <v>102</v>
      </c>
      <c r="E159" s="3236" t="str">
        <f t="shared" si="9"/>
        <v>9-2-102</v>
      </c>
      <c r="F159" s="3237">
        <v>134.22999999999999</v>
      </c>
      <c r="G159" s="3238">
        <v>109.98</v>
      </c>
      <c r="H159" s="3239" t="s">
        <v>4412</v>
      </c>
      <c r="I159" s="3239" t="s">
        <v>3395</v>
      </c>
      <c r="J159" s="3239">
        <v>3996251.26</v>
      </c>
      <c r="K159" s="3239">
        <v>29771.67</v>
      </c>
      <c r="L159" s="3231">
        <v>3996251</v>
      </c>
      <c r="M159" s="3231">
        <v>29771.67</v>
      </c>
      <c r="N159" s="3230" t="s">
        <v>4404</v>
      </c>
      <c r="O159" s="3240">
        <f t="shared" si="12"/>
        <v>3796438</v>
      </c>
    </row>
    <row r="160" spans="1:15" ht="16.5">
      <c r="A160" s="3234">
        <v>158</v>
      </c>
      <c r="B160" s="3234">
        <v>9</v>
      </c>
      <c r="C160" s="3234">
        <v>2</v>
      </c>
      <c r="D160" s="3235">
        <v>201</v>
      </c>
      <c r="E160" s="3236" t="str">
        <f t="shared" si="9"/>
        <v>9-2-201</v>
      </c>
      <c r="F160" s="3237">
        <v>109.84</v>
      </c>
      <c r="G160" s="3238">
        <v>89.99</v>
      </c>
      <c r="H160" s="3239" t="s">
        <v>4413</v>
      </c>
      <c r="I160" s="3239" t="s">
        <v>3395</v>
      </c>
      <c r="J160" s="3239">
        <v>3253644.23</v>
      </c>
      <c r="K160" s="3239">
        <v>29621.67</v>
      </c>
      <c r="L160" s="3231">
        <v>3253644</v>
      </c>
      <c r="M160" s="3231">
        <v>29621.67</v>
      </c>
      <c r="N160" s="3230" t="s">
        <v>4404</v>
      </c>
      <c r="O160" s="3240">
        <f t="shared" si="12"/>
        <v>3090962</v>
      </c>
    </row>
    <row r="161" spans="1:15" ht="16.5">
      <c r="A161" s="3234">
        <v>159</v>
      </c>
      <c r="B161" s="3234">
        <v>9</v>
      </c>
      <c r="C161" s="3234">
        <v>2</v>
      </c>
      <c r="D161" s="3235">
        <v>202</v>
      </c>
      <c r="E161" s="3236" t="str">
        <f t="shared" si="9"/>
        <v>9-2-202</v>
      </c>
      <c r="F161" s="3237">
        <v>134.22999999999999</v>
      </c>
      <c r="G161" s="3238">
        <v>109.98</v>
      </c>
      <c r="H161" s="3239" t="s">
        <v>4412</v>
      </c>
      <c r="I161" s="3239" t="s">
        <v>3395</v>
      </c>
      <c r="J161" s="3239">
        <v>4036520.26</v>
      </c>
      <c r="K161" s="3239">
        <v>30071.67</v>
      </c>
      <c r="L161" s="3231">
        <v>4036520</v>
      </c>
      <c r="M161" s="3231">
        <v>30071.67</v>
      </c>
      <c r="N161" s="3230" t="s">
        <v>4404</v>
      </c>
      <c r="O161" s="3240">
        <f t="shared" si="12"/>
        <v>3834694</v>
      </c>
    </row>
    <row r="162" spans="1:15" ht="16.5">
      <c r="A162" s="3234">
        <v>160</v>
      </c>
      <c r="B162" s="3234">
        <v>9</v>
      </c>
      <c r="C162" s="3234">
        <v>2</v>
      </c>
      <c r="D162" s="3235">
        <v>301</v>
      </c>
      <c r="E162" s="3236" t="str">
        <f t="shared" si="9"/>
        <v>9-2-301</v>
      </c>
      <c r="F162" s="3237">
        <v>109.86</v>
      </c>
      <c r="G162" s="3238">
        <v>90.01</v>
      </c>
      <c r="H162" s="3239" t="s">
        <v>4413</v>
      </c>
      <c r="I162" s="3239" t="s">
        <v>3395</v>
      </c>
      <c r="J162" s="3239">
        <v>3309166.67</v>
      </c>
      <c r="K162" s="3239">
        <v>30121.67</v>
      </c>
      <c r="L162" s="3231">
        <v>3309166</v>
      </c>
      <c r="M162" s="3231">
        <v>30121.66</v>
      </c>
      <c r="N162" s="3230" t="s">
        <v>4404</v>
      </c>
      <c r="O162" s="3240">
        <f t="shared" si="12"/>
        <v>3143708</v>
      </c>
    </row>
    <row r="163" spans="1:15" ht="16.5">
      <c r="A163" s="3234">
        <v>161</v>
      </c>
      <c r="B163" s="3234">
        <v>9</v>
      </c>
      <c r="C163" s="3234">
        <v>2</v>
      </c>
      <c r="D163" s="3235">
        <v>302</v>
      </c>
      <c r="E163" s="3236" t="str">
        <f t="shared" si="9"/>
        <v>9-2-302</v>
      </c>
      <c r="F163" s="3237">
        <v>134.22999999999999</v>
      </c>
      <c r="G163" s="3238">
        <v>109.98</v>
      </c>
      <c r="H163" s="3239" t="s">
        <v>4412</v>
      </c>
      <c r="I163" s="3239" t="s">
        <v>3395</v>
      </c>
      <c r="J163" s="3239">
        <v>4103635.26</v>
      </c>
      <c r="K163" s="3239">
        <v>30571.67</v>
      </c>
      <c r="L163" s="3231">
        <v>4103635</v>
      </c>
      <c r="M163" s="3231">
        <v>30571.67</v>
      </c>
      <c r="N163" s="3230" t="s">
        <v>4404</v>
      </c>
      <c r="O163" s="3240">
        <f t="shared" si="12"/>
        <v>3898453</v>
      </c>
    </row>
    <row r="164" spans="1:15" ht="16.5">
      <c r="A164" s="3234">
        <v>162</v>
      </c>
      <c r="B164" s="3234">
        <v>9</v>
      </c>
      <c r="C164" s="3234">
        <v>2</v>
      </c>
      <c r="D164" s="3235">
        <v>401</v>
      </c>
      <c r="E164" s="3236" t="str">
        <f t="shared" si="9"/>
        <v>9-2-401</v>
      </c>
      <c r="F164" s="3237">
        <v>109.86</v>
      </c>
      <c r="G164" s="3238">
        <v>90.01</v>
      </c>
      <c r="H164" s="3239" t="s">
        <v>4413</v>
      </c>
      <c r="I164" s="3239" t="s">
        <v>3395</v>
      </c>
      <c r="J164" s="3239">
        <v>3342124.67</v>
      </c>
      <c r="K164" s="3239">
        <v>30421.67</v>
      </c>
      <c r="L164" s="3231">
        <v>3342124</v>
      </c>
      <c r="M164" s="3231">
        <v>30421.66</v>
      </c>
      <c r="N164" s="3230" t="s">
        <v>4404</v>
      </c>
      <c r="O164" s="3240">
        <f t="shared" si="12"/>
        <v>3175018</v>
      </c>
    </row>
    <row r="165" spans="1:15" ht="16.5">
      <c r="A165" s="3234">
        <v>163</v>
      </c>
      <c r="B165" s="3234">
        <v>9</v>
      </c>
      <c r="C165" s="3234">
        <v>2</v>
      </c>
      <c r="D165" s="3235">
        <v>402</v>
      </c>
      <c r="E165" s="3236" t="str">
        <f t="shared" si="9"/>
        <v>9-2-402</v>
      </c>
      <c r="F165" s="3237">
        <v>134.22999999999999</v>
      </c>
      <c r="G165" s="3238">
        <v>109.98</v>
      </c>
      <c r="H165" s="3239" t="s">
        <v>4412</v>
      </c>
      <c r="I165" s="3239" t="s">
        <v>3395</v>
      </c>
      <c r="J165" s="3239">
        <v>4150615.76</v>
      </c>
      <c r="K165" s="3239">
        <v>30921.67</v>
      </c>
      <c r="L165" s="3231">
        <v>4150615</v>
      </c>
      <c r="M165" s="3231">
        <v>30921.66</v>
      </c>
      <c r="N165" s="3230" t="s">
        <v>4404</v>
      </c>
      <c r="O165" s="3240">
        <f t="shared" si="12"/>
        <v>3943084</v>
      </c>
    </row>
    <row r="166" spans="1:15" ht="16.5">
      <c r="A166" s="3234">
        <v>164</v>
      </c>
      <c r="B166" s="3234">
        <v>9</v>
      </c>
      <c r="C166" s="3234">
        <v>2</v>
      </c>
      <c r="D166" s="3235">
        <v>501</v>
      </c>
      <c r="E166" s="3236" t="str">
        <f t="shared" si="9"/>
        <v>9-2-501</v>
      </c>
      <c r="F166" s="3237">
        <v>109.86</v>
      </c>
      <c r="G166" s="3238">
        <v>90.01</v>
      </c>
      <c r="H166" s="3239" t="s">
        <v>4413</v>
      </c>
      <c r="I166" s="3239" t="s">
        <v>3395</v>
      </c>
      <c r="J166" s="3239">
        <v>3364096.67</v>
      </c>
      <c r="K166" s="3239">
        <v>30621.67</v>
      </c>
      <c r="L166" s="3231">
        <v>3364096</v>
      </c>
      <c r="M166" s="3231">
        <v>30621.66</v>
      </c>
      <c r="N166" s="3230" t="s">
        <v>4404</v>
      </c>
      <c r="O166" s="3240">
        <f t="shared" si="12"/>
        <v>3195891</v>
      </c>
    </row>
    <row r="167" spans="1:15" ht="16.5">
      <c r="A167" s="3234">
        <v>165</v>
      </c>
      <c r="B167" s="3234">
        <v>9</v>
      </c>
      <c r="C167" s="3234">
        <v>2</v>
      </c>
      <c r="D167" s="3235">
        <v>502</v>
      </c>
      <c r="E167" s="3236" t="str">
        <f t="shared" si="9"/>
        <v>9-2-502</v>
      </c>
      <c r="F167" s="3237">
        <v>134.22999999999999</v>
      </c>
      <c r="G167" s="3238">
        <v>109.98</v>
      </c>
      <c r="H167" s="3239" t="s">
        <v>4412</v>
      </c>
      <c r="I167" s="3239" t="s">
        <v>3395</v>
      </c>
      <c r="J167" s="3239">
        <v>4177461.76</v>
      </c>
      <c r="K167" s="3239">
        <v>31121.67</v>
      </c>
      <c r="L167" s="3231">
        <v>4177461</v>
      </c>
      <c r="M167" s="3231">
        <v>31121.66</v>
      </c>
      <c r="N167" s="3230" t="s">
        <v>4404</v>
      </c>
      <c r="O167" s="3240">
        <f t="shared" si="12"/>
        <v>3968588</v>
      </c>
    </row>
    <row r="168" spans="1:15" ht="16.5">
      <c r="A168" s="3234">
        <v>166</v>
      </c>
      <c r="B168" s="3234">
        <v>9</v>
      </c>
      <c r="C168" s="3234">
        <v>2</v>
      </c>
      <c r="D168" s="3235">
        <v>601</v>
      </c>
      <c r="E168" s="3236" t="str">
        <f t="shared" si="9"/>
        <v>9-2-601</v>
      </c>
      <c r="F168" s="3237">
        <v>109.86</v>
      </c>
      <c r="G168" s="3238">
        <v>90.01</v>
      </c>
      <c r="H168" s="3239" t="s">
        <v>4413</v>
      </c>
      <c r="I168" s="3239" t="s">
        <v>3395</v>
      </c>
      <c r="J168" s="3239">
        <v>3386068.67</v>
      </c>
      <c r="K168" s="3239">
        <v>30821.67</v>
      </c>
      <c r="L168" s="3231">
        <v>3386068</v>
      </c>
      <c r="M168" s="3231">
        <v>30821.66</v>
      </c>
      <c r="N168" s="3230" t="s">
        <v>4404</v>
      </c>
      <c r="O168" s="3240">
        <f t="shared" si="12"/>
        <v>3216765</v>
      </c>
    </row>
    <row r="169" spans="1:15" ht="16.5">
      <c r="A169" s="3234">
        <v>167</v>
      </c>
      <c r="B169" s="3234">
        <v>9</v>
      </c>
      <c r="C169" s="3234">
        <v>2</v>
      </c>
      <c r="D169" s="3235">
        <v>602</v>
      </c>
      <c r="E169" s="3236" t="str">
        <f t="shared" si="9"/>
        <v>9-2-602</v>
      </c>
      <c r="F169" s="3237">
        <v>134.22999999999999</v>
      </c>
      <c r="G169" s="3238">
        <v>109.98</v>
      </c>
      <c r="H169" s="3239" t="s">
        <v>4412</v>
      </c>
      <c r="I169" s="3239" t="s">
        <v>3395</v>
      </c>
      <c r="J169" s="3239">
        <v>4204307.76</v>
      </c>
      <c r="K169" s="3239">
        <v>31321.67</v>
      </c>
      <c r="L169" s="3231">
        <v>4204307</v>
      </c>
      <c r="M169" s="3231">
        <v>31321.66</v>
      </c>
      <c r="N169" s="3230" t="s">
        <v>4404</v>
      </c>
      <c r="O169" s="3240">
        <f t="shared" si="12"/>
        <v>3994092</v>
      </c>
    </row>
    <row r="170" spans="1:15" ht="16.5">
      <c r="A170" s="3234">
        <v>168</v>
      </c>
      <c r="B170" s="3234">
        <v>9</v>
      </c>
      <c r="C170" s="3234">
        <v>2</v>
      </c>
      <c r="D170" s="3235">
        <v>702</v>
      </c>
      <c r="E170" s="3236" t="str">
        <f t="shared" si="9"/>
        <v>9-2-702</v>
      </c>
      <c r="F170" s="3237">
        <v>134.22999999999999</v>
      </c>
      <c r="G170" s="3238">
        <v>109.98</v>
      </c>
      <c r="H170" s="3239" t="s">
        <v>4412</v>
      </c>
      <c r="I170" s="3239" t="s">
        <v>3395</v>
      </c>
      <c r="J170" s="3239">
        <v>4231153.76</v>
      </c>
      <c r="K170" s="3239">
        <v>31521.67</v>
      </c>
      <c r="L170" s="3231">
        <v>4231153</v>
      </c>
      <c r="M170" s="3231">
        <v>31521.66</v>
      </c>
      <c r="N170" s="3230" t="s">
        <v>4404</v>
      </c>
      <c r="O170" s="3240">
        <f t="shared" si="12"/>
        <v>4019595</v>
      </c>
    </row>
    <row r="171" spans="1:15" ht="16.5">
      <c r="A171" s="3234">
        <v>169</v>
      </c>
      <c r="B171" s="3234">
        <v>9</v>
      </c>
      <c r="C171" s="3234">
        <v>2</v>
      </c>
      <c r="D171" s="3235">
        <v>801</v>
      </c>
      <c r="E171" s="3236" t="str">
        <f t="shared" si="9"/>
        <v>9-2-801</v>
      </c>
      <c r="F171" s="3237">
        <v>109.86</v>
      </c>
      <c r="G171" s="3238">
        <v>90.01</v>
      </c>
      <c r="H171" s="3239" t="s">
        <v>4413</v>
      </c>
      <c r="I171" s="3239" t="s">
        <v>3395</v>
      </c>
      <c r="J171" s="3239">
        <v>3559464</v>
      </c>
      <c r="K171" s="3239">
        <v>32400</v>
      </c>
      <c r="L171" s="3231">
        <v>3559464</v>
      </c>
      <c r="M171" s="3231">
        <v>32400</v>
      </c>
      <c r="N171" s="3230" t="s">
        <v>4407</v>
      </c>
      <c r="O171" s="3240">
        <v>3523869</v>
      </c>
    </row>
    <row r="172" spans="1:15" ht="16.5">
      <c r="A172" s="3234">
        <v>170</v>
      </c>
      <c r="B172" s="3234">
        <v>9</v>
      </c>
      <c r="C172" s="3234">
        <v>2</v>
      </c>
      <c r="D172" s="3235">
        <v>802</v>
      </c>
      <c r="E172" s="3236" t="str">
        <f t="shared" si="9"/>
        <v>9-2-802</v>
      </c>
      <c r="F172" s="3237">
        <v>134.22999999999999</v>
      </c>
      <c r="G172" s="3238">
        <v>109.98</v>
      </c>
      <c r="H172" s="3239" t="s">
        <v>4412</v>
      </c>
      <c r="I172" s="3239" t="s">
        <v>3395</v>
      </c>
      <c r="J172" s="3239">
        <v>4349052</v>
      </c>
      <c r="K172" s="3239">
        <v>32400</v>
      </c>
      <c r="L172" s="3231">
        <v>4349052</v>
      </c>
      <c r="M172" s="3231">
        <v>32400</v>
      </c>
      <c r="N172" s="3230" t="s">
        <v>4404</v>
      </c>
      <c r="O172" s="3240">
        <f>ROUND(L172*0.95,0)</f>
        <v>4131599</v>
      </c>
    </row>
    <row r="173" spans="1:15" ht="16.5">
      <c r="A173" s="3234">
        <v>171</v>
      </c>
      <c r="B173" s="3234">
        <v>10</v>
      </c>
      <c r="C173" s="3234"/>
      <c r="D173" s="3235">
        <v>101</v>
      </c>
      <c r="E173" s="3236" t="str">
        <f t="shared" si="9"/>
        <v>10--101</v>
      </c>
      <c r="F173" s="3237">
        <v>141.34</v>
      </c>
      <c r="G173" s="3238">
        <v>111.76</v>
      </c>
      <c r="H173" s="3239" t="s">
        <v>4408</v>
      </c>
      <c r="I173" s="3239" t="s">
        <v>3395</v>
      </c>
      <c r="J173" s="3239">
        <v>4087788.84</v>
      </c>
      <c r="K173" s="3239">
        <v>28921.67</v>
      </c>
      <c r="L173" s="3231">
        <v>4087788</v>
      </c>
      <c r="M173" s="3231">
        <v>28921.66</v>
      </c>
      <c r="N173" s="3230" t="s">
        <v>4404</v>
      </c>
      <c r="O173" s="3240">
        <f t="shared" ref="O173:O179" si="13">ROUND(L173*0.95,0)</f>
        <v>3883399</v>
      </c>
    </row>
    <row r="174" spans="1:15" ht="16.5">
      <c r="A174" s="3234">
        <v>172</v>
      </c>
      <c r="B174" s="3234">
        <v>10</v>
      </c>
      <c r="C174" s="3234"/>
      <c r="D174" s="3235">
        <v>102</v>
      </c>
      <c r="E174" s="3236" t="str">
        <f t="shared" si="9"/>
        <v>10--102</v>
      </c>
      <c r="F174" s="3237">
        <v>140.32</v>
      </c>
      <c r="G174" s="3238">
        <v>110.95</v>
      </c>
      <c r="H174" s="3239" t="s">
        <v>4409</v>
      </c>
      <c r="I174" s="3239" t="s">
        <v>3395</v>
      </c>
      <c r="J174" s="3239">
        <v>4016192.73</v>
      </c>
      <c r="K174" s="3239">
        <v>28621.67</v>
      </c>
      <c r="L174" s="3231">
        <v>4016192</v>
      </c>
      <c r="M174" s="3231">
        <v>28621.66</v>
      </c>
      <c r="N174" s="3230" t="s">
        <v>4404</v>
      </c>
      <c r="O174" s="3240">
        <f t="shared" si="13"/>
        <v>3815382</v>
      </c>
    </row>
    <row r="175" spans="1:15" ht="16.5">
      <c r="A175" s="3234">
        <v>173</v>
      </c>
      <c r="B175" s="3234">
        <v>10</v>
      </c>
      <c r="C175" s="3234"/>
      <c r="D175" s="3235">
        <v>201</v>
      </c>
      <c r="E175" s="3236" t="str">
        <f t="shared" si="9"/>
        <v>10--201</v>
      </c>
      <c r="F175" s="3237">
        <v>141.34</v>
      </c>
      <c r="G175" s="3238">
        <v>111.76</v>
      </c>
      <c r="H175" s="3239" t="s">
        <v>4408</v>
      </c>
      <c r="I175" s="3239" t="s">
        <v>3395</v>
      </c>
      <c r="J175" s="3239">
        <v>4130190.84</v>
      </c>
      <c r="K175" s="3239">
        <v>29221.67</v>
      </c>
      <c r="L175" s="3231">
        <v>4130190</v>
      </c>
      <c r="M175" s="3231">
        <v>29221.66</v>
      </c>
      <c r="N175" s="3230" t="s">
        <v>4404</v>
      </c>
      <c r="O175" s="3240">
        <f t="shared" si="13"/>
        <v>3923681</v>
      </c>
    </row>
    <row r="176" spans="1:15" ht="16.5">
      <c r="A176" s="3234">
        <v>174</v>
      </c>
      <c r="B176" s="3234">
        <v>10</v>
      </c>
      <c r="C176" s="3234"/>
      <c r="D176" s="3235">
        <v>202</v>
      </c>
      <c r="E176" s="3236" t="str">
        <f t="shared" si="9"/>
        <v>10--202</v>
      </c>
      <c r="F176" s="3237">
        <v>140.32</v>
      </c>
      <c r="G176" s="3238">
        <v>110.95</v>
      </c>
      <c r="H176" s="3239" t="s">
        <v>4409</v>
      </c>
      <c r="I176" s="3239" t="s">
        <v>3395</v>
      </c>
      <c r="J176" s="3239">
        <v>4058288.73</v>
      </c>
      <c r="K176" s="3239">
        <v>28921.67</v>
      </c>
      <c r="L176" s="3231">
        <v>4058288</v>
      </c>
      <c r="M176" s="3231">
        <v>28921.66</v>
      </c>
      <c r="N176" s="3230" t="s">
        <v>4404</v>
      </c>
      <c r="O176" s="3240">
        <f t="shared" si="13"/>
        <v>3855374</v>
      </c>
    </row>
    <row r="177" spans="1:15" ht="16.5">
      <c r="A177" s="3234">
        <v>175</v>
      </c>
      <c r="B177" s="3234">
        <v>10</v>
      </c>
      <c r="C177" s="3234"/>
      <c r="D177" s="3235">
        <v>301</v>
      </c>
      <c r="E177" s="3236" t="str">
        <f t="shared" si="9"/>
        <v>10--301</v>
      </c>
      <c r="F177" s="3237">
        <v>141.34</v>
      </c>
      <c r="G177" s="3238">
        <v>111.76</v>
      </c>
      <c r="H177" s="3239" t="s">
        <v>4408</v>
      </c>
      <c r="I177" s="3239" t="s">
        <v>3395</v>
      </c>
      <c r="J177" s="3239">
        <v>4200860.84</v>
      </c>
      <c r="K177" s="3239">
        <v>29721.67</v>
      </c>
      <c r="L177" s="3231">
        <v>4200860</v>
      </c>
      <c r="M177" s="3231">
        <v>29721.66</v>
      </c>
      <c r="N177" s="3230" t="s">
        <v>4404</v>
      </c>
      <c r="O177" s="3240">
        <f t="shared" si="13"/>
        <v>3990817</v>
      </c>
    </row>
    <row r="178" spans="1:15" ht="16.5">
      <c r="A178" s="3234">
        <v>176</v>
      </c>
      <c r="B178" s="3234">
        <v>10</v>
      </c>
      <c r="C178" s="3234"/>
      <c r="D178" s="3235">
        <v>302</v>
      </c>
      <c r="E178" s="3236" t="str">
        <f t="shared" si="9"/>
        <v>10--302</v>
      </c>
      <c r="F178" s="3237">
        <v>140.32</v>
      </c>
      <c r="G178" s="3238">
        <v>110.95</v>
      </c>
      <c r="H178" s="3239" t="s">
        <v>4409</v>
      </c>
      <c r="I178" s="3239" t="s">
        <v>3395</v>
      </c>
      <c r="J178" s="3239">
        <v>4128448.73</v>
      </c>
      <c r="K178" s="3239">
        <v>29421.67</v>
      </c>
      <c r="L178" s="3231">
        <v>4128448</v>
      </c>
      <c r="M178" s="3231">
        <v>29421.66</v>
      </c>
      <c r="N178" s="3230" t="s">
        <v>4404</v>
      </c>
      <c r="O178" s="3240">
        <f t="shared" si="13"/>
        <v>3922026</v>
      </c>
    </row>
    <row r="179" spans="1:15" ht="16.5">
      <c r="A179" s="3234">
        <v>177</v>
      </c>
      <c r="B179" s="3234">
        <v>10</v>
      </c>
      <c r="C179" s="3234"/>
      <c r="D179" s="3235">
        <v>401</v>
      </c>
      <c r="E179" s="3236" t="str">
        <f t="shared" si="9"/>
        <v>10--401</v>
      </c>
      <c r="F179" s="3237">
        <v>141.34</v>
      </c>
      <c r="G179" s="3238">
        <v>111.76</v>
      </c>
      <c r="H179" s="3239" t="s">
        <v>4408</v>
      </c>
      <c r="I179" s="3239" t="s">
        <v>3395</v>
      </c>
      <c r="J179" s="3239">
        <v>4243262.84</v>
      </c>
      <c r="K179" s="3239">
        <v>30021.67</v>
      </c>
      <c r="L179" s="3231">
        <v>4243262</v>
      </c>
      <c r="M179" s="3231">
        <v>30021.66</v>
      </c>
      <c r="N179" s="3230" t="s">
        <v>4404</v>
      </c>
      <c r="O179" s="3240">
        <f t="shared" si="13"/>
        <v>4031099</v>
      </c>
    </row>
    <row r="180" spans="1:15" ht="16.5">
      <c r="A180" s="3234">
        <v>178</v>
      </c>
      <c r="B180" s="3234">
        <v>10</v>
      </c>
      <c r="C180" s="3234"/>
      <c r="D180" s="3235">
        <v>501</v>
      </c>
      <c r="E180" s="3236" t="str">
        <f t="shared" si="9"/>
        <v>10--501</v>
      </c>
      <c r="F180" s="3237">
        <v>141.34</v>
      </c>
      <c r="G180" s="3238">
        <v>111.76</v>
      </c>
      <c r="H180" s="3239" t="s">
        <v>4408</v>
      </c>
      <c r="I180" s="3239" t="s">
        <v>3395</v>
      </c>
      <c r="J180" s="3239">
        <v>4271530.84</v>
      </c>
      <c r="K180" s="3239">
        <v>30221.67</v>
      </c>
      <c r="L180" s="3231">
        <v>4271530</v>
      </c>
      <c r="M180" s="3231">
        <v>30221.66</v>
      </c>
      <c r="N180" s="3230" t="s">
        <v>4407</v>
      </c>
      <c r="O180" s="3240">
        <v>4062183</v>
      </c>
    </row>
    <row r="181" spans="1:15" ht="16.5">
      <c r="A181" s="3234">
        <v>179</v>
      </c>
      <c r="B181" s="3234">
        <v>10</v>
      </c>
      <c r="C181" s="3234"/>
      <c r="D181" s="3235">
        <v>502</v>
      </c>
      <c r="E181" s="3236" t="str">
        <f t="shared" si="9"/>
        <v>10--502</v>
      </c>
      <c r="F181" s="3237">
        <v>140.32</v>
      </c>
      <c r="G181" s="3238">
        <v>110.95</v>
      </c>
      <c r="H181" s="3239" t="s">
        <v>4409</v>
      </c>
      <c r="I181" s="3239" t="s">
        <v>3395</v>
      </c>
      <c r="J181" s="3239">
        <v>4198608.7300000004</v>
      </c>
      <c r="K181" s="3239">
        <v>29921.67</v>
      </c>
      <c r="L181" s="3231">
        <v>4198608</v>
      </c>
      <c r="M181" s="3231">
        <v>29921.66</v>
      </c>
      <c r="N181" s="3230" t="s">
        <v>4407</v>
      </c>
      <c r="O181" s="3240">
        <v>3952906</v>
      </c>
    </row>
    <row r="182" spans="1:15" ht="16.5">
      <c r="A182" s="3234">
        <v>180</v>
      </c>
      <c r="B182" s="3234">
        <v>10</v>
      </c>
      <c r="C182" s="3234"/>
      <c r="D182" s="3235">
        <v>601</v>
      </c>
      <c r="E182" s="3236" t="str">
        <f t="shared" si="9"/>
        <v>10--601</v>
      </c>
      <c r="F182" s="3237">
        <v>141.34</v>
      </c>
      <c r="G182" s="3238">
        <v>111.76</v>
      </c>
      <c r="H182" s="3239" t="s">
        <v>4408</v>
      </c>
      <c r="I182" s="3239" t="s">
        <v>3395</v>
      </c>
      <c r="J182" s="3239">
        <v>4299798.84</v>
      </c>
      <c r="K182" s="3239">
        <v>30421.67</v>
      </c>
      <c r="L182" s="3231">
        <v>4299798</v>
      </c>
      <c r="M182" s="3231">
        <v>30421.66</v>
      </c>
      <c r="N182" s="3230" t="s">
        <v>4404</v>
      </c>
      <c r="O182" s="3240">
        <f>ROUND(L182*0.95,0)</f>
        <v>4084808</v>
      </c>
    </row>
    <row r="183" spans="1:15" ht="16.5">
      <c r="A183" s="3234">
        <v>181</v>
      </c>
      <c r="B183" s="3234">
        <v>10</v>
      </c>
      <c r="C183" s="3234"/>
      <c r="D183" s="3235">
        <v>701</v>
      </c>
      <c r="E183" s="3236" t="str">
        <f t="shared" si="9"/>
        <v>10--701</v>
      </c>
      <c r="F183" s="3237">
        <v>141.34</v>
      </c>
      <c r="G183" s="3238">
        <v>111.76</v>
      </c>
      <c r="H183" s="3239" t="s">
        <v>4408</v>
      </c>
      <c r="I183" s="3239" t="s">
        <v>3395</v>
      </c>
      <c r="J183" s="3239">
        <v>4328066.84</v>
      </c>
      <c r="K183" s="3239">
        <v>30621.67</v>
      </c>
      <c r="L183" s="3231">
        <v>4328066</v>
      </c>
      <c r="M183" s="3231">
        <v>30621.66</v>
      </c>
      <c r="N183" s="3230" t="s">
        <v>4407</v>
      </c>
      <c r="O183" s="3240">
        <v>4115948</v>
      </c>
    </row>
    <row r="184" spans="1:15" ht="16.5">
      <c r="A184" s="3234">
        <v>182</v>
      </c>
      <c r="B184" s="3234">
        <v>11</v>
      </c>
      <c r="C184" s="3234"/>
      <c r="D184" s="3235">
        <v>101</v>
      </c>
      <c r="E184" s="3236" t="str">
        <f t="shared" si="9"/>
        <v>11--101</v>
      </c>
      <c r="F184" s="3237">
        <v>115</v>
      </c>
      <c r="G184" s="3238">
        <v>93.55</v>
      </c>
      <c r="H184" s="3239" t="s">
        <v>4410</v>
      </c>
      <c r="I184" s="3239" t="s">
        <v>3395</v>
      </c>
      <c r="J184" s="3239">
        <v>3331742.05</v>
      </c>
      <c r="K184" s="3239">
        <v>28971.67</v>
      </c>
      <c r="L184" s="3231">
        <v>3331742</v>
      </c>
      <c r="M184" s="3231">
        <v>28971.67</v>
      </c>
      <c r="N184" s="3230" t="s">
        <v>4404</v>
      </c>
      <c r="O184" s="3240">
        <f t="shared" ref="O184:O190" si="14">ROUND(L184*0.95,0)</f>
        <v>3165155</v>
      </c>
    </row>
    <row r="185" spans="1:15" ht="16.5">
      <c r="A185" s="3234">
        <v>183</v>
      </c>
      <c r="B185" s="3234">
        <v>11</v>
      </c>
      <c r="C185" s="3234"/>
      <c r="D185" s="3235">
        <v>102</v>
      </c>
      <c r="E185" s="3236" t="str">
        <f t="shared" si="9"/>
        <v>11--102</v>
      </c>
      <c r="F185" s="3237">
        <v>131.58000000000001</v>
      </c>
      <c r="G185" s="3238">
        <v>107.04</v>
      </c>
      <c r="H185" s="3239" t="s">
        <v>4411</v>
      </c>
      <c r="I185" s="3239" t="s">
        <v>3395</v>
      </c>
      <c r="J185" s="3239">
        <v>3838408.34</v>
      </c>
      <c r="K185" s="3239">
        <v>29171.67</v>
      </c>
      <c r="L185" s="3231">
        <v>3838408</v>
      </c>
      <c r="M185" s="3231">
        <v>29171.67</v>
      </c>
      <c r="N185" s="3230" t="s">
        <v>4404</v>
      </c>
      <c r="O185" s="3240">
        <f t="shared" si="14"/>
        <v>3646488</v>
      </c>
    </row>
    <row r="186" spans="1:15" ht="16.5">
      <c r="A186" s="3234">
        <v>184</v>
      </c>
      <c r="B186" s="3234">
        <v>11</v>
      </c>
      <c r="C186" s="3234"/>
      <c r="D186" s="3235">
        <v>201</v>
      </c>
      <c r="E186" s="3236" t="str">
        <f t="shared" si="9"/>
        <v>11--201</v>
      </c>
      <c r="F186" s="3237">
        <v>115</v>
      </c>
      <c r="G186" s="3238">
        <v>93.55</v>
      </c>
      <c r="H186" s="3239" t="s">
        <v>4410</v>
      </c>
      <c r="I186" s="3239" t="s">
        <v>3395</v>
      </c>
      <c r="J186" s="3239">
        <v>3366242.05</v>
      </c>
      <c r="K186" s="3239">
        <v>29271.67</v>
      </c>
      <c r="L186" s="3231">
        <v>3366242</v>
      </c>
      <c r="M186" s="3231">
        <v>29271.67</v>
      </c>
      <c r="N186" s="3230" t="s">
        <v>4404</v>
      </c>
      <c r="O186" s="3240">
        <f t="shared" si="14"/>
        <v>3197930</v>
      </c>
    </row>
    <row r="187" spans="1:15" ht="16.5">
      <c r="A187" s="3234">
        <v>185</v>
      </c>
      <c r="B187" s="3234">
        <v>11</v>
      </c>
      <c r="C187" s="3234"/>
      <c r="D187" s="3235">
        <v>202</v>
      </c>
      <c r="E187" s="3236" t="str">
        <f t="shared" si="9"/>
        <v>11--202</v>
      </c>
      <c r="F187" s="3237">
        <v>131.58000000000001</v>
      </c>
      <c r="G187" s="3238">
        <v>107.04</v>
      </c>
      <c r="H187" s="3239" t="s">
        <v>4411</v>
      </c>
      <c r="I187" s="3239" t="s">
        <v>3395</v>
      </c>
      <c r="J187" s="3239">
        <v>3877882.34</v>
      </c>
      <c r="K187" s="3239">
        <v>29471.67</v>
      </c>
      <c r="L187" s="3231">
        <v>3877882</v>
      </c>
      <c r="M187" s="3231">
        <v>29471.67</v>
      </c>
      <c r="N187" s="3230" t="s">
        <v>4404</v>
      </c>
      <c r="O187" s="3240">
        <f t="shared" si="14"/>
        <v>3683988</v>
      </c>
    </row>
    <row r="188" spans="1:15" ht="16.5">
      <c r="A188" s="3234">
        <v>186</v>
      </c>
      <c r="B188" s="3234">
        <v>11</v>
      </c>
      <c r="C188" s="3234"/>
      <c r="D188" s="3235">
        <v>301</v>
      </c>
      <c r="E188" s="3236" t="str">
        <f t="shared" si="9"/>
        <v>11--301</v>
      </c>
      <c r="F188" s="3237">
        <v>115</v>
      </c>
      <c r="G188" s="3238">
        <v>93.55</v>
      </c>
      <c r="H188" s="3239" t="s">
        <v>4410</v>
      </c>
      <c r="I188" s="3239" t="s">
        <v>3395</v>
      </c>
      <c r="J188" s="3239">
        <v>3423742.05</v>
      </c>
      <c r="K188" s="3239">
        <v>29771.67</v>
      </c>
      <c r="L188" s="3231">
        <v>3423742</v>
      </c>
      <c r="M188" s="3231">
        <v>29771.67</v>
      </c>
      <c r="N188" s="3230" t="s">
        <v>4404</v>
      </c>
      <c r="O188" s="3240">
        <f t="shared" si="14"/>
        <v>3252555</v>
      </c>
    </row>
    <row r="189" spans="1:15" ht="16.5">
      <c r="A189" s="3234">
        <v>187</v>
      </c>
      <c r="B189" s="3234">
        <v>11</v>
      </c>
      <c r="C189" s="3234"/>
      <c r="D189" s="3235">
        <v>302</v>
      </c>
      <c r="E189" s="3236" t="str">
        <f t="shared" si="9"/>
        <v>11--302</v>
      </c>
      <c r="F189" s="3237">
        <v>131.58000000000001</v>
      </c>
      <c r="G189" s="3238">
        <v>107.04</v>
      </c>
      <c r="H189" s="3239" t="s">
        <v>4411</v>
      </c>
      <c r="I189" s="3239" t="s">
        <v>3395</v>
      </c>
      <c r="J189" s="3239">
        <v>3943672.34</v>
      </c>
      <c r="K189" s="3239">
        <v>29971.67</v>
      </c>
      <c r="L189" s="3231">
        <v>3943672</v>
      </c>
      <c r="M189" s="3231">
        <v>29971.67</v>
      </c>
      <c r="N189" s="3230" t="s">
        <v>4404</v>
      </c>
      <c r="O189" s="3240">
        <f t="shared" si="14"/>
        <v>3746488</v>
      </c>
    </row>
    <row r="190" spans="1:15" ht="16.5">
      <c r="A190" s="3234">
        <v>188</v>
      </c>
      <c r="B190" s="3234">
        <v>11</v>
      </c>
      <c r="C190" s="3234"/>
      <c r="D190" s="3235">
        <v>401</v>
      </c>
      <c r="E190" s="3236" t="str">
        <f t="shared" si="9"/>
        <v>11--401</v>
      </c>
      <c r="F190" s="3237">
        <v>115</v>
      </c>
      <c r="G190" s="3238">
        <v>93.55</v>
      </c>
      <c r="H190" s="3239" t="s">
        <v>4410</v>
      </c>
      <c r="I190" s="3239" t="s">
        <v>3395</v>
      </c>
      <c r="J190" s="3239">
        <v>3458242.05</v>
      </c>
      <c r="K190" s="3239">
        <v>30071.67</v>
      </c>
      <c r="L190" s="3231">
        <v>3458242</v>
      </c>
      <c r="M190" s="3231">
        <v>30071.67</v>
      </c>
      <c r="N190" s="3230" t="s">
        <v>4404</v>
      </c>
      <c r="O190" s="3240">
        <f t="shared" si="14"/>
        <v>3285330</v>
      </c>
    </row>
    <row r="191" spans="1:15" ht="16.5">
      <c r="A191" s="3234">
        <v>189</v>
      </c>
      <c r="B191" s="3234">
        <v>11</v>
      </c>
      <c r="C191" s="3234"/>
      <c r="D191" s="3235">
        <v>402</v>
      </c>
      <c r="E191" s="3241" t="str">
        <f t="shared" si="9"/>
        <v>11--402</v>
      </c>
      <c r="F191" s="3242">
        <v>131.58000000000001</v>
      </c>
      <c r="G191" s="3238">
        <v>107.04</v>
      </c>
      <c r="H191" s="3239" t="s">
        <v>4411</v>
      </c>
      <c r="I191" s="3239" t="s">
        <v>3395</v>
      </c>
      <c r="J191" s="3239">
        <v>3983146.34</v>
      </c>
      <c r="K191" s="3239">
        <v>30271.67</v>
      </c>
      <c r="L191" s="3231">
        <v>3983146</v>
      </c>
      <c r="M191" s="3231">
        <v>30271.67</v>
      </c>
      <c r="N191" s="3230" t="s">
        <v>4407</v>
      </c>
      <c r="O191" s="3240">
        <v>3787932</v>
      </c>
    </row>
    <row r="192" spans="1:15" ht="16.5">
      <c r="A192" s="3234">
        <v>190</v>
      </c>
      <c r="B192" s="3234">
        <v>11</v>
      </c>
      <c r="C192" s="3234"/>
      <c r="D192" s="3235">
        <v>501</v>
      </c>
      <c r="E192" s="3236" t="str">
        <f t="shared" si="9"/>
        <v>11--501</v>
      </c>
      <c r="F192" s="3237">
        <v>115</v>
      </c>
      <c r="G192" s="3238">
        <v>93.55</v>
      </c>
      <c r="H192" s="3239" t="s">
        <v>4410</v>
      </c>
      <c r="I192" s="3239" t="s">
        <v>3395</v>
      </c>
      <c r="J192" s="3239">
        <v>3481242.05</v>
      </c>
      <c r="K192" s="3239">
        <v>30271.67</v>
      </c>
      <c r="L192" s="3231">
        <v>3481242</v>
      </c>
      <c r="M192" s="3231">
        <v>30271.67</v>
      </c>
      <c r="N192" s="3230" t="s">
        <v>4404</v>
      </c>
      <c r="O192" s="3240">
        <f>ROUND(L192*0.95,0)</f>
        <v>3307180</v>
      </c>
    </row>
    <row r="193" spans="1:15" ht="16.5">
      <c r="A193" s="3234">
        <v>191</v>
      </c>
      <c r="B193" s="3234">
        <v>11</v>
      </c>
      <c r="C193" s="3234"/>
      <c r="D193" s="3235">
        <v>502</v>
      </c>
      <c r="E193" s="3241" t="str">
        <f t="shared" si="9"/>
        <v>11--502</v>
      </c>
      <c r="F193" s="3242">
        <v>131.58000000000001</v>
      </c>
      <c r="G193" s="3238">
        <v>107.04</v>
      </c>
      <c r="H193" s="3239" t="s">
        <v>4411</v>
      </c>
      <c r="I193" s="3239" t="s">
        <v>3395</v>
      </c>
      <c r="J193" s="3239">
        <v>4009462.34</v>
      </c>
      <c r="K193" s="3239">
        <v>30471.67</v>
      </c>
      <c r="L193" s="3231">
        <v>4009462</v>
      </c>
      <c r="M193" s="3231">
        <v>30471.67</v>
      </c>
      <c r="N193" s="3230" t="s">
        <v>4407</v>
      </c>
      <c r="O193" s="3240">
        <v>3849084</v>
      </c>
    </row>
    <row r="194" spans="1:15" ht="16.5">
      <c r="A194" s="3234">
        <v>192</v>
      </c>
      <c r="B194" s="3234">
        <v>11</v>
      </c>
      <c r="C194" s="3234"/>
      <c r="D194" s="3235">
        <v>601</v>
      </c>
      <c r="E194" s="3241" t="str">
        <f t="shared" si="9"/>
        <v>11--601</v>
      </c>
      <c r="F194" s="3242">
        <v>115</v>
      </c>
      <c r="G194" s="3238">
        <v>93.55</v>
      </c>
      <c r="H194" s="3239" t="s">
        <v>4410</v>
      </c>
      <c r="I194" s="3239" t="s">
        <v>3395</v>
      </c>
      <c r="J194" s="3239">
        <v>3504242.05</v>
      </c>
      <c r="K194" s="3239">
        <v>30471.67</v>
      </c>
      <c r="L194" s="3231">
        <v>3504242</v>
      </c>
      <c r="M194" s="3231">
        <v>30471.67</v>
      </c>
      <c r="N194" s="3230" t="s">
        <v>4404</v>
      </c>
      <c r="O194" s="3240">
        <f>ROUND(L194*0.95,0)</f>
        <v>3329030</v>
      </c>
    </row>
    <row r="195" spans="1:15" ht="16.5">
      <c r="A195" s="3234">
        <v>193</v>
      </c>
      <c r="B195" s="3234">
        <v>11</v>
      </c>
      <c r="C195" s="3234"/>
      <c r="D195" s="3235">
        <v>701</v>
      </c>
      <c r="E195" s="3236" t="str">
        <f t="shared" ref="E195:E220" si="15">CONCATENATE(B195,"-",C195,"-",D195)</f>
        <v>11--701</v>
      </c>
      <c r="F195" s="3237">
        <v>115</v>
      </c>
      <c r="G195" s="3238">
        <v>93.55</v>
      </c>
      <c r="H195" s="3239" t="s">
        <v>4410</v>
      </c>
      <c r="I195" s="3239" t="s">
        <v>3395</v>
      </c>
      <c r="J195" s="3239">
        <v>3527242.05</v>
      </c>
      <c r="K195" s="3239">
        <v>30671.67</v>
      </c>
      <c r="L195" s="3231">
        <v>3527242</v>
      </c>
      <c r="M195" s="3231">
        <v>30671.67</v>
      </c>
      <c r="N195" s="3230" t="s">
        <v>4404</v>
      </c>
      <c r="O195" s="3240">
        <f>ROUND(L195*0.95,0)</f>
        <v>3350880</v>
      </c>
    </row>
    <row r="196" spans="1:15" ht="16.5">
      <c r="A196" s="3234">
        <v>194</v>
      </c>
      <c r="B196" s="3234">
        <v>11</v>
      </c>
      <c r="C196" s="3234"/>
      <c r="D196" s="3235">
        <v>702</v>
      </c>
      <c r="E196" s="3236" t="str">
        <f t="shared" si="15"/>
        <v>11--702</v>
      </c>
      <c r="F196" s="3237">
        <v>131.58000000000001</v>
      </c>
      <c r="G196" s="3238">
        <v>107.04</v>
      </c>
      <c r="H196" s="3239" t="s">
        <v>4411</v>
      </c>
      <c r="I196" s="3239" t="s">
        <v>3395</v>
      </c>
      <c r="J196" s="3239">
        <v>4068673.34</v>
      </c>
      <c r="K196" s="3239">
        <v>30921.67</v>
      </c>
      <c r="L196" s="3231">
        <v>4068673</v>
      </c>
      <c r="M196" s="3231">
        <v>30921.67</v>
      </c>
      <c r="N196" s="3230" t="s">
        <v>4407</v>
      </c>
      <c r="O196" s="3240">
        <v>3905926</v>
      </c>
    </row>
    <row r="197" spans="1:15" ht="16.5">
      <c r="A197" s="3234">
        <v>195</v>
      </c>
      <c r="B197" s="3234">
        <v>11</v>
      </c>
      <c r="C197" s="3234"/>
      <c r="D197" s="3235">
        <v>801</v>
      </c>
      <c r="E197" s="3236" t="str">
        <f t="shared" si="15"/>
        <v>11--801</v>
      </c>
      <c r="F197" s="3237">
        <v>115</v>
      </c>
      <c r="G197" s="3238">
        <v>93.55</v>
      </c>
      <c r="H197" s="3239" t="s">
        <v>4410</v>
      </c>
      <c r="I197" s="3239" t="s">
        <v>3395</v>
      </c>
      <c r="J197" s="3239">
        <v>3726000</v>
      </c>
      <c r="K197" s="3239">
        <v>32400</v>
      </c>
      <c r="L197" s="3231">
        <v>3726000</v>
      </c>
      <c r="M197" s="3231">
        <v>32400</v>
      </c>
      <c r="N197" s="3230" t="s">
        <v>4404</v>
      </c>
      <c r="O197" s="3240">
        <f t="shared" ref="O197:O202" si="16">ROUND(L197*0.95,0)</f>
        <v>3539700</v>
      </c>
    </row>
    <row r="198" spans="1:15" ht="16.5">
      <c r="A198" s="3234">
        <v>196</v>
      </c>
      <c r="B198" s="3234">
        <v>11</v>
      </c>
      <c r="C198" s="3234"/>
      <c r="D198" s="3235">
        <v>802</v>
      </c>
      <c r="E198" s="3236" t="str">
        <f t="shared" si="15"/>
        <v>11--802</v>
      </c>
      <c r="F198" s="3237">
        <v>131.58000000000001</v>
      </c>
      <c r="G198" s="3238">
        <v>107.04</v>
      </c>
      <c r="H198" s="3239" t="s">
        <v>4411</v>
      </c>
      <c r="I198" s="3239" t="s">
        <v>3395</v>
      </c>
      <c r="J198" s="3239">
        <v>4263192</v>
      </c>
      <c r="K198" s="3239">
        <v>32400</v>
      </c>
      <c r="L198" s="3231">
        <v>4263192</v>
      </c>
      <c r="M198" s="3231">
        <v>32400</v>
      </c>
      <c r="N198" s="3230" t="s">
        <v>4404</v>
      </c>
      <c r="O198" s="3240">
        <f t="shared" si="16"/>
        <v>4050032</v>
      </c>
    </row>
    <row r="199" spans="1:15" ht="16.5">
      <c r="A199" s="3234">
        <v>197</v>
      </c>
      <c r="B199" s="3234">
        <v>12</v>
      </c>
      <c r="C199" s="3234">
        <v>1</v>
      </c>
      <c r="D199" s="3235">
        <v>101</v>
      </c>
      <c r="E199" s="3236" t="str">
        <f t="shared" si="15"/>
        <v>12-1-101</v>
      </c>
      <c r="F199" s="3237">
        <v>129.09</v>
      </c>
      <c r="G199" s="3238">
        <v>107.04</v>
      </c>
      <c r="H199" s="3239" t="s">
        <v>4414</v>
      </c>
      <c r="I199" s="3239" t="s">
        <v>3395</v>
      </c>
      <c r="J199" s="3239">
        <v>3668953.38</v>
      </c>
      <c r="K199" s="3239">
        <v>28421.67</v>
      </c>
      <c r="L199" s="3231">
        <v>3668953</v>
      </c>
      <c r="M199" s="3231">
        <v>28421.67</v>
      </c>
      <c r="N199" s="3230" t="s">
        <v>4404</v>
      </c>
      <c r="O199" s="3240">
        <f t="shared" si="16"/>
        <v>3485505</v>
      </c>
    </row>
    <row r="200" spans="1:15" ht="16.5">
      <c r="A200" s="3234">
        <v>198</v>
      </c>
      <c r="B200" s="3234">
        <v>12</v>
      </c>
      <c r="C200" s="3234">
        <v>1</v>
      </c>
      <c r="D200" s="3235">
        <v>102</v>
      </c>
      <c r="E200" s="3236" t="str">
        <f t="shared" si="15"/>
        <v>12-1-102</v>
      </c>
      <c r="F200" s="3237">
        <v>128.75</v>
      </c>
      <c r="G200" s="3238">
        <v>106.75</v>
      </c>
      <c r="H200" s="3239" t="s">
        <v>4411</v>
      </c>
      <c r="I200" s="3239" t="s">
        <v>3395</v>
      </c>
      <c r="J200" s="3239">
        <v>3652852.51</v>
      </c>
      <c r="K200" s="3239">
        <v>28371.67</v>
      </c>
      <c r="L200" s="3231">
        <v>3652852</v>
      </c>
      <c r="M200" s="3231">
        <v>28371.67</v>
      </c>
      <c r="N200" s="3230" t="s">
        <v>4404</v>
      </c>
      <c r="O200" s="3240">
        <f t="shared" si="16"/>
        <v>3470209</v>
      </c>
    </row>
    <row r="201" spans="1:15" ht="16.5">
      <c r="A201" s="3234">
        <v>199</v>
      </c>
      <c r="B201" s="3234">
        <v>12</v>
      </c>
      <c r="C201" s="3234">
        <v>1</v>
      </c>
      <c r="D201" s="3235">
        <v>201</v>
      </c>
      <c r="E201" s="3236" t="str">
        <f t="shared" si="15"/>
        <v>12-1-201</v>
      </c>
      <c r="F201" s="3237">
        <v>129.09</v>
      </c>
      <c r="G201" s="3238">
        <v>107.04</v>
      </c>
      <c r="H201" s="3239" t="s">
        <v>4414</v>
      </c>
      <c r="I201" s="3239" t="s">
        <v>3395</v>
      </c>
      <c r="J201" s="3239">
        <v>3707680.38</v>
      </c>
      <c r="K201" s="3239">
        <v>28721.67</v>
      </c>
      <c r="L201" s="3231">
        <v>3707680</v>
      </c>
      <c r="M201" s="3231">
        <v>28721.67</v>
      </c>
      <c r="N201" s="3230" t="s">
        <v>4404</v>
      </c>
      <c r="O201" s="3240">
        <f t="shared" si="16"/>
        <v>3522296</v>
      </c>
    </row>
    <row r="202" spans="1:15" ht="16.5">
      <c r="A202" s="3234">
        <v>200</v>
      </c>
      <c r="B202" s="3234">
        <v>12</v>
      </c>
      <c r="C202" s="3234">
        <v>1</v>
      </c>
      <c r="D202" s="3235">
        <v>202</v>
      </c>
      <c r="E202" s="3236" t="str">
        <f t="shared" si="15"/>
        <v>12-1-202</v>
      </c>
      <c r="F202" s="3237">
        <v>128.75</v>
      </c>
      <c r="G202" s="3238">
        <v>106.75</v>
      </c>
      <c r="H202" s="3239" t="s">
        <v>4411</v>
      </c>
      <c r="I202" s="3239" t="s">
        <v>3395</v>
      </c>
      <c r="J202" s="3239">
        <v>3691477.51</v>
      </c>
      <c r="K202" s="3239">
        <v>28671.67</v>
      </c>
      <c r="L202" s="3231">
        <v>3691477</v>
      </c>
      <c r="M202" s="3231">
        <v>28671.67</v>
      </c>
      <c r="N202" s="3230" t="s">
        <v>4404</v>
      </c>
      <c r="O202" s="3240">
        <f t="shared" si="16"/>
        <v>3506903</v>
      </c>
    </row>
    <row r="203" spans="1:15" ht="16.5">
      <c r="A203" s="3234">
        <v>201</v>
      </c>
      <c r="B203" s="3234">
        <v>12</v>
      </c>
      <c r="C203" s="3234">
        <v>1</v>
      </c>
      <c r="D203" s="3235">
        <v>402</v>
      </c>
      <c r="E203" s="3236" t="str">
        <f t="shared" si="15"/>
        <v>12-1-402</v>
      </c>
      <c r="F203" s="3237">
        <v>128.75</v>
      </c>
      <c r="G203" s="3238">
        <v>106.75</v>
      </c>
      <c r="H203" s="3239" t="s">
        <v>4411</v>
      </c>
      <c r="I203" s="3239" t="s">
        <v>3395</v>
      </c>
      <c r="J203" s="3239">
        <v>3794477.51</v>
      </c>
      <c r="K203" s="3239">
        <v>29471.67</v>
      </c>
      <c r="L203" s="3231">
        <v>3794477</v>
      </c>
      <c r="M203" s="3231">
        <v>29471.67</v>
      </c>
      <c r="N203" s="3230" t="s">
        <v>4407</v>
      </c>
      <c r="O203" s="3240">
        <v>3608509</v>
      </c>
    </row>
    <row r="204" spans="1:15" ht="16.5">
      <c r="A204" s="3234">
        <v>202</v>
      </c>
      <c r="B204" s="3234">
        <v>12</v>
      </c>
      <c r="C204" s="3234">
        <v>1</v>
      </c>
      <c r="D204" s="3235">
        <v>701</v>
      </c>
      <c r="E204" s="3241" t="str">
        <f t="shared" si="15"/>
        <v>12-1-701</v>
      </c>
      <c r="F204" s="3242">
        <v>129.09</v>
      </c>
      <c r="G204" s="3238">
        <v>107.04</v>
      </c>
      <c r="H204" s="3239" t="s">
        <v>4414</v>
      </c>
      <c r="I204" s="3239" t="s">
        <v>3395</v>
      </c>
      <c r="J204" s="3239">
        <v>3888406.38</v>
      </c>
      <c r="K204" s="3239">
        <v>30121.67</v>
      </c>
      <c r="L204" s="3231">
        <v>3888406</v>
      </c>
      <c r="M204" s="3231">
        <v>30121.67</v>
      </c>
      <c r="N204" s="3230" t="s">
        <v>4407</v>
      </c>
      <c r="O204" s="3240">
        <v>3697835</v>
      </c>
    </row>
    <row r="205" spans="1:15" ht="16.5">
      <c r="A205" s="3234">
        <v>203</v>
      </c>
      <c r="B205" s="3234">
        <v>12</v>
      </c>
      <c r="C205" s="3234">
        <v>1</v>
      </c>
      <c r="D205" s="3235">
        <v>801</v>
      </c>
      <c r="E205" s="3236" t="str">
        <f t="shared" si="15"/>
        <v>12-1-801</v>
      </c>
      <c r="F205" s="3237">
        <v>129.09</v>
      </c>
      <c r="G205" s="3238">
        <v>107.04</v>
      </c>
      <c r="H205" s="3239" t="s">
        <v>4414</v>
      </c>
      <c r="I205" s="3239" t="s">
        <v>3395</v>
      </c>
      <c r="J205" s="3239">
        <v>4182516</v>
      </c>
      <c r="K205" s="3239">
        <v>32400</v>
      </c>
      <c r="L205" s="3231">
        <v>4182516</v>
      </c>
      <c r="M205" s="3231">
        <v>32400</v>
      </c>
      <c r="N205" s="3230" t="s">
        <v>4404</v>
      </c>
      <c r="O205" s="3240">
        <f t="shared" ref="O205:O210" si="17">ROUND(L205*0.95,0)</f>
        <v>3973390</v>
      </c>
    </row>
    <row r="206" spans="1:15" ht="16.5">
      <c r="A206" s="3234">
        <v>204</v>
      </c>
      <c r="B206" s="3234">
        <v>12</v>
      </c>
      <c r="C206" s="3234">
        <v>1</v>
      </c>
      <c r="D206" s="3235">
        <v>802</v>
      </c>
      <c r="E206" s="3236" t="str">
        <f t="shared" si="15"/>
        <v>12-1-802</v>
      </c>
      <c r="F206" s="3237">
        <v>128.75</v>
      </c>
      <c r="G206" s="3238">
        <v>106.75</v>
      </c>
      <c r="H206" s="3239" t="s">
        <v>4411</v>
      </c>
      <c r="I206" s="3239" t="s">
        <v>3395</v>
      </c>
      <c r="J206" s="3239">
        <v>4171500</v>
      </c>
      <c r="K206" s="3239">
        <v>32400</v>
      </c>
      <c r="L206" s="3231">
        <v>4171500</v>
      </c>
      <c r="M206" s="3231">
        <v>32400</v>
      </c>
      <c r="N206" s="3230" t="s">
        <v>4404</v>
      </c>
      <c r="O206" s="3240">
        <f t="shared" si="17"/>
        <v>3962925</v>
      </c>
    </row>
    <row r="207" spans="1:15" ht="16.5">
      <c r="A207" s="3234">
        <v>205</v>
      </c>
      <c r="B207" s="3234">
        <v>12</v>
      </c>
      <c r="C207" s="3234">
        <v>2</v>
      </c>
      <c r="D207" s="3235">
        <v>101</v>
      </c>
      <c r="E207" s="3236" t="str">
        <f t="shared" si="15"/>
        <v>12-2-101</v>
      </c>
      <c r="F207" s="3237">
        <v>128.75</v>
      </c>
      <c r="G207" s="3238">
        <v>106.75</v>
      </c>
      <c r="H207" s="3239" t="s">
        <v>4414</v>
      </c>
      <c r="I207" s="3239" t="s">
        <v>3395</v>
      </c>
      <c r="J207" s="3239">
        <v>3652852.51</v>
      </c>
      <c r="K207" s="3239">
        <v>28371.67</v>
      </c>
      <c r="L207" s="3231">
        <v>3652852</v>
      </c>
      <c r="M207" s="3231">
        <v>28371.67</v>
      </c>
      <c r="N207" s="3230" t="s">
        <v>4404</v>
      </c>
      <c r="O207" s="3240">
        <f t="shared" si="17"/>
        <v>3470209</v>
      </c>
    </row>
    <row r="208" spans="1:15" ht="16.5">
      <c r="A208" s="3234">
        <v>206</v>
      </c>
      <c r="B208" s="3234">
        <v>12</v>
      </c>
      <c r="C208" s="3234">
        <v>2</v>
      </c>
      <c r="D208" s="3235">
        <v>102</v>
      </c>
      <c r="E208" s="3236" t="str">
        <f t="shared" si="15"/>
        <v>12-2-102</v>
      </c>
      <c r="F208" s="3237">
        <v>129.09</v>
      </c>
      <c r="G208" s="3238">
        <v>107.04</v>
      </c>
      <c r="H208" s="3239" t="s">
        <v>4411</v>
      </c>
      <c r="I208" s="3239" t="s">
        <v>3395</v>
      </c>
      <c r="J208" s="3239">
        <v>3662498.88</v>
      </c>
      <c r="K208" s="3239">
        <v>28371.67</v>
      </c>
      <c r="L208" s="3231">
        <v>3662498</v>
      </c>
      <c r="M208" s="3231">
        <v>28371.66</v>
      </c>
      <c r="N208" s="3230" t="s">
        <v>4404</v>
      </c>
      <c r="O208" s="3240">
        <f t="shared" si="17"/>
        <v>3479373</v>
      </c>
    </row>
    <row r="209" spans="1:15" ht="16.5">
      <c r="A209" s="3234">
        <v>207</v>
      </c>
      <c r="B209" s="3234">
        <v>12</v>
      </c>
      <c r="C209" s="3234">
        <v>2</v>
      </c>
      <c r="D209" s="3235">
        <v>201</v>
      </c>
      <c r="E209" s="3236" t="str">
        <f t="shared" si="15"/>
        <v>12-2-201</v>
      </c>
      <c r="F209" s="3237">
        <v>128.75</v>
      </c>
      <c r="G209" s="3238">
        <v>106.75</v>
      </c>
      <c r="H209" s="3239" t="s">
        <v>4414</v>
      </c>
      <c r="I209" s="3239" t="s">
        <v>3395</v>
      </c>
      <c r="J209" s="3239">
        <v>3691477.51</v>
      </c>
      <c r="K209" s="3239">
        <v>28671.67</v>
      </c>
      <c r="L209" s="3231">
        <v>3691477</v>
      </c>
      <c r="M209" s="3231">
        <v>28671.67</v>
      </c>
      <c r="N209" s="3230" t="s">
        <v>4404</v>
      </c>
      <c r="O209" s="3240">
        <f t="shared" si="17"/>
        <v>3506903</v>
      </c>
    </row>
    <row r="210" spans="1:15" ht="16.5">
      <c r="A210" s="3234">
        <v>208</v>
      </c>
      <c r="B210" s="3234">
        <v>12</v>
      </c>
      <c r="C210" s="3234">
        <v>2</v>
      </c>
      <c r="D210" s="3235">
        <v>202</v>
      </c>
      <c r="E210" s="3236" t="str">
        <f t="shared" si="15"/>
        <v>12-2-202</v>
      </c>
      <c r="F210" s="3237">
        <v>129.09</v>
      </c>
      <c r="G210" s="3238">
        <v>107.04</v>
      </c>
      <c r="H210" s="3239" t="s">
        <v>4411</v>
      </c>
      <c r="I210" s="3239" t="s">
        <v>3395</v>
      </c>
      <c r="J210" s="3239">
        <v>3701225.88</v>
      </c>
      <c r="K210" s="3239">
        <v>28671.67</v>
      </c>
      <c r="L210" s="3231">
        <v>3701225</v>
      </c>
      <c r="M210" s="3231">
        <v>28671.66</v>
      </c>
      <c r="N210" s="3230" t="s">
        <v>4404</v>
      </c>
      <c r="O210" s="3240">
        <f t="shared" si="17"/>
        <v>3516164</v>
      </c>
    </row>
    <row r="211" spans="1:15" ht="16.5">
      <c r="A211" s="3234">
        <v>209</v>
      </c>
      <c r="B211" s="3234">
        <v>12</v>
      </c>
      <c r="C211" s="3234">
        <v>2</v>
      </c>
      <c r="D211" s="3235">
        <v>302</v>
      </c>
      <c r="E211" s="3241" t="str">
        <f t="shared" si="15"/>
        <v>12-2-302</v>
      </c>
      <c r="F211" s="3242">
        <v>129.09</v>
      </c>
      <c r="G211" s="3238">
        <v>107.04</v>
      </c>
      <c r="H211" s="3239" t="s">
        <v>4411</v>
      </c>
      <c r="I211" s="3239" t="s">
        <v>3395</v>
      </c>
      <c r="J211" s="3239">
        <v>3765770.88</v>
      </c>
      <c r="K211" s="3239">
        <v>29171.67</v>
      </c>
      <c r="L211" s="3231">
        <v>3765770</v>
      </c>
      <c r="M211" s="3231">
        <v>29171.66</v>
      </c>
      <c r="N211" s="3230" t="s">
        <v>4407</v>
      </c>
      <c r="O211" s="3240">
        <v>3581210</v>
      </c>
    </row>
    <row r="212" spans="1:15" ht="16.5">
      <c r="A212" s="3234">
        <v>210</v>
      </c>
      <c r="B212" s="3234">
        <v>12</v>
      </c>
      <c r="C212" s="3234">
        <v>2</v>
      </c>
      <c r="D212" s="3235">
        <v>402</v>
      </c>
      <c r="E212" s="3241" t="str">
        <f t="shared" si="15"/>
        <v>12-2-402</v>
      </c>
      <c r="F212" s="3242">
        <v>129.09</v>
      </c>
      <c r="G212" s="3238">
        <v>107.04</v>
      </c>
      <c r="H212" s="3239" t="s">
        <v>4411</v>
      </c>
      <c r="I212" s="3239" t="s">
        <v>3395</v>
      </c>
      <c r="J212" s="3239">
        <v>3804497.88</v>
      </c>
      <c r="K212" s="3239">
        <v>29471.67</v>
      </c>
      <c r="L212" s="3231">
        <v>3804497</v>
      </c>
      <c r="M212" s="3231">
        <v>29471.66</v>
      </c>
      <c r="N212" s="3230" t="s">
        <v>4407</v>
      </c>
      <c r="O212" s="3240">
        <v>3618039</v>
      </c>
    </row>
    <row r="213" spans="1:15" ht="16.5">
      <c r="A213" s="3234">
        <v>211</v>
      </c>
      <c r="B213" s="3234">
        <v>12</v>
      </c>
      <c r="C213" s="3234">
        <v>2</v>
      </c>
      <c r="D213" s="3235">
        <v>502</v>
      </c>
      <c r="E213" s="3236" t="str">
        <f t="shared" si="15"/>
        <v>12-2-502</v>
      </c>
      <c r="F213" s="3237">
        <v>129.09</v>
      </c>
      <c r="G213" s="3238">
        <v>107.04</v>
      </c>
      <c r="H213" s="3239" t="s">
        <v>4411</v>
      </c>
      <c r="I213" s="3239" t="s">
        <v>3395</v>
      </c>
      <c r="J213" s="3239">
        <v>3830315.88</v>
      </c>
      <c r="K213" s="3239">
        <v>29671.67</v>
      </c>
      <c r="L213" s="3231">
        <v>3830315</v>
      </c>
      <c r="M213" s="3231">
        <v>29671.66</v>
      </c>
      <c r="N213" s="3230" t="s">
        <v>4407</v>
      </c>
      <c r="O213" s="3240">
        <v>3642591</v>
      </c>
    </row>
    <row r="214" spans="1:15" ht="16.5">
      <c r="A214" s="3234">
        <v>212</v>
      </c>
      <c r="B214" s="3234">
        <v>12</v>
      </c>
      <c r="C214" s="3234">
        <v>2</v>
      </c>
      <c r="D214" s="3235">
        <v>801</v>
      </c>
      <c r="E214" s="3236" t="str">
        <f t="shared" si="15"/>
        <v>12-2-801</v>
      </c>
      <c r="F214" s="3237">
        <v>128.75</v>
      </c>
      <c r="G214" s="3238">
        <v>106.75</v>
      </c>
      <c r="H214" s="3239" t="s">
        <v>4414</v>
      </c>
      <c r="I214" s="3239" t="s">
        <v>3395</v>
      </c>
      <c r="J214" s="3239">
        <v>4171500</v>
      </c>
      <c r="K214" s="3239">
        <v>32400</v>
      </c>
      <c r="L214" s="3231">
        <v>4171500</v>
      </c>
      <c r="M214" s="3231">
        <v>32400</v>
      </c>
      <c r="N214" s="3230" t="s">
        <v>4404</v>
      </c>
      <c r="O214" s="3240">
        <f t="shared" ref="O214:O219" si="18">ROUND(L214*0.95,0)</f>
        <v>3962925</v>
      </c>
    </row>
    <row r="215" spans="1:15" ht="16.5">
      <c r="A215" s="3234">
        <v>213</v>
      </c>
      <c r="B215" s="3234">
        <v>12</v>
      </c>
      <c r="C215" s="3234">
        <v>2</v>
      </c>
      <c r="D215" s="3235">
        <v>802</v>
      </c>
      <c r="E215" s="3236" t="str">
        <f t="shared" si="15"/>
        <v>12-2-802</v>
      </c>
      <c r="F215" s="3237">
        <v>129.09</v>
      </c>
      <c r="G215" s="3238">
        <v>107.04</v>
      </c>
      <c r="H215" s="3239" t="s">
        <v>4411</v>
      </c>
      <c r="I215" s="3239" t="s">
        <v>3395</v>
      </c>
      <c r="J215" s="3239">
        <v>4182516</v>
      </c>
      <c r="K215" s="3239">
        <v>32400</v>
      </c>
      <c r="L215" s="3231">
        <v>4182516</v>
      </c>
      <c r="M215" s="3231">
        <v>32400</v>
      </c>
      <c r="N215" s="3230" t="s">
        <v>4404</v>
      </c>
      <c r="O215" s="3240">
        <f t="shared" si="18"/>
        <v>3973390</v>
      </c>
    </row>
    <row r="216" spans="1:15" ht="16.5">
      <c r="A216" s="3234">
        <v>214</v>
      </c>
      <c r="B216" s="3234">
        <v>13</v>
      </c>
      <c r="C216" s="3234">
        <v>1</v>
      </c>
      <c r="D216" s="3235">
        <v>101</v>
      </c>
      <c r="E216" s="3236" t="str">
        <f t="shared" si="15"/>
        <v>13-1-101</v>
      </c>
      <c r="F216" s="3237">
        <v>129.69</v>
      </c>
      <c r="G216" s="3238">
        <v>107.04</v>
      </c>
      <c r="H216" s="3239" t="s">
        <v>4414</v>
      </c>
      <c r="I216" s="3239" t="s">
        <v>3395</v>
      </c>
      <c r="J216" s="3239">
        <v>3679521.88</v>
      </c>
      <c r="K216" s="3239">
        <v>28371.67</v>
      </c>
      <c r="L216" s="3231">
        <v>3679521</v>
      </c>
      <c r="M216" s="3231">
        <v>28371.66</v>
      </c>
      <c r="N216" s="3230" t="s">
        <v>4404</v>
      </c>
      <c r="O216" s="3240">
        <f t="shared" si="18"/>
        <v>3495545</v>
      </c>
    </row>
    <row r="217" spans="1:15" ht="16.5">
      <c r="A217" s="3234">
        <v>215</v>
      </c>
      <c r="B217" s="3234">
        <v>13</v>
      </c>
      <c r="C217" s="3234">
        <v>1</v>
      </c>
      <c r="D217" s="3235">
        <v>102</v>
      </c>
      <c r="E217" s="3236" t="str">
        <f t="shared" si="15"/>
        <v>13-1-102</v>
      </c>
      <c r="F217" s="3237">
        <v>129.34</v>
      </c>
      <c r="G217" s="3238">
        <v>106.75</v>
      </c>
      <c r="H217" s="3239" t="s">
        <v>4411</v>
      </c>
      <c r="I217" s="3239" t="s">
        <v>3395</v>
      </c>
      <c r="J217" s="3239">
        <v>3669591.8</v>
      </c>
      <c r="K217" s="3239">
        <v>28371.67</v>
      </c>
      <c r="L217" s="3231">
        <v>3669591</v>
      </c>
      <c r="M217" s="3231">
        <v>28371.66</v>
      </c>
      <c r="N217" s="3230" t="s">
        <v>4404</v>
      </c>
      <c r="O217" s="3240">
        <f t="shared" si="18"/>
        <v>3486111</v>
      </c>
    </row>
    <row r="218" spans="1:15" ht="16.5">
      <c r="A218" s="3234">
        <v>216</v>
      </c>
      <c r="B218" s="3234">
        <v>13</v>
      </c>
      <c r="C218" s="3234">
        <v>1</v>
      </c>
      <c r="D218" s="3235">
        <v>201</v>
      </c>
      <c r="E218" s="3236" t="str">
        <f t="shared" si="15"/>
        <v>13-1-201</v>
      </c>
      <c r="F218" s="3237">
        <v>129.69</v>
      </c>
      <c r="G218" s="3238">
        <v>107.04</v>
      </c>
      <c r="H218" s="3239" t="s">
        <v>4414</v>
      </c>
      <c r="I218" s="3239" t="s">
        <v>3395</v>
      </c>
      <c r="J218" s="3239">
        <v>3718428.88</v>
      </c>
      <c r="K218" s="3239">
        <v>28671.67</v>
      </c>
      <c r="L218" s="3231">
        <v>3718428</v>
      </c>
      <c r="M218" s="3231">
        <v>28671.66</v>
      </c>
      <c r="N218" s="3230" t="s">
        <v>4404</v>
      </c>
      <c r="O218" s="3240">
        <f t="shared" si="18"/>
        <v>3532507</v>
      </c>
    </row>
    <row r="219" spans="1:15" ht="16.5">
      <c r="A219" s="3234">
        <v>217</v>
      </c>
      <c r="B219" s="3234">
        <v>13</v>
      </c>
      <c r="C219" s="3234">
        <v>1</v>
      </c>
      <c r="D219" s="3235">
        <v>202</v>
      </c>
      <c r="E219" s="3236" t="str">
        <f t="shared" si="15"/>
        <v>13-1-202</v>
      </c>
      <c r="F219" s="3237">
        <v>129.34</v>
      </c>
      <c r="G219" s="3238">
        <v>106.75</v>
      </c>
      <c r="H219" s="3239" t="s">
        <v>4411</v>
      </c>
      <c r="I219" s="3239" t="s">
        <v>3395</v>
      </c>
      <c r="J219" s="3239">
        <v>3708393.8</v>
      </c>
      <c r="K219" s="3239">
        <v>28671.67</v>
      </c>
      <c r="L219" s="3231">
        <v>3708393</v>
      </c>
      <c r="M219" s="3231">
        <v>28671.66</v>
      </c>
      <c r="N219" s="3230" t="s">
        <v>4404</v>
      </c>
      <c r="O219" s="3240">
        <f t="shared" si="18"/>
        <v>3522973</v>
      </c>
    </row>
    <row r="220" spans="1:15" ht="16.5">
      <c r="A220" s="3234">
        <v>218</v>
      </c>
      <c r="B220" s="3234">
        <v>13</v>
      </c>
      <c r="C220" s="3234">
        <v>1</v>
      </c>
      <c r="D220" s="3235">
        <v>301</v>
      </c>
      <c r="E220" s="3241" t="str">
        <f t="shared" si="15"/>
        <v>13-1-301</v>
      </c>
      <c r="F220" s="3242">
        <v>129.69</v>
      </c>
      <c r="G220" s="3238">
        <v>107.04</v>
      </c>
      <c r="H220" s="3239" t="s">
        <v>4414</v>
      </c>
      <c r="I220" s="3239" t="s">
        <v>3395</v>
      </c>
      <c r="J220" s="3239">
        <v>3783273.88</v>
      </c>
      <c r="K220" s="3239">
        <v>29171.67</v>
      </c>
      <c r="L220" s="3231">
        <v>3783273</v>
      </c>
      <c r="M220" s="3231">
        <v>29171.66</v>
      </c>
      <c r="N220" s="3230" t="s">
        <v>4407</v>
      </c>
      <c r="O220" s="3240">
        <v>3597855</v>
      </c>
    </row>
    <row r="221" spans="1:15" ht="16.5">
      <c r="A221" s="3234">
        <v>219</v>
      </c>
      <c r="B221" s="3234">
        <v>13</v>
      </c>
      <c r="C221" s="3234">
        <v>1</v>
      </c>
      <c r="D221" s="3235">
        <v>302</v>
      </c>
      <c r="E221" s="3241" t="str">
        <f>CONCATENATE(B221,"-",C221,"-",D221)</f>
        <v>13-1-302</v>
      </c>
      <c r="F221" s="3242">
        <v>129.34</v>
      </c>
      <c r="G221" s="3238">
        <v>106.75</v>
      </c>
      <c r="H221" s="3239" t="s">
        <v>4411</v>
      </c>
      <c r="I221" s="3239" t="s">
        <v>3395</v>
      </c>
      <c r="J221" s="3239">
        <v>3773063.8</v>
      </c>
      <c r="K221" s="3239">
        <v>29171.67</v>
      </c>
      <c r="L221" s="3231">
        <v>3773063</v>
      </c>
      <c r="M221" s="3231">
        <v>29171.66</v>
      </c>
      <c r="N221" s="3230" t="s">
        <v>4407</v>
      </c>
      <c r="O221" s="3240">
        <f>ROUND(L221*0.95,0)</f>
        <v>3584410</v>
      </c>
    </row>
    <row r="222" spans="1:15" ht="16.5">
      <c r="A222" s="3234">
        <v>220</v>
      </c>
      <c r="B222" s="3234">
        <v>13</v>
      </c>
      <c r="C222" s="3234">
        <v>1</v>
      </c>
      <c r="D222" s="3235">
        <v>402</v>
      </c>
      <c r="E222" s="3236" t="str">
        <f>CONCATENATE(B222,"-",C222,"-",D222)</f>
        <v>13-1-402</v>
      </c>
      <c r="F222" s="3237">
        <v>129.34</v>
      </c>
      <c r="G222" s="3238">
        <v>106.75</v>
      </c>
      <c r="H222" s="3239" t="s">
        <v>4411</v>
      </c>
      <c r="I222" s="3239" t="s">
        <v>3395</v>
      </c>
      <c r="J222" s="3239">
        <v>3811865.8</v>
      </c>
      <c r="K222" s="3239">
        <v>29471.67</v>
      </c>
      <c r="L222" s="3231">
        <v>3811865</v>
      </c>
      <c r="M222" s="3231">
        <v>29471.66</v>
      </c>
      <c r="N222" s="3230" t="s">
        <v>4407</v>
      </c>
      <c r="O222" s="3240">
        <v>3625046</v>
      </c>
    </row>
    <row r="223" spans="1:15" ht="16.5">
      <c r="A223" s="3234">
        <v>221</v>
      </c>
      <c r="B223" s="3234">
        <v>13</v>
      </c>
      <c r="C223" s="3234">
        <v>1</v>
      </c>
      <c r="D223" s="3235">
        <v>601</v>
      </c>
      <c r="E223" s="3236" t="str">
        <f t="shared" ref="E223:E232" si="19">CONCATENATE(B223,"-",C223,"-",D223)</f>
        <v>13-1-601</v>
      </c>
      <c r="F223" s="3237">
        <v>129.69</v>
      </c>
      <c r="G223" s="3238">
        <v>107.04</v>
      </c>
      <c r="H223" s="3239" t="s">
        <v>4414</v>
      </c>
      <c r="I223" s="3239" t="s">
        <v>3395</v>
      </c>
      <c r="J223" s="3239">
        <v>4201956</v>
      </c>
      <c r="K223" s="3239">
        <v>32400</v>
      </c>
      <c r="L223" s="3231">
        <v>4201956</v>
      </c>
      <c r="M223" s="3231">
        <v>32400</v>
      </c>
      <c r="N223" s="3230" t="s">
        <v>4404</v>
      </c>
      <c r="O223" s="3240">
        <f t="shared" ref="O223:O229" si="20">ROUND(L223*0.95,0)</f>
        <v>3991858</v>
      </c>
    </row>
    <row r="224" spans="1:15" ht="16.5">
      <c r="A224" s="3234">
        <v>222</v>
      </c>
      <c r="B224" s="3234">
        <v>13</v>
      </c>
      <c r="C224" s="3234">
        <v>1</v>
      </c>
      <c r="D224" s="3235">
        <v>602</v>
      </c>
      <c r="E224" s="3236" t="str">
        <f t="shared" si="19"/>
        <v>13-1-602</v>
      </c>
      <c r="F224" s="3237">
        <v>129.34</v>
      </c>
      <c r="G224" s="3238">
        <v>106.75</v>
      </c>
      <c r="H224" s="3239" t="s">
        <v>4411</v>
      </c>
      <c r="I224" s="3239" t="s">
        <v>3395</v>
      </c>
      <c r="J224" s="3239">
        <v>4190616</v>
      </c>
      <c r="K224" s="3239">
        <v>32400</v>
      </c>
      <c r="L224" s="3231">
        <v>4190616</v>
      </c>
      <c r="M224" s="3231">
        <v>32400</v>
      </c>
      <c r="N224" s="3230" t="s">
        <v>4404</v>
      </c>
      <c r="O224" s="3240">
        <f t="shared" si="20"/>
        <v>3981085</v>
      </c>
    </row>
    <row r="225" spans="1:16" ht="16.5">
      <c r="A225" s="3234">
        <v>223</v>
      </c>
      <c r="B225" s="3234">
        <v>13</v>
      </c>
      <c r="C225" s="3234">
        <v>2</v>
      </c>
      <c r="D225" s="3235">
        <v>101</v>
      </c>
      <c r="E225" s="3236" t="str">
        <f t="shared" si="19"/>
        <v>13-2-101</v>
      </c>
      <c r="F225" s="3237">
        <v>129.34</v>
      </c>
      <c r="G225" s="3238">
        <v>106.75</v>
      </c>
      <c r="H225" s="3239" t="s">
        <v>4414</v>
      </c>
      <c r="I225" s="3239" t="s">
        <v>3395</v>
      </c>
      <c r="J225" s="3239">
        <v>3669591.8</v>
      </c>
      <c r="K225" s="3239">
        <v>28371.67</v>
      </c>
      <c r="L225" s="3231">
        <v>3669591</v>
      </c>
      <c r="M225" s="3231">
        <v>28371.66</v>
      </c>
      <c r="N225" s="3230" t="s">
        <v>4404</v>
      </c>
      <c r="O225" s="3240">
        <f t="shared" si="20"/>
        <v>3486111</v>
      </c>
    </row>
    <row r="226" spans="1:16" ht="16.5">
      <c r="A226" s="3234">
        <v>224</v>
      </c>
      <c r="B226" s="3234">
        <v>13</v>
      </c>
      <c r="C226" s="3234">
        <v>2</v>
      </c>
      <c r="D226" s="3235">
        <v>102</v>
      </c>
      <c r="E226" s="3236" t="str">
        <f t="shared" si="19"/>
        <v>13-2-102</v>
      </c>
      <c r="F226" s="3237">
        <v>129.69</v>
      </c>
      <c r="G226" s="3238">
        <v>107.04</v>
      </c>
      <c r="H226" s="3239" t="s">
        <v>4411</v>
      </c>
      <c r="I226" s="3239" t="s">
        <v>3395</v>
      </c>
      <c r="J226" s="3239">
        <v>3686006.38</v>
      </c>
      <c r="K226" s="3239">
        <v>28421.67</v>
      </c>
      <c r="L226" s="3231">
        <v>3686006</v>
      </c>
      <c r="M226" s="3231">
        <v>28421.67</v>
      </c>
      <c r="N226" s="3230" t="s">
        <v>4404</v>
      </c>
      <c r="O226" s="3240">
        <f t="shared" si="20"/>
        <v>3501706</v>
      </c>
    </row>
    <row r="227" spans="1:16" ht="16.5">
      <c r="A227" s="3234">
        <v>225</v>
      </c>
      <c r="B227" s="3234">
        <v>13</v>
      </c>
      <c r="C227" s="3234">
        <v>2</v>
      </c>
      <c r="D227" s="3235">
        <v>201</v>
      </c>
      <c r="E227" s="3236" t="str">
        <f t="shared" si="19"/>
        <v>13-2-201</v>
      </c>
      <c r="F227" s="3237">
        <v>129.34</v>
      </c>
      <c r="G227" s="3238">
        <v>106.75</v>
      </c>
      <c r="H227" s="3239" t="s">
        <v>4414</v>
      </c>
      <c r="I227" s="3239" t="s">
        <v>3395</v>
      </c>
      <c r="J227" s="3239">
        <v>3708393.8</v>
      </c>
      <c r="K227" s="3239">
        <v>28671.67</v>
      </c>
      <c r="L227" s="3231">
        <v>3708393</v>
      </c>
      <c r="M227" s="3231">
        <v>28671.66</v>
      </c>
      <c r="N227" s="3230" t="s">
        <v>4404</v>
      </c>
      <c r="O227" s="3240">
        <f t="shared" si="20"/>
        <v>3522973</v>
      </c>
    </row>
    <row r="228" spans="1:16" ht="16.5">
      <c r="A228" s="3234">
        <v>226</v>
      </c>
      <c r="B228" s="3234">
        <v>13</v>
      </c>
      <c r="C228" s="3234">
        <v>2</v>
      </c>
      <c r="D228" s="3235">
        <v>202</v>
      </c>
      <c r="E228" s="3236" t="str">
        <f t="shared" si="19"/>
        <v>13-2-202</v>
      </c>
      <c r="F228" s="3237">
        <v>129.69</v>
      </c>
      <c r="G228" s="3238">
        <v>107.04</v>
      </c>
      <c r="H228" s="3239" t="s">
        <v>4411</v>
      </c>
      <c r="I228" s="3239" t="s">
        <v>3395</v>
      </c>
      <c r="J228" s="3239">
        <v>3724913.38</v>
      </c>
      <c r="K228" s="3239">
        <v>28721.67</v>
      </c>
      <c r="L228" s="3231">
        <v>3724913</v>
      </c>
      <c r="M228" s="3231">
        <v>28721.67</v>
      </c>
      <c r="N228" s="3230" t="s">
        <v>4404</v>
      </c>
      <c r="O228" s="3240">
        <f t="shared" si="20"/>
        <v>3538667</v>
      </c>
    </row>
    <row r="229" spans="1:16" ht="16.5">
      <c r="A229" s="3234">
        <v>227</v>
      </c>
      <c r="B229" s="3234">
        <v>13</v>
      </c>
      <c r="C229" s="3234">
        <v>2</v>
      </c>
      <c r="D229" s="3235">
        <v>302</v>
      </c>
      <c r="E229" s="3241" t="str">
        <f t="shared" si="19"/>
        <v>13-2-302</v>
      </c>
      <c r="F229" s="3242">
        <v>129.69</v>
      </c>
      <c r="G229" s="3238">
        <v>107.04</v>
      </c>
      <c r="H229" s="3239" t="s">
        <v>4411</v>
      </c>
      <c r="I229" s="3239" t="s">
        <v>3395</v>
      </c>
      <c r="J229" s="3239">
        <v>3789758.38</v>
      </c>
      <c r="K229" s="3239">
        <v>29221.67</v>
      </c>
      <c r="L229" s="3231">
        <v>3789758</v>
      </c>
      <c r="M229" s="3231">
        <v>29221.67</v>
      </c>
      <c r="N229" s="3230" t="s">
        <v>4407</v>
      </c>
      <c r="O229" s="3240">
        <f t="shared" si="20"/>
        <v>3600270</v>
      </c>
    </row>
    <row r="230" spans="1:16" ht="16.5">
      <c r="A230" s="3234">
        <v>228</v>
      </c>
      <c r="B230" s="3234">
        <v>13</v>
      </c>
      <c r="C230" s="3234">
        <v>2</v>
      </c>
      <c r="D230" s="3235">
        <v>402</v>
      </c>
      <c r="E230" s="3241" t="str">
        <f t="shared" si="19"/>
        <v>13-2-402</v>
      </c>
      <c r="F230" s="3242">
        <v>129.69</v>
      </c>
      <c r="G230" s="3238">
        <v>107.04</v>
      </c>
      <c r="H230" s="3239" t="s">
        <v>4411</v>
      </c>
      <c r="I230" s="3239" t="s">
        <v>3395</v>
      </c>
      <c r="J230" s="3239">
        <v>3828665.38</v>
      </c>
      <c r="K230" s="3239">
        <v>29521.67</v>
      </c>
      <c r="L230" s="3231">
        <v>3828665</v>
      </c>
      <c r="M230" s="3231">
        <v>29521.67</v>
      </c>
      <c r="N230" s="3230" t="s">
        <v>4407</v>
      </c>
      <c r="O230" s="3240">
        <v>3641022</v>
      </c>
    </row>
    <row r="231" spans="1:16" ht="16.5">
      <c r="A231" s="3234">
        <v>229</v>
      </c>
      <c r="B231" s="3234">
        <v>13</v>
      </c>
      <c r="C231" s="3234">
        <v>2</v>
      </c>
      <c r="D231" s="3235">
        <v>601</v>
      </c>
      <c r="E231" s="3236" t="str">
        <f t="shared" si="19"/>
        <v>13-2-601</v>
      </c>
      <c r="F231" s="3237">
        <v>129.34</v>
      </c>
      <c r="G231" s="3238">
        <v>106.75</v>
      </c>
      <c r="H231" s="3239" t="s">
        <v>4414</v>
      </c>
      <c r="I231" s="3239" t="s">
        <v>3395</v>
      </c>
      <c r="J231" s="3239">
        <v>4190616</v>
      </c>
      <c r="K231" s="3239">
        <v>32400</v>
      </c>
      <c r="L231" s="3231">
        <v>4190616</v>
      </c>
      <c r="M231" s="3231">
        <v>32400</v>
      </c>
      <c r="N231" s="3230" t="s">
        <v>4407</v>
      </c>
      <c r="O231" s="3240">
        <v>4190616</v>
      </c>
    </row>
    <row r="232" spans="1:16" ht="16.5">
      <c r="A232" s="3234">
        <v>230</v>
      </c>
      <c r="B232" s="3234">
        <v>13</v>
      </c>
      <c r="C232" s="3234">
        <v>2</v>
      </c>
      <c r="D232" s="3235">
        <v>602</v>
      </c>
      <c r="E232" s="3236" t="str">
        <f t="shared" si="19"/>
        <v>13-2-602</v>
      </c>
      <c r="F232" s="3237">
        <v>129.69</v>
      </c>
      <c r="G232" s="3238">
        <v>107.04</v>
      </c>
      <c r="H232" s="3239" t="s">
        <v>4411</v>
      </c>
      <c r="I232" s="3239" t="s">
        <v>3395</v>
      </c>
      <c r="J232" s="3239">
        <v>4201956</v>
      </c>
      <c r="K232" s="3239">
        <v>32400</v>
      </c>
      <c r="L232" s="3231">
        <v>4201956</v>
      </c>
      <c r="M232" s="3231">
        <v>32400</v>
      </c>
      <c r="N232" s="3230" t="s">
        <v>4404</v>
      </c>
      <c r="O232" s="3240">
        <f>ROUND(L232*0.95,0)</f>
        <v>3991858</v>
      </c>
    </row>
    <row r="233" spans="1:16" ht="14.25">
      <c r="A233" s="3430" t="s">
        <v>3452</v>
      </c>
      <c r="B233" s="3431"/>
      <c r="C233" s="3431"/>
      <c r="D233" s="3431"/>
      <c r="E233" s="3432"/>
      <c r="F233" s="3237">
        <f>SUM(F3:F232)</f>
        <v>27897.340000000004</v>
      </c>
      <c r="G233" s="3237">
        <f>SUM(G3:G232)</f>
        <v>22732.639999999999</v>
      </c>
      <c r="H233" s="3239"/>
      <c r="I233" s="3239"/>
      <c r="J233" s="3239"/>
      <c r="K233" s="3239"/>
      <c r="L233" s="3237"/>
      <c r="M233" s="3237"/>
      <c r="N233" s="3234"/>
      <c r="O233" s="3240"/>
    </row>
    <row r="234" spans="1:16" ht="16.5">
      <c r="A234" s="3256">
        <v>231</v>
      </c>
      <c r="B234" s="3256">
        <v>4</v>
      </c>
      <c r="C234" s="3256">
        <v>2</v>
      </c>
      <c r="D234" s="3257">
        <v>101</v>
      </c>
      <c r="E234" s="3258" t="str">
        <f t="shared" ref="E234:E242" si="21">CONCATENATE(B234,"-",C234,"-",D234)</f>
        <v>4-2-101</v>
      </c>
      <c r="F234" s="3257">
        <v>110.18</v>
      </c>
      <c r="G234" s="3259">
        <v>90.17</v>
      </c>
      <c r="H234" s="3256" t="s">
        <v>4406</v>
      </c>
      <c r="I234" s="3256" t="s">
        <v>3395</v>
      </c>
      <c r="J234" s="3256">
        <v>3151693.39</v>
      </c>
      <c r="K234" s="3260">
        <f>ROUND((L234/F232),2)</f>
        <v>24301.74</v>
      </c>
      <c r="L234" s="3261">
        <f t="shared" ref="L234:L242" si="22">ROUNDDOWN(J234,0)</f>
        <v>3151693</v>
      </c>
      <c r="M234" s="3261">
        <f>ROUND((L234/F234),2)</f>
        <v>28604.95</v>
      </c>
      <c r="N234" s="3262" t="s">
        <v>4415</v>
      </c>
      <c r="O234" s="3263">
        <f t="shared" ref="O234:O242" si="23">ROUND(L234*0.95,0)</f>
        <v>2994108</v>
      </c>
      <c r="P234" s="3433" t="s">
        <v>4416</v>
      </c>
    </row>
    <row r="235" spans="1:16" ht="16.5">
      <c r="A235" s="3256">
        <v>232</v>
      </c>
      <c r="B235" s="3256">
        <v>4</v>
      </c>
      <c r="C235" s="3256">
        <v>2</v>
      </c>
      <c r="D235" s="3257">
        <v>102</v>
      </c>
      <c r="E235" s="3258" t="str">
        <f t="shared" si="21"/>
        <v>4-2-102</v>
      </c>
      <c r="F235" s="3257">
        <v>110.63</v>
      </c>
      <c r="G235" s="3259">
        <v>90.54</v>
      </c>
      <c r="H235" s="3256" t="s">
        <v>4405</v>
      </c>
      <c r="I235" s="3256" t="s">
        <v>3395</v>
      </c>
      <c r="J235" s="3256">
        <v>3170097.12</v>
      </c>
      <c r="K235" s="3260">
        <f t="shared" ref="K235:K242" si="24">ROUND((L235/F234),2)</f>
        <v>28771.98</v>
      </c>
      <c r="L235" s="3261">
        <f t="shared" si="22"/>
        <v>3170097</v>
      </c>
      <c r="M235" s="3261">
        <f t="shared" ref="M235:M242" si="25">ROUND((L235/F235),2)</f>
        <v>28654.95</v>
      </c>
      <c r="N235" s="3262" t="s">
        <v>4415</v>
      </c>
      <c r="O235" s="3263">
        <f t="shared" si="23"/>
        <v>3011592</v>
      </c>
      <c r="P235" s="3433"/>
    </row>
    <row r="236" spans="1:16" ht="16.5">
      <c r="A236" s="3256">
        <v>233</v>
      </c>
      <c r="B236" s="3256">
        <v>5</v>
      </c>
      <c r="C236" s="3256">
        <v>1</v>
      </c>
      <c r="D236" s="3257">
        <v>101</v>
      </c>
      <c r="E236" s="3258" t="str">
        <f t="shared" si="21"/>
        <v>5-1-101</v>
      </c>
      <c r="F236" s="3257">
        <v>110.63</v>
      </c>
      <c r="G236" s="3259">
        <v>90.54</v>
      </c>
      <c r="H236" s="3256" t="s">
        <v>4406</v>
      </c>
      <c r="I236" s="3256" t="s">
        <v>3395</v>
      </c>
      <c r="J236" s="3256">
        <v>3247538.12</v>
      </c>
      <c r="K236" s="3260">
        <f t="shared" si="24"/>
        <v>29354.95</v>
      </c>
      <c r="L236" s="3261">
        <f t="shared" si="22"/>
        <v>3247538</v>
      </c>
      <c r="M236" s="3261">
        <f t="shared" si="25"/>
        <v>29354.95</v>
      </c>
      <c r="N236" s="3262" t="s">
        <v>4415</v>
      </c>
      <c r="O236" s="3263">
        <f t="shared" si="23"/>
        <v>3085161</v>
      </c>
      <c r="P236" s="3433"/>
    </row>
    <row r="237" spans="1:16" ht="16.5">
      <c r="A237" s="3256">
        <v>234</v>
      </c>
      <c r="B237" s="3256">
        <v>5</v>
      </c>
      <c r="C237" s="3256">
        <v>1</v>
      </c>
      <c r="D237" s="3257">
        <v>102</v>
      </c>
      <c r="E237" s="3258" t="str">
        <f t="shared" si="21"/>
        <v>5-1-102</v>
      </c>
      <c r="F237" s="3257">
        <v>110.18</v>
      </c>
      <c r="G237" s="3259">
        <v>90.17</v>
      </c>
      <c r="H237" s="3256" t="s">
        <v>4405</v>
      </c>
      <c r="I237" s="3256" t="s">
        <v>3395</v>
      </c>
      <c r="J237" s="3256">
        <v>3228819.39</v>
      </c>
      <c r="K237" s="3260">
        <f t="shared" si="24"/>
        <v>29185.75</v>
      </c>
      <c r="L237" s="3261">
        <f t="shared" si="22"/>
        <v>3228819</v>
      </c>
      <c r="M237" s="3261">
        <f t="shared" si="25"/>
        <v>29304.95</v>
      </c>
      <c r="N237" s="3262" t="s">
        <v>4415</v>
      </c>
      <c r="O237" s="3263">
        <f t="shared" si="23"/>
        <v>3067378</v>
      </c>
      <c r="P237" s="3433"/>
    </row>
    <row r="238" spans="1:16" ht="16.5">
      <c r="A238" s="3256">
        <v>235</v>
      </c>
      <c r="B238" s="3256">
        <v>5</v>
      </c>
      <c r="C238" s="3256">
        <v>2</v>
      </c>
      <c r="D238" s="3257">
        <v>101</v>
      </c>
      <c r="E238" s="3258" t="str">
        <f t="shared" si="21"/>
        <v>5-2-101</v>
      </c>
      <c r="F238" s="3257">
        <v>110.18</v>
      </c>
      <c r="G238" s="3259">
        <v>90.17</v>
      </c>
      <c r="H238" s="3256" t="s">
        <v>4406</v>
      </c>
      <c r="I238" s="3256" t="s">
        <v>3395</v>
      </c>
      <c r="J238" s="3256">
        <v>3228819.39</v>
      </c>
      <c r="K238" s="3260">
        <f t="shared" si="24"/>
        <v>29304.95</v>
      </c>
      <c r="L238" s="3261">
        <f t="shared" si="22"/>
        <v>3228819</v>
      </c>
      <c r="M238" s="3261">
        <f t="shared" si="25"/>
        <v>29304.95</v>
      </c>
      <c r="N238" s="3262" t="s">
        <v>4415</v>
      </c>
      <c r="O238" s="3263">
        <f t="shared" si="23"/>
        <v>3067378</v>
      </c>
      <c r="P238" s="3433"/>
    </row>
    <row r="239" spans="1:16" ht="16.5">
      <c r="A239" s="3256">
        <v>236</v>
      </c>
      <c r="B239" s="3256">
        <v>8</v>
      </c>
      <c r="C239" s="3256">
        <v>1</v>
      </c>
      <c r="D239" s="3257">
        <v>102</v>
      </c>
      <c r="E239" s="3258" t="str">
        <f t="shared" si="21"/>
        <v>8-1-102</v>
      </c>
      <c r="F239" s="3257">
        <v>109.95</v>
      </c>
      <c r="G239" s="3259">
        <v>89.99</v>
      </c>
      <c r="H239" s="3256" t="s">
        <v>4413</v>
      </c>
      <c r="I239" s="3256" t="s">
        <v>3395</v>
      </c>
      <c r="J239" s="3256">
        <v>3150611.75</v>
      </c>
      <c r="K239" s="3260">
        <f t="shared" si="24"/>
        <v>28595.13</v>
      </c>
      <c r="L239" s="3261">
        <f t="shared" si="22"/>
        <v>3150611</v>
      </c>
      <c r="M239" s="3261">
        <f t="shared" si="25"/>
        <v>28654.94</v>
      </c>
      <c r="N239" s="3262" t="s">
        <v>4415</v>
      </c>
      <c r="O239" s="3263">
        <f t="shared" si="23"/>
        <v>2993080</v>
      </c>
      <c r="P239" s="3433"/>
    </row>
    <row r="240" spans="1:16" ht="16.5">
      <c r="A240" s="3256">
        <v>237</v>
      </c>
      <c r="B240" s="3256">
        <v>8</v>
      </c>
      <c r="C240" s="3256">
        <v>2</v>
      </c>
      <c r="D240" s="3257">
        <v>101</v>
      </c>
      <c r="E240" s="3258" t="str">
        <f t="shared" si="21"/>
        <v>8-2-101</v>
      </c>
      <c r="F240" s="3257">
        <v>110.17</v>
      </c>
      <c r="G240" s="3259">
        <v>90.17</v>
      </c>
      <c r="H240" s="3256" t="s">
        <v>4406</v>
      </c>
      <c r="I240" s="3256" t="s">
        <v>3395</v>
      </c>
      <c r="J240" s="3256">
        <v>3151407.34</v>
      </c>
      <c r="K240" s="3260">
        <f t="shared" si="24"/>
        <v>28662.18</v>
      </c>
      <c r="L240" s="3261">
        <f t="shared" si="22"/>
        <v>3151407</v>
      </c>
      <c r="M240" s="3261">
        <f t="shared" si="25"/>
        <v>28604.95</v>
      </c>
      <c r="N240" s="3262" t="s">
        <v>4415</v>
      </c>
      <c r="O240" s="3263">
        <f t="shared" si="23"/>
        <v>2993837</v>
      </c>
      <c r="P240" s="3433"/>
    </row>
    <row r="241" spans="1:23" ht="16.5">
      <c r="A241" s="3256">
        <v>238</v>
      </c>
      <c r="B241" s="3256">
        <v>9</v>
      </c>
      <c r="C241" s="3256">
        <v>1</v>
      </c>
      <c r="D241" s="3257">
        <v>102</v>
      </c>
      <c r="E241" s="3258" t="str">
        <f t="shared" si="21"/>
        <v>9-1-102</v>
      </c>
      <c r="F241" s="3257">
        <v>110.06</v>
      </c>
      <c r="G241" s="3259">
        <v>90.17</v>
      </c>
      <c r="H241" s="3256" t="s">
        <v>4405</v>
      </c>
      <c r="I241" s="3256" t="s">
        <v>3395</v>
      </c>
      <c r="J241" s="3256">
        <v>3225302.8</v>
      </c>
      <c r="K241" s="3260">
        <f t="shared" si="24"/>
        <v>29275.68</v>
      </c>
      <c r="L241" s="3261">
        <f t="shared" si="22"/>
        <v>3225302</v>
      </c>
      <c r="M241" s="3261">
        <f t="shared" si="25"/>
        <v>29304.94</v>
      </c>
      <c r="N241" s="3262" t="s">
        <v>4415</v>
      </c>
      <c r="O241" s="3263">
        <f t="shared" si="23"/>
        <v>3064037</v>
      </c>
      <c r="P241" s="3433"/>
    </row>
    <row r="242" spans="1:23" ht="16.5">
      <c r="A242" s="3256">
        <v>239</v>
      </c>
      <c r="B242" s="3264">
        <v>9</v>
      </c>
      <c r="C242" s="3264">
        <v>2</v>
      </c>
      <c r="D242" s="3265">
        <v>101</v>
      </c>
      <c r="E242" s="3266" t="str">
        <f t="shared" si="21"/>
        <v>9-2-101</v>
      </c>
      <c r="F242" s="3265">
        <v>109.84</v>
      </c>
      <c r="G242" s="3267">
        <v>89.99</v>
      </c>
      <c r="H242" s="3264" t="s">
        <v>4413</v>
      </c>
      <c r="I242" s="3264" t="s">
        <v>3395</v>
      </c>
      <c r="J242" s="3264">
        <v>3224347.71</v>
      </c>
      <c r="K242" s="3260">
        <f t="shared" si="24"/>
        <v>29296.27</v>
      </c>
      <c r="L242" s="3268">
        <f t="shared" si="22"/>
        <v>3224347</v>
      </c>
      <c r="M242" s="3261">
        <f t="shared" si="25"/>
        <v>29354.94</v>
      </c>
      <c r="N242" s="3262" t="s">
        <v>4415</v>
      </c>
      <c r="O242" s="3263">
        <f t="shared" si="23"/>
        <v>3063130</v>
      </c>
      <c r="P242" s="3433"/>
    </row>
    <row r="243" spans="1:23" ht="14.25">
      <c r="A243" s="3434"/>
      <c r="B243" s="3434"/>
      <c r="C243" s="3434"/>
      <c r="D243" s="3434"/>
      <c r="E243" s="3434"/>
      <c r="F243" s="3269">
        <f>SUM(F234:F242)</f>
        <v>991.82</v>
      </c>
    </row>
    <row r="244" spans="1:23" ht="14.25">
      <c r="E244" s="3269" t="s">
        <v>4820</v>
      </c>
      <c r="F244" s="3269" t="s">
        <v>4417</v>
      </c>
      <c r="H244" s="3269" t="s">
        <v>4418</v>
      </c>
      <c r="I244" s="3269" t="s">
        <v>4418</v>
      </c>
      <c r="L244" s="3269" t="s">
        <v>4417</v>
      </c>
      <c r="M244" s="3269" t="s">
        <v>4418</v>
      </c>
    </row>
    <row r="245" spans="1:23" ht="14.25">
      <c r="E245" s="3269" t="s">
        <v>4419</v>
      </c>
      <c r="F245" s="3269">
        <f>SUM(F3:F232)</f>
        <v>27897.340000000004</v>
      </c>
      <c r="H245" s="3269">
        <v>230</v>
      </c>
      <c r="J245" s="3269">
        <f>SUM(F3:F232)</f>
        <v>27897.340000000004</v>
      </c>
      <c r="K245" s="3269" t="s">
        <v>4420</v>
      </c>
      <c r="L245" s="3269">
        <v>43832.93</v>
      </c>
      <c r="M245" s="3269">
        <f>64+16+16+32+32+16+16+32+32+16+16+32+24+117</f>
        <v>461</v>
      </c>
    </row>
    <row r="246" spans="1:23" ht="14.25">
      <c r="E246" s="3269" t="s">
        <v>4421</v>
      </c>
      <c r="F246" s="3269">
        <f>[6]已正签住宅!F108</f>
        <v>12589.400000000003</v>
      </c>
      <c r="H246" s="3269">
        <v>105</v>
      </c>
      <c r="J246" s="3269">
        <f>[6]已正签住宅!F108</f>
        <v>12589.400000000003</v>
      </c>
      <c r="K246" s="3269" t="s">
        <v>4422</v>
      </c>
      <c r="L246" s="3269">
        <f>F243</f>
        <v>991.82</v>
      </c>
      <c r="M246" s="3269">
        <v>9</v>
      </c>
    </row>
    <row r="247" spans="1:23" ht="14.25">
      <c r="E247" s="3269" t="s">
        <v>4423</v>
      </c>
      <c r="F247" s="3269">
        <f>[6]仓储已取预售证!E120</f>
        <v>2354.3699999999985</v>
      </c>
      <c r="H247" s="3269">
        <v>117</v>
      </c>
      <c r="J247" s="3269">
        <f>[6]仓储已取预售证!E120</f>
        <v>2354.3699999999985</v>
      </c>
      <c r="K247" s="3269" t="s">
        <v>4424</v>
      </c>
      <c r="L247" s="3269">
        <f>L245-L246</f>
        <v>42841.11</v>
      </c>
      <c r="M247" s="3269">
        <f>M245-M246</f>
        <v>452</v>
      </c>
    </row>
    <row r="248" spans="1:23" ht="14.25">
      <c r="E248" s="3269" t="s">
        <v>4425</v>
      </c>
      <c r="F248" s="3269">
        <f>SUM(F245:F247)</f>
        <v>42841.11</v>
      </c>
      <c r="H248" s="3269">
        <f>H245+H246+H247</f>
        <v>452</v>
      </c>
      <c r="J248" s="3269">
        <f>SUM(J245:J247)</f>
        <v>42841.11</v>
      </c>
    </row>
    <row r="249" spans="1:23" ht="14.25">
      <c r="E249" s="3269" t="s">
        <v>4426</v>
      </c>
      <c r="F249" s="3269">
        <f>F247+F246+F245</f>
        <v>42841.110000000008</v>
      </c>
    </row>
    <row r="250" spans="1:23" ht="14.25">
      <c r="M250" s="3269" t="s">
        <v>3433</v>
      </c>
      <c r="N250" s="3229" t="s">
        <v>4427</v>
      </c>
      <c r="P250" s="3229" t="s">
        <v>4428</v>
      </c>
      <c r="Q250" s="3229" t="s">
        <v>4429</v>
      </c>
      <c r="R250" s="3229" t="s">
        <v>4430</v>
      </c>
      <c r="S250" s="3229" t="s">
        <v>4431</v>
      </c>
      <c r="T250" s="3229" t="s">
        <v>4432</v>
      </c>
      <c r="U250" s="3229" t="s">
        <v>4433</v>
      </c>
      <c r="V250" s="3229" t="s">
        <v>4434</v>
      </c>
      <c r="W250" s="3229" t="s">
        <v>4435</v>
      </c>
    </row>
    <row r="251" spans="1:23" ht="14.25">
      <c r="E251" s="3330" t="s">
        <v>4871</v>
      </c>
      <c r="F251" s="3330">
        <f>'6.5汇总'!N21-'最终-住宅未正签'!F252</f>
        <v>24150.359999999942</v>
      </c>
      <c r="G251" s="3330"/>
      <c r="H251" s="3330">
        <f>335-H252</f>
        <v>199</v>
      </c>
      <c r="L251" s="3229"/>
      <c r="M251" s="3269">
        <v>1</v>
      </c>
      <c r="N251" s="3229">
        <f>SUM(F3:F40)</f>
        <v>4100.2299999999987</v>
      </c>
      <c r="P251" s="3229">
        <v>38</v>
      </c>
      <c r="Q251" s="3229">
        <v>6953.4</v>
      </c>
      <c r="R251" s="3229">
        <v>64</v>
      </c>
      <c r="S251" s="3229">
        <f>Q251-N251</f>
        <v>2853.170000000001</v>
      </c>
      <c r="T251" s="3229">
        <f>R251-P251</f>
        <v>26</v>
      </c>
      <c r="U251" s="3229">
        <f>SUM('[1]最终-仓储已取预售证'!E3:E5)</f>
        <v>32.83</v>
      </c>
      <c r="V251" s="3229">
        <f>[1]面积及建安取值!H37</f>
        <v>32.83</v>
      </c>
      <c r="W251" s="3229">
        <v>3</v>
      </c>
    </row>
    <row r="252" spans="1:23" ht="14.25">
      <c r="E252" s="3330" t="s">
        <v>4872</v>
      </c>
      <c r="F252" s="3330">
        <f>'6.5已网签'!E139</f>
        <v>16336.380000000005</v>
      </c>
      <c r="G252" s="3330"/>
      <c r="H252" s="3330">
        <v>136</v>
      </c>
      <c r="L252" s="3229"/>
      <c r="M252" s="3269">
        <v>2</v>
      </c>
      <c r="N252" s="3229">
        <f>SUM(F41:F50)</f>
        <v>1404.1000000000001</v>
      </c>
      <c r="P252" s="3229">
        <v>10</v>
      </c>
      <c r="Q252" s="3229">
        <v>2246.56</v>
      </c>
      <c r="R252" s="3229">
        <v>16</v>
      </c>
      <c r="S252" s="3229">
        <f t="shared" ref="S252:S263" si="26">Q252-N252</f>
        <v>842.45999999999981</v>
      </c>
      <c r="T252" s="3229">
        <f t="shared" ref="T252:T263" si="27">R252-P252</f>
        <v>6</v>
      </c>
      <c r="U252" s="3229">
        <f>SUM('[1]最终-仓储已取预售证'!E6:E15)</f>
        <v>264.01</v>
      </c>
      <c r="V252" s="3229">
        <f>[1]面积及建安取值!H38</f>
        <v>264.01</v>
      </c>
      <c r="W252" s="3229">
        <v>10</v>
      </c>
    </row>
    <row r="253" spans="1:23" ht="14.25">
      <c r="E253" s="3330" t="s">
        <v>4423</v>
      </c>
      <c r="F253" s="3330">
        <f>'最终-仓储已取预售证'!E120</f>
        <v>2354.3699999999985</v>
      </c>
      <c r="G253" s="3330"/>
      <c r="H253" s="3330">
        <v>117</v>
      </c>
      <c r="L253" s="3229"/>
      <c r="M253" s="3269">
        <v>3</v>
      </c>
      <c r="N253" s="3229">
        <f>SUM(F51:F60)</f>
        <v>1232.1500000000001</v>
      </c>
      <c r="P253" s="3229">
        <v>10</v>
      </c>
      <c r="Q253" s="3229">
        <v>1971.44</v>
      </c>
      <c r="R253" s="3229">
        <v>16</v>
      </c>
      <c r="S253" s="3229">
        <f t="shared" si="26"/>
        <v>739.29</v>
      </c>
      <c r="T253" s="3229">
        <f t="shared" si="27"/>
        <v>6</v>
      </c>
      <c r="U253" s="3229">
        <f>SUM('[1]最终-仓储已取预售证'!E16:E27)</f>
        <v>237.77</v>
      </c>
      <c r="V253" s="3229">
        <f>[1]面积及建安取值!H39</f>
        <v>237.77</v>
      </c>
      <c r="W253" s="3229">
        <v>12</v>
      </c>
    </row>
    <row r="254" spans="1:23" ht="14.25">
      <c r="E254" s="3330" t="s">
        <v>4867</v>
      </c>
      <c r="F254" s="3330">
        <f>面积及建安取值!B51-面积及建安取值!I51-面积及建安取值!J51-面积及建安取值!L51</f>
        <v>10827.56</v>
      </c>
      <c r="G254" s="3330"/>
      <c r="H254" s="3330">
        <v>315</v>
      </c>
      <c r="L254" s="3229"/>
      <c r="M254" s="3270">
        <v>4</v>
      </c>
      <c r="N254" s="3271">
        <f>SUM(F61:F78)</f>
        <v>2010.2700000000004</v>
      </c>
      <c r="O254" s="3271"/>
      <c r="P254" s="3271">
        <v>18</v>
      </c>
      <c r="Q254" s="3229">
        <v>3341.59</v>
      </c>
      <c r="R254" s="3271">
        <f>32-2</f>
        <v>30</v>
      </c>
      <c r="S254" s="3229">
        <f t="shared" si="26"/>
        <v>1331.3199999999997</v>
      </c>
      <c r="T254" s="3229">
        <f t="shared" si="27"/>
        <v>12</v>
      </c>
      <c r="U254" s="3229">
        <f>SUM('[1]最终-仓储已取预售证'!E28)</f>
        <v>7.2</v>
      </c>
      <c r="V254" s="3229">
        <f>[1]面积及建安取值!H40</f>
        <v>7.2</v>
      </c>
      <c r="W254" s="3229">
        <v>1</v>
      </c>
    </row>
    <row r="255" spans="1:23" ht="14.25">
      <c r="E255" s="3330" t="s">
        <v>2582</v>
      </c>
      <c r="F255" s="3330">
        <f>SUBTOTAL(9,F251:F254)</f>
        <v>53668.66999999994</v>
      </c>
      <c r="G255" s="3330"/>
      <c r="H255" s="3330">
        <f>SUBTOTAL(9,H251:H254)</f>
        <v>767</v>
      </c>
      <c r="L255" s="3229"/>
      <c r="M255" s="3270">
        <v>5</v>
      </c>
      <c r="N255" s="3271">
        <f>SUM(F79:F105)</f>
        <v>3010.8899999999994</v>
      </c>
      <c r="O255" s="3271"/>
      <c r="P255" s="3271">
        <v>27</v>
      </c>
      <c r="Q255" s="3229">
        <v>3231.25</v>
      </c>
      <c r="R255" s="3271">
        <f>32-3</f>
        <v>29</v>
      </c>
      <c r="S255" s="3229">
        <f t="shared" si="26"/>
        <v>220.36000000000058</v>
      </c>
      <c r="T255" s="3229">
        <f t="shared" si="27"/>
        <v>2</v>
      </c>
      <c r="U255" s="3229">
        <f>SUM('[1]最终-仓储已取预售证'!E29)</f>
        <v>7.2</v>
      </c>
      <c r="V255" s="3229">
        <f>[1]面积及建安取值!H41</f>
        <v>7.2</v>
      </c>
      <c r="W255" s="3229">
        <v>1</v>
      </c>
    </row>
    <row r="256" spans="1:23" ht="14.25">
      <c r="L256" s="3229"/>
      <c r="M256" s="3269">
        <v>6</v>
      </c>
      <c r="N256" s="3229">
        <f>SUM(F106:F119)</f>
        <v>1969.2400000000005</v>
      </c>
      <c r="P256" s="3229">
        <v>14</v>
      </c>
      <c r="Q256" s="3229">
        <v>2250.56</v>
      </c>
      <c r="R256" s="3229">
        <v>16</v>
      </c>
      <c r="S256" s="3229">
        <f t="shared" si="26"/>
        <v>281.31999999999948</v>
      </c>
      <c r="T256" s="3229">
        <f t="shared" si="27"/>
        <v>2</v>
      </c>
      <c r="U256" s="3229">
        <f>SUM('[1]最终-仓储已取预售证'!E30:E39)</f>
        <v>264.02000000000004</v>
      </c>
      <c r="V256" s="3229">
        <f>[1]面积及建安取值!H42</f>
        <v>264.02</v>
      </c>
      <c r="W256" s="3229">
        <v>10</v>
      </c>
    </row>
    <row r="257" spans="5:23" ht="14.25">
      <c r="E257" s="3229"/>
      <c r="F257" s="3229"/>
      <c r="G257" s="3229"/>
      <c r="H257" s="3229"/>
      <c r="L257" s="3229"/>
      <c r="M257" s="3269">
        <v>7</v>
      </c>
      <c r="N257" s="3229">
        <f>SUM(F120:F131)</f>
        <v>1448.2000000000003</v>
      </c>
      <c r="P257" s="3229">
        <v>12</v>
      </c>
      <c r="Q257" s="3229">
        <v>1975.2</v>
      </c>
      <c r="R257" s="3229">
        <v>16</v>
      </c>
      <c r="S257" s="3229">
        <f t="shared" si="26"/>
        <v>526.99999999999977</v>
      </c>
      <c r="T257" s="3229">
        <f t="shared" si="27"/>
        <v>4</v>
      </c>
      <c r="U257" s="3229">
        <f>SUM('[1]最终-仓储已取预售证'!E40:E51)</f>
        <v>238.28</v>
      </c>
      <c r="V257" s="3229">
        <f>[1]面积及建安取值!H43</f>
        <v>238.28</v>
      </c>
      <c r="W257" s="3229">
        <v>12</v>
      </c>
    </row>
    <row r="258" spans="5:23" ht="14.25">
      <c r="E258" s="3229"/>
      <c r="F258" s="3229"/>
      <c r="G258" s="3229"/>
      <c r="H258" s="3229"/>
      <c r="L258" s="3229"/>
      <c r="M258" s="3270">
        <v>8</v>
      </c>
      <c r="N258" s="3271">
        <f>SUM(F132:F147)</f>
        <v>1972.2199999999996</v>
      </c>
      <c r="O258" s="3271"/>
      <c r="P258" s="3271">
        <v>16</v>
      </c>
      <c r="Q258" s="3229">
        <v>3530.32</v>
      </c>
      <c r="R258" s="3271">
        <f>32-2</f>
        <v>30</v>
      </c>
      <c r="S258" s="3229">
        <f t="shared" si="26"/>
        <v>1558.1000000000006</v>
      </c>
      <c r="T258" s="3229">
        <f t="shared" si="27"/>
        <v>14</v>
      </c>
      <c r="U258" s="3229">
        <f>SUM('[1]最终-仓储已取预售证'!E52:E55)</f>
        <v>26.259999999999998</v>
      </c>
      <c r="V258" s="3229">
        <f>[1]面积及建安取值!H44</f>
        <v>26.26</v>
      </c>
      <c r="W258" s="3229">
        <v>4</v>
      </c>
    </row>
    <row r="259" spans="5:23" ht="14.25">
      <c r="E259" s="3229"/>
      <c r="F259" s="3229"/>
      <c r="G259" s="3229"/>
      <c r="H259" s="3229"/>
      <c r="L259" s="3229"/>
      <c r="M259" s="3270">
        <v>9</v>
      </c>
      <c r="N259" s="3271">
        <f>SUM(F148:F172)</f>
        <v>2964.2400000000002</v>
      </c>
      <c r="O259" s="3271"/>
      <c r="P259" s="3271">
        <v>25</v>
      </c>
      <c r="Q259" s="3229">
        <v>3526.7</v>
      </c>
      <c r="R259" s="3271">
        <f>32-2</f>
        <v>30</v>
      </c>
      <c r="S259" s="3229">
        <f t="shared" si="26"/>
        <v>562.45999999999958</v>
      </c>
      <c r="T259" s="3229">
        <f t="shared" si="27"/>
        <v>5</v>
      </c>
      <c r="U259" s="3229">
        <f>SUM('[1]最终-仓储已取预售证'!E56:E58)</f>
        <v>13.97</v>
      </c>
      <c r="V259" s="3229">
        <f>[1]面积及建安取值!H45</f>
        <v>13.97</v>
      </c>
      <c r="W259" s="3229">
        <v>3</v>
      </c>
    </row>
    <row r="260" spans="5:23" ht="14.25">
      <c r="E260" s="3229"/>
      <c r="F260" s="3229"/>
      <c r="G260" s="3229"/>
      <c r="H260" s="3229"/>
      <c r="L260" s="3229"/>
      <c r="M260" s="3269">
        <v>10</v>
      </c>
      <c r="N260" s="3229">
        <f>SUM(F173:F183)</f>
        <v>1550.6599999999999</v>
      </c>
      <c r="P260" s="3229">
        <v>11</v>
      </c>
      <c r="Q260" s="3229">
        <v>2253.2800000000002</v>
      </c>
      <c r="R260" s="3229">
        <v>16</v>
      </c>
      <c r="S260" s="3229">
        <f t="shared" si="26"/>
        <v>702.62000000000035</v>
      </c>
      <c r="T260" s="3229">
        <f t="shared" si="27"/>
        <v>5</v>
      </c>
      <c r="U260" s="3229">
        <f>SUM('[1]最终-仓储已取预售证'!E59:E68)</f>
        <v>264.02000000000004</v>
      </c>
      <c r="V260" s="3229">
        <f>[1]面积及建安取值!H46</f>
        <v>264.02</v>
      </c>
      <c r="W260" s="3229">
        <v>10</v>
      </c>
    </row>
    <row r="261" spans="5:23" ht="14.25">
      <c r="E261" s="3229"/>
      <c r="F261" s="3229"/>
      <c r="G261" s="3229"/>
      <c r="H261" s="3229"/>
      <c r="L261" s="3229"/>
      <c r="M261" s="3269">
        <v>11</v>
      </c>
      <c r="N261" s="3229">
        <f>SUM(F184:F198)</f>
        <v>1841.06</v>
      </c>
      <c r="P261" s="3229">
        <v>15</v>
      </c>
      <c r="Q261" s="3229">
        <v>1972.64</v>
      </c>
      <c r="R261" s="3229">
        <v>16</v>
      </c>
      <c r="S261" s="3229">
        <f t="shared" si="26"/>
        <v>131.58000000000015</v>
      </c>
      <c r="T261" s="3229">
        <f t="shared" si="27"/>
        <v>1</v>
      </c>
      <c r="U261" s="3229">
        <f>SUM('[1]最终-仓储已取预售证'!E69:E80)</f>
        <v>238.48</v>
      </c>
      <c r="V261" s="3229">
        <f>[1]面积及建安取值!H47</f>
        <v>238.48</v>
      </c>
      <c r="W261" s="3229">
        <v>12</v>
      </c>
    </row>
    <row r="262" spans="5:23" ht="14.25">
      <c r="E262" s="3229"/>
      <c r="F262" s="3229"/>
      <c r="G262" s="3229"/>
      <c r="H262" s="3229"/>
      <c r="L262" s="3229"/>
      <c r="M262" s="3269">
        <v>12</v>
      </c>
      <c r="N262" s="3229">
        <f>SUM(F199:F215)</f>
        <v>2192.1499999999996</v>
      </c>
      <c r="P262" s="3229">
        <v>17</v>
      </c>
      <c r="Q262" s="3229">
        <v>4125.4399999999996</v>
      </c>
      <c r="R262" s="3229">
        <v>32</v>
      </c>
      <c r="S262" s="3229">
        <f t="shared" si="26"/>
        <v>1933.29</v>
      </c>
      <c r="T262" s="3229">
        <f t="shared" si="27"/>
        <v>15</v>
      </c>
      <c r="U262" s="3229">
        <f>SUM('[1]最终-仓储已取预售证'!E81:E96)</f>
        <v>340.80999999999995</v>
      </c>
      <c r="V262" s="3229">
        <f>[1]面积及建安取值!H48</f>
        <v>340.81</v>
      </c>
      <c r="W262" s="3229">
        <v>16</v>
      </c>
    </row>
    <row r="263" spans="5:23" ht="14.25">
      <c r="L263" s="3229"/>
      <c r="M263" s="3269">
        <v>13</v>
      </c>
      <c r="N263" s="3229">
        <f>SUM(F216:F232)</f>
        <v>2201.9300000000003</v>
      </c>
      <c r="P263" s="3229">
        <v>17</v>
      </c>
      <c r="Q263" s="3229">
        <v>3108.36</v>
      </c>
      <c r="R263" s="3229">
        <v>24</v>
      </c>
      <c r="S263" s="3229">
        <f t="shared" si="26"/>
        <v>906.42999999999984</v>
      </c>
      <c r="T263" s="3229">
        <f t="shared" si="27"/>
        <v>7</v>
      </c>
      <c r="U263" s="3229">
        <f>SUM('[1]最终-仓储已取预售证'!E97:E119)</f>
        <v>419.5200000000001</v>
      </c>
      <c r="V263" s="3229">
        <f>[1]面积及建安取值!H49</f>
        <v>419.52</v>
      </c>
      <c r="W263" s="3229">
        <v>23</v>
      </c>
    </row>
    <row r="264" spans="5:23" ht="14.25">
      <c r="M264" s="3269" t="s">
        <v>2582</v>
      </c>
      <c r="N264" s="3229">
        <f>SUM(N251:N263)</f>
        <v>27897.340000000004</v>
      </c>
      <c r="O264" s="3229">
        <f t="shared" ref="O264:P264" si="28">SUBTOTAL(9,O251:O263)</f>
        <v>0</v>
      </c>
      <c r="P264" s="3229">
        <f t="shared" si="28"/>
        <v>230</v>
      </c>
      <c r="Q264" s="3229">
        <f>SUM(Q251:Q263)</f>
        <v>40486.740000000005</v>
      </c>
      <c r="R264" s="3229">
        <f>SUBTOTAL(9,R251:R263)</f>
        <v>335</v>
      </c>
      <c r="S264" s="3229">
        <f>SUM(S251:S263)</f>
        <v>12589.400000000001</v>
      </c>
      <c r="T264" s="3229">
        <f>SUM(T251:T263)</f>
        <v>105</v>
      </c>
      <c r="U264" s="3229">
        <f>SUBTOTAL(9,U251:U263)</f>
        <v>2354.3700000000003</v>
      </c>
      <c r="V264" s="3229">
        <f>SUM(V251:V263)</f>
        <v>2354.37</v>
      </c>
      <c r="W264" s="3229">
        <f>SUBTOTAL(9,W251:W263)</f>
        <v>117</v>
      </c>
    </row>
    <row r="265" spans="5:23" ht="24.95" customHeight="1">
      <c r="N265" s="3229">
        <f>N264+S264+U264</f>
        <v>42841.110000000008</v>
      </c>
    </row>
  </sheetData>
  <autoFilter ref="A2:O263">
    <filterColumn colId="3">
      <filters>
        <filter val="801"/>
        <filter val="802"/>
      </filters>
    </filterColumn>
  </autoFilter>
  <mergeCells count="4">
    <mergeCell ref="A1:O1"/>
    <mergeCell ref="A233:E233"/>
    <mergeCell ref="P234:P242"/>
    <mergeCell ref="A243:E243"/>
  </mergeCells>
  <phoneticPr fontId="135"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3"/>
  <sheetViews>
    <sheetView topLeftCell="C1" zoomScaleNormal="100" workbookViewId="0">
      <selection activeCell="L20" sqref="L20"/>
    </sheetView>
  </sheetViews>
  <sheetFormatPr defaultColWidth="8.75" defaultRowHeight="14.1" customHeight="1"/>
  <cols>
    <col min="1" max="1" width="10.625" style="3227" customWidth="1"/>
    <col min="2" max="2" width="13" style="3227" customWidth="1"/>
    <col min="3" max="4" width="16.25" style="3227" customWidth="1"/>
    <col min="5" max="5" width="21.75" style="3333" customWidth="1"/>
    <col min="6" max="6" width="12.375" style="3227" bestFit="1" customWidth="1"/>
    <col min="7" max="7" width="8.75" style="3227"/>
    <col min="8" max="8" width="10.125" style="3227" bestFit="1" customWidth="1"/>
    <col min="9" max="9" width="9.375" style="3227" bestFit="1" customWidth="1"/>
    <col min="10" max="11" width="11.375" style="3227" bestFit="1" customWidth="1"/>
    <col min="12" max="12" width="9.375" style="3344" bestFit="1" customWidth="1"/>
    <col min="13" max="13" width="11.375" style="3344" bestFit="1" customWidth="1"/>
    <col min="14" max="15" width="18" style="3344" bestFit="1" customWidth="1"/>
    <col min="16" max="16384" width="8.75" style="3227"/>
  </cols>
  <sheetData>
    <row r="1" spans="1:15" ht="24.95" customHeight="1">
      <c r="A1" s="3436" t="s">
        <v>5255</v>
      </c>
      <c r="B1" s="3436"/>
      <c r="C1" s="3436"/>
      <c r="D1" s="3436"/>
      <c r="E1" s="3437"/>
    </row>
    <row r="2" spans="1:15" ht="20.100000000000001" customHeight="1">
      <c r="A2" s="3343" t="s">
        <v>3731</v>
      </c>
      <c r="B2" s="3343" t="s">
        <v>5254</v>
      </c>
      <c r="C2" s="3343" t="s">
        <v>4393</v>
      </c>
      <c r="D2" s="3343" t="s">
        <v>5253</v>
      </c>
      <c r="E2" s="3342" t="s">
        <v>5252</v>
      </c>
      <c r="H2" s="3159" t="s">
        <v>5267</v>
      </c>
      <c r="I2" s="3159" t="s">
        <v>5268</v>
      </c>
      <c r="J2" s="3341" t="s">
        <v>5251</v>
      </c>
      <c r="K2" s="3341" t="s">
        <v>5250</v>
      </c>
      <c r="L2" s="3348" t="s">
        <v>5269</v>
      </c>
      <c r="M2" s="3351" t="s">
        <v>5266</v>
      </c>
      <c r="N2" s="3346" t="s">
        <v>5270</v>
      </c>
      <c r="O2" s="3349" t="s">
        <v>5265</v>
      </c>
    </row>
    <row r="3" spans="1:15" s="3159" customFormat="1" ht="12" customHeight="1">
      <c r="A3" s="3440" t="s">
        <v>5249</v>
      </c>
      <c r="B3" s="3435" t="s">
        <v>5222</v>
      </c>
      <c r="C3" s="3336" t="s">
        <v>5089</v>
      </c>
      <c r="D3" s="3335">
        <v>91.2</v>
      </c>
      <c r="E3" s="3334">
        <v>38.44</v>
      </c>
      <c r="F3" s="3338">
        <f>F66</f>
        <v>6953.4000000000015</v>
      </c>
      <c r="G3" s="3159" t="s">
        <v>5248</v>
      </c>
      <c r="H3" s="3338">
        <f>D8+D9+D10+D12+D13+D14+D15+D16+D23+D24+D25+D26+D27+D28+D29+D30+D31+D32+D39+D40+D41+D42+D43+D44+D45+D46+D47+D48+D59+D61+D63</f>
        <v>3402.6699999999978</v>
      </c>
      <c r="I3" s="3338">
        <f>F66-H3</f>
        <v>3550.7300000000037</v>
      </c>
      <c r="J3" s="3338">
        <f>E8+E9+E10+E12+E13+E14+E15+E16+E23+E24+E25+E26+E27+E28+E29+E30+E31+E32+E39+E40+E41+E42+E43+E44+E45+E46+E47+E48+E59+E61+E63</f>
        <v>1434.32</v>
      </c>
      <c r="K3" s="3338">
        <f>F65-J3</f>
        <v>1496.7200000000005</v>
      </c>
      <c r="L3" s="3347">
        <f>G66</f>
        <v>32.83</v>
      </c>
      <c r="M3" s="3350">
        <f>G65</f>
        <v>13.829999999999998</v>
      </c>
      <c r="N3" s="3347">
        <f>I3</f>
        <v>3550.7300000000037</v>
      </c>
      <c r="O3" s="3350">
        <f>K3</f>
        <v>1496.7200000000005</v>
      </c>
    </row>
    <row r="4" spans="1:15" s="3159" customFormat="1" ht="12" customHeight="1">
      <c r="A4" s="3441"/>
      <c r="B4" s="3435"/>
      <c r="C4" s="3336" t="s">
        <v>5088</v>
      </c>
      <c r="D4" s="3335">
        <v>109.72</v>
      </c>
      <c r="E4" s="3334">
        <v>46.25</v>
      </c>
      <c r="F4" s="3338">
        <f>F95</f>
        <v>2246.5600000000004</v>
      </c>
      <c r="G4" s="3159" t="s">
        <v>5247</v>
      </c>
      <c r="H4" s="3338">
        <f>D88+D89+D90+D91+D92+D93+D94</f>
        <v>983.37999999999988</v>
      </c>
      <c r="I4" s="3338">
        <f>F95-H4</f>
        <v>1263.1800000000005</v>
      </c>
      <c r="J4" s="3338">
        <f>E88+E89+E90+E91+E92+E93+E94</f>
        <v>414.51</v>
      </c>
      <c r="K4" s="3338">
        <f>F94-J4</f>
        <v>532.45000000000005</v>
      </c>
      <c r="L4" s="3347">
        <f>G95</f>
        <v>264.01</v>
      </c>
      <c r="M4" s="3350">
        <f>G94</f>
        <v>111.29</v>
      </c>
      <c r="N4" s="3347">
        <f>I4</f>
        <v>1263.1800000000005</v>
      </c>
      <c r="O4" s="3350">
        <f>K4</f>
        <v>532.45000000000005</v>
      </c>
    </row>
    <row r="5" spans="1:15" s="3159" customFormat="1" ht="12" customHeight="1">
      <c r="A5" s="3441"/>
      <c r="B5" s="3435"/>
      <c r="C5" s="3336" t="s">
        <v>4988</v>
      </c>
      <c r="D5" s="3335">
        <v>110.17</v>
      </c>
      <c r="E5" s="3334">
        <v>46.44</v>
      </c>
      <c r="F5" s="3338">
        <f>F123</f>
        <v>1971.4400000000003</v>
      </c>
      <c r="G5" s="3159" t="s">
        <v>4839</v>
      </c>
      <c r="H5" s="3338">
        <f>D110+D112+D113+D114+D115+D116+D117+D119+D120+D121</f>
        <v>1232.1500000000001</v>
      </c>
      <c r="I5" s="3338">
        <f>F123-H5</f>
        <v>739.29000000000019</v>
      </c>
      <c r="J5" s="3338">
        <f>E110+E112+E113+E114+E115+E116+E117+E119+E120+E121</f>
        <v>519.4</v>
      </c>
      <c r="K5" s="3338">
        <f>F122-J5</f>
        <v>311.64</v>
      </c>
      <c r="L5" s="3347">
        <f>G123</f>
        <v>237.77</v>
      </c>
      <c r="M5" s="3350">
        <f>G122</f>
        <v>100.23</v>
      </c>
      <c r="N5" s="3347">
        <f>I5</f>
        <v>739.29000000000019</v>
      </c>
      <c r="O5" s="3350">
        <f>K5</f>
        <v>311.64</v>
      </c>
    </row>
    <row r="6" spans="1:15" s="3159" customFormat="1" ht="12" customHeight="1">
      <c r="A6" s="3441"/>
      <c r="B6" s="3435"/>
      <c r="C6" s="3336" t="s">
        <v>4987</v>
      </c>
      <c r="D6" s="3335">
        <v>109.72</v>
      </c>
      <c r="E6" s="3334">
        <v>46.25</v>
      </c>
      <c r="F6" s="3338">
        <f>F156</f>
        <v>3562.3999999999996</v>
      </c>
      <c r="G6" s="3159" t="s">
        <v>4832</v>
      </c>
      <c r="H6" s="3338">
        <f>D130+D131+D132+D133+D134+D136+D137+D139+D144+D146+D148+D149+D150+D151+D153+D154</f>
        <v>1780.7500000000002</v>
      </c>
      <c r="I6" s="3338">
        <f>F156-H6</f>
        <v>1781.6499999999994</v>
      </c>
      <c r="J6" s="3338">
        <f>E130+E131+E132+E133+E134+E136+E137+E139+E144+E146+E148+E149+E150+E151+E153+E154</f>
        <v>750.56999999999994</v>
      </c>
      <c r="K6" s="3338">
        <f>F155-J6</f>
        <v>750.95000000000073</v>
      </c>
      <c r="L6" s="3347">
        <f>G156</f>
        <v>7.2</v>
      </c>
      <c r="M6" s="3350">
        <f>G155</f>
        <v>3.03</v>
      </c>
      <c r="N6" s="3347">
        <f>I6-H19-H20</f>
        <v>1560.8399999999992</v>
      </c>
      <c r="O6" s="3350">
        <f>K6-I19-I20</f>
        <v>657.88000000000068</v>
      </c>
    </row>
    <row r="7" spans="1:15" s="3159" customFormat="1" ht="12" customHeight="1">
      <c r="A7" s="3441"/>
      <c r="B7" s="3435"/>
      <c r="C7" s="3336" t="s">
        <v>4887</v>
      </c>
      <c r="D7" s="3335">
        <v>110.17</v>
      </c>
      <c r="E7" s="3334">
        <v>46.44</v>
      </c>
      <c r="F7" s="3338">
        <f>F189</f>
        <v>3562.2399999999984</v>
      </c>
      <c r="G7" s="3159" t="s">
        <v>4837</v>
      </c>
      <c r="H7" s="3338">
        <f>D162+D166+D168+D183</f>
        <v>440.72</v>
      </c>
      <c r="I7" s="3338">
        <f>F189-H7</f>
        <v>3121.5199999999986</v>
      </c>
      <c r="J7" s="3338">
        <f>E162+E166+E168+E183</f>
        <v>185.76</v>
      </c>
      <c r="K7" s="3338">
        <f>F188-J7</f>
        <v>1315.7000000000005</v>
      </c>
      <c r="L7" s="3347">
        <f>G189</f>
        <v>7.2</v>
      </c>
      <c r="M7" s="3350">
        <f>G188</f>
        <v>3.03</v>
      </c>
      <c r="N7" s="3347">
        <f>I7-H21-H22-H23</f>
        <v>2790.5299999999988</v>
      </c>
      <c r="O7" s="3350">
        <f>K7-I21-I22-I23</f>
        <v>1176.1900000000003</v>
      </c>
    </row>
    <row r="8" spans="1:15" s="3159" customFormat="1" ht="12" customHeight="1">
      <c r="A8" s="3441"/>
      <c r="B8" s="3435"/>
      <c r="C8" s="3336" t="s">
        <v>4886</v>
      </c>
      <c r="D8" s="3339">
        <v>109.72</v>
      </c>
      <c r="E8" s="3340">
        <v>46.25</v>
      </c>
      <c r="F8" s="3338">
        <f>F215</f>
        <v>2250.5600000000004</v>
      </c>
      <c r="G8" s="3159" t="s">
        <v>5246</v>
      </c>
      <c r="H8" s="3338">
        <f>D208+D209+D212</f>
        <v>422.49</v>
      </c>
      <c r="I8" s="3338">
        <f>F215-H8</f>
        <v>1828.0700000000004</v>
      </c>
      <c r="J8" s="3338">
        <f>E208+E209+E212</f>
        <v>178.1</v>
      </c>
      <c r="K8" s="3338">
        <f>F214-J8</f>
        <v>770.62000000000012</v>
      </c>
      <c r="L8" s="3347">
        <f>G215</f>
        <v>264.02000000000004</v>
      </c>
      <c r="M8" s="3350">
        <f>G214</f>
        <v>111.3</v>
      </c>
      <c r="N8" s="3347">
        <f>I8</f>
        <v>1828.0700000000004</v>
      </c>
      <c r="O8" s="3350">
        <f>K8</f>
        <v>770.62000000000012</v>
      </c>
    </row>
    <row r="9" spans="1:15" s="3159" customFormat="1" ht="12" customHeight="1">
      <c r="A9" s="3441"/>
      <c r="B9" s="3435"/>
      <c r="C9" s="3336" t="s">
        <v>5220</v>
      </c>
      <c r="D9" s="3339">
        <v>110.17</v>
      </c>
      <c r="E9" s="3340">
        <v>46.44</v>
      </c>
      <c r="F9" s="3338">
        <f>F243</f>
        <v>1975.2000000000003</v>
      </c>
      <c r="G9" s="3159" t="s">
        <v>4836</v>
      </c>
      <c r="H9" s="3338">
        <f>D237+D239+D241+D243</f>
        <v>527</v>
      </c>
      <c r="I9" s="3338">
        <f>F243-H9</f>
        <v>1448.2000000000003</v>
      </c>
      <c r="J9" s="3338">
        <f>E237+E239+E241+E243</f>
        <v>222.16</v>
      </c>
      <c r="K9" s="3338">
        <f>F242-J9</f>
        <v>610.4799999999999</v>
      </c>
      <c r="L9" s="3347">
        <f>G243</f>
        <v>238.28</v>
      </c>
      <c r="M9" s="3350">
        <f>G242</f>
        <v>100.43000000000002</v>
      </c>
      <c r="N9" s="3347">
        <f>I9</f>
        <v>1448.2000000000003</v>
      </c>
      <c r="O9" s="3350">
        <f>K9</f>
        <v>610.4799999999999</v>
      </c>
    </row>
    <row r="10" spans="1:15" s="3159" customFormat="1" ht="12" customHeight="1">
      <c r="A10" s="3441"/>
      <c r="B10" s="3435"/>
      <c r="C10" s="3336" t="s">
        <v>5219</v>
      </c>
      <c r="D10" s="3339">
        <v>109.72</v>
      </c>
      <c r="E10" s="3340">
        <v>46.25</v>
      </c>
      <c r="F10" s="3338">
        <f>F279</f>
        <v>3750.4400000000023</v>
      </c>
      <c r="G10" s="3159" t="s">
        <v>5245</v>
      </c>
      <c r="H10" s="3338">
        <f>D249+D251+D253+D254+D257+D262+D264+D265+D266+D267+D268+D269+D270+D271+D272+D273+D274</f>
        <v>1916.94</v>
      </c>
      <c r="I10" s="3338">
        <f>F279-H10</f>
        <v>1833.5000000000023</v>
      </c>
      <c r="J10" s="3338">
        <f>E249+E251+E253+E254+E257+E262+E264+E265+E266+E267+E268+E269+E270+E271+E272+E273+E274</f>
        <v>808.05999999999972</v>
      </c>
      <c r="K10" s="3338">
        <f>F278-J10</f>
        <v>772.88000000000079</v>
      </c>
      <c r="L10" s="3347">
        <f>G279</f>
        <v>26.259999999999998</v>
      </c>
      <c r="M10" s="3350">
        <f>G278</f>
        <v>11.069999999999999</v>
      </c>
      <c r="N10" s="3347">
        <f>I10-H24-H25</f>
        <v>1613.3800000000022</v>
      </c>
      <c r="O10" s="3350">
        <f>K10-I24-I25</f>
        <v>680.09000000000083</v>
      </c>
    </row>
    <row r="11" spans="1:15" s="3159" customFormat="1" ht="12" customHeight="1">
      <c r="A11" s="3441"/>
      <c r="B11" s="3435"/>
      <c r="C11" s="3336" t="s">
        <v>5218</v>
      </c>
      <c r="D11" s="3335">
        <v>110.17</v>
      </c>
      <c r="E11" s="3334">
        <v>46.44</v>
      </c>
      <c r="F11" s="3338">
        <f>F314</f>
        <v>3746.6000000000008</v>
      </c>
      <c r="G11" s="3159" t="s">
        <v>5244</v>
      </c>
      <c r="H11" s="3338">
        <f>D288+D289+D290+D292+D293+D308</f>
        <v>672.5200000000001</v>
      </c>
      <c r="I11" s="3338">
        <f>F314-H11</f>
        <v>3074.0800000000008</v>
      </c>
      <c r="J11" s="3338">
        <f>E288+E289+E290+E292+E293+E308</f>
        <v>283.48</v>
      </c>
      <c r="K11" s="3338">
        <f>F313-J11</f>
        <v>1295.7799999999993</v>
      </c>
      <c r="L11" s="3347">
        <f>G314</f>
        <v>13.97</v>
      </c>
      <c r="M11" s="3350">
        <f>G313</f>
        <v>5.89</v>
      </c>
      <c r="N11" s="3347">
        <f>I11-H26-H27</f>
        <v>2854.1800000000007</v>
      </c>
      <c r="O11" s="3350">
        <f>K11-I26-I27</f>
        <v>1203.0899999999992</v>
      </c>
    </row>
    <row r="12" spans="1:15" s="3159" customFormat="1" ht="12" customHeight="1">
      <c r="A12" s="3441"/>
      <c r="B12" s="3435"/>
      <c r="C12" s="3336" t="s">
        <v>5217</v>
      </c>
      <c r="D12" s="3339">
        <v>109.72</v>
      </c>
      <c r="E12" s="3340">
        <v>46.25</v>
      </c>
      <c r="F12" s="3338">
        <f>F340</f>
        <v>2253.2799999999997</v>
      </c>
      <c r="G12" s="3159" t="s">
        <v>5243</v>
      </c>
      <c r="H12" s="3338">
        <f>D332+D336+D338+D339+D340</f>
        <v>702.61999999999989</v>
      </c>
      <c r="I12" s="3338">
        <f>F340-H12</f>
        <v>1550.6599999999999</v>
      </c>
      <c r="J12" s="3338">
        <f>E332+E336+E338+E339+E340</f>
        <v>296.17999999999995</v>
      </c>
      <c r="K12" s="3338">
        <f>F339-J12</f>
        <v>653.66000000000008</v>
      </c>
      <c r="L12" s="3347">
        <f>G340</f>
        <v>264.02000000000004</v>
      </c>
      <c r="M12" s="3350">
        <f>G339</f>
        <v>111.3</v>
      </c>
      <c r="N12" s="3347">
        <f>I12</f>
        <v>1550.6599999999999</v>
      </c>
      <c r="O12" s="3350">
        <f>K12</f>
        <v>653.66000000000008</v>
      </c>
    </row>
    <row r="13" spans="1:15" s="3159" customFormat="1" ht="12" customHeight="1">
      <c r="A13" s="3441"/>
      <c r="B13" s="3435"/>
      <c r="C13" s="3336" t="s">
        <v>5216</v>
      </c>
      <c r="D13" s="3339">
        <v>110.17</v>
      </c>
      <c r="E13" s="3340">
        <v>46.44</v>
      </c>
      <c r="F13" s="3338">
        <f>F368</f>
        <v>1972.6399999999999</v>
      </c>
      <c r="G13" s="3159" t="s">
        <v>5242</v>
      </c>
      <c r="H13" s="3338">
        <f>D360+D362+D363+D364</f>
        <v>509.74</v>
      </c>
      <c r="I13" s="3338">
        <f>F368-H13</f>
        <v>1462.8999999999999</v>
      </c>
      <c r="J13" s="3338">
        <f>E360+E362+E363+E364</f>
        <v>214.86</v>
      </c>
      <c r="K13" s="3338">
        <f>F367-J13</f>
        <v>616.6600000000002</v>
      </c>
      <c r="L13" s="3347">
        <f>G368</f>
        <v>238.48</v>
      </c>
      <c r="M13" s="3350">
        <f>G367</f>
        <v>100.53</v>
      </c>
      <c r="N13" s="3347">
        <f t="shared" ref="N13:N15" si="0">I13</f>
        <v>1462.8999999999999</v>
      </c>
      <c r="O13" s="3350">
        <f t="shared" ref="O13:O15" si="1">K13</f>
        <v>616.6600000000002</v>
      </c>
    </row>
    <row r="14" spans="1:15" s="3159" customFormat="1" ht="12" customHeight="1">
      <c r="A14" s="3441"/>
      <c r="B14" s="3435"/>
      <c r="C14" s="3336" t="s">
        <v>5215</v>
      </c>
      <c r="D14" s="3339">
        <v>109.72</v>
      </c>
      <c r="E14" s="3340">
        <v>46.25</v>
      </c>
      <c r="F14" s="3338">
        <f>F416</f>
        <v>4125.4400000000005</v>
      </c>
      <c r="G14" s="3159" t="s">
        <v>5241</v>
      </c>
      <c r="H14" s="3338">
        <f>D373+D374+D375+D377+D378+D379+D380+D381+D382+D389+D390+D391+D392+D393+D395+D396+D397+D398</f>
        <v>2320.56</v>
      </c>
      <c r="I14" s="3338">
        <f>F416-H14</f>
        <v>1804.8800000000006</v>
      </c>
      <c r="J14" s="3338">
        <f>E373+E374+E375+E377+E378+E379+E380+E381+E382+E389+E390+E391+E392+E393+E395+E396+E397+E398</f>
        <v>978.11999999999966</v>
      </c>
      <c r="K14" s="3338">
        <f>F415-J14</f>
        <v>760.76000000000045</v>
      </c>
      <c r="L14" s="3347">
        <f>G416</f>
        <v>340.80999999999995</v>
      </c>
      <c r="M14" s="3350">
        <f>G415</f>
        <v>143.66</v>
      </c>
      <c r="N14" s="3347">
        <f t="shared" si="0"/>
        <v>1804.8800000000006</v>
      </c>
      <c r="O14" s="3350">
        <f t="shared" si="1"/>
        <v>760.76000000000045</v>
      </c>
    </row>
    <row r="15" spans="1:15" s="3159" customFormat="1" ht="12" customHeight="1">
      <c r="A15" s="3441"/>
      <c r="B15" s="3435"/>
      <c r="C15" s="3336" t="s">
        <v>5226</v>
      </c>
      <c r="D15" s="3339">
        <v>110.17</v>
      </c>
      <c r="E15" s="3340">
        <v>46.44</v>
      </c>
      <c r="F15" s="3338">
        <f>F463</f>
        <v>3108.3600000000006</v>
      </c>
      <c r="G15" s="3159" t="s">
        <v>5240</v>
      </c>
      <c r="H15" s="3338">
        <f>D421+D422+D423+D425+D426+D433+D434+D435+D436+D437+D438</f>
        <v>1424.84</v>
      </c>
      <c r="I15" s="3338">
        <f>F463-H15</f>
        <v>1683.5200000000007</v>
      </c>
      <c r="J15" s="3338">
        <f>E421+E422+E423+E425+E426+E433+E434+E435+E436+E437+E438</f>
        <v>600.62</v>
      </c>
      <c r="K15" s="3338">
        <f>F462-J15</f>
        <v>709.66</v>
      </c>
      <c r="L15" s="3347">
        <f>G463</f>
        <v>419.5200000000001</v>
      </c>
      <c r="M15" s="3350">
        <f>G462</f>
        <v>176.83999999999997</v>
      </c>
      <c r="N15" s="3347">
        <f t="shared" si="0"/>
        <v>1683.5200000000007</v>
      </c>
      <c r="O15" s="3350">
        <f t="shared" si="1"/>
        <v>709.66</v>
      </c>
    </row>
    <row r="16" spans="1:15" s="3159" customFormat="1" ht="12" customHeight="1">
      <c r="A16" s="3441"/>
      <c r="B16" s="3435"/>
      <c r="C16" s="3336" t="s">
        <v>5225</v>
      </c>
      <c r="D16" s="3339">
        <v>109.72</v>
      </c>
      <c r="E16" s="3340">
        <v>46.25</v>
      </c>
      <c r="H16" s="3338">
        <f t="shared" ref="H16:M16" si="2">SUM(H3:H15)</f>
        <v>16336.379999999997</v>
      </c>
      <c r="I16" s="3338">
        <f t="shared" si="2"/>
        <v>25142.180000000008</v>
      </c>
      <c r="J16" s="3338">
        <f t="shared" si="2"/>
        <v>6886.14</v>
      </c>
      <c r="K16" s="3338">
        <f t="shared" si="2"/>
        <v>10597.960000000001</v>
      </c>
      <c r="L16" s="3347">
        <f t="shared" si="2"/>
        <v>2354.3700000000003</v>
      </c>
      <c r="M16" s="3361">
        <f t="shared" si="2"/>
        <v>992.42999999999984</v>
      </c>
      <c r="N16" s="3347">
        <f t="shared" ref="N16:O16" si="3">SUM(N3:N15)</f>
        <v>24150.360000000011</v>
      </c>
      <c r="O16" s="3361">
        <f t="shared" si="3"/>
        <v>10179.900000000001</v>
      </c>
    </row>
    <row r="17" spans="1:15" s="3159" customFormat="1" ht="12" customHeight="1">
      <c r="A17" s="3441"/>
      <c r="B17" s="3435"/>
      <c r="C17" s="3336" t="s">
        <v>5224</v>
      </c>
      <c r="D17" s="3335">
        <v>110.17</v>
      </c>
      <c r="E17" s="3334">
        <v>46.44</v>
      </c>
      <c r="F17" s="3359" t="s">
        <v>5274</v>
      </c>
      <c r="G17" s="3359" t="s">
        <v>5273</v>
      </c>
      <c r="H17" s="3360">
        <f>F466</f>
        <v>310.18</v>
      </c>
      <c r="I17" s="3338"/>
      <c r="L17" s="3345"/>
      <c r="M17" s="3345"/>
      <c r="N17" s="3345"/>
      <c r="O17" s="3345"/>
    </row>
    <row r="18" spans="1:15" s="3159" customFormat="1" ht="12" customHeight="1">
      <c r="A18" s="3441"/>
      <c r="B18" s="3435"/>
      <c r="C18" s="3336" t="s">
        <v>5223</v>
      </c>
      <c r="D18" s="3335">
        <v>109.72</v>
      </c>
      <c r="E18" s="3334">
        <v>46.25</v>
      </c>
      <c r="L18" s="3345"/>
      <c r="M18" s="3345"/>
      <c r="N18" s="3345"/>
      <c r="O18" s="3345"/>
    </row>
    <row r="19" spans="1:15" s="3159" customFormat="1" ht="12" customHeight="1">
      <c r="A19" s="3441"/>
      <c r="B19" s="3435" t="s">
        <v>5221</v>
      </c>
      <c r="C19" s="3336" t="s">
        <v>5089</v>
      </c>
      <c r="D19" s="3335">
        <v>90.75</v>
      </c>
      <c r="E19" s="3334">
        <v>38.25</v>
      </c>
      <c r="F19" s="3341" t="s">
        <v>5295</v>
      </c>
      <c r="G19" s="3337" t="s">
        <v>5256</v>
      </c>
      <c r="H19" s="3363">
        <v>110.18</v>
      </c>
      <c r="I19" s="3364">
        <f>E140</f>
        <v>46.44</v>
      </c>
      <c r="K19" s="3338"/>
      <c r="L19" s="3353" t="s">
        <v>5271</v>
      </c>
      <c r="M19" s="3352" t="s">
        <v>5272</v>
      </c>
      <c r="N19" s="3345"/>
      <c r="O19" s="3345"/>
    </row>
    <row r="20" spans="1:15" s="3159" customFormat="1" ht="12" customHeight="1">
      <c r="A20" s="3441"/>
      <c r="B20" s="3435"/>
      <c r="C20" s="3336" t="s">
        <v>5088</v>
      </c>
      <c r="D20" s="3335">
        <v>109.72</v>
      </c>
      <c r="E20" s="3334">
        <v>46.25</v>
      </c>
      <c r="G20" s="3337" t="s">
        <v>5257</v>
      </c>
      <c r="H20" s="3363">
        <v>110.63</v>
      </c>
      <c r="I20" s="3364">
        <f>E141</f>
        <v>46.63</v>
      </c>
      <c r="K20" s="3338"/>
      <c r="L20" s="3347">
        <f>SUM(D467:D782)</f>
        <v>10326.120000000028</v>
      </c>
      <c r="M20" s="3361">
        <f>SUM(E467:E782)</f>
        <v>4352.5600000000022</v>
      </c>
      <c r="N20" s="3345"/>
      <c r="O20" s="3345"/>
    </row>
    <row r="21" spans="1:15" s="3159" customFormat="1" ht="12" customHeight="1">
      <c r="A21" s="3441"/>
      <c r="B21" s="3435"/>
      <c r="C21" s="3336" t="s">
        <v>4988</v>
      </c>
      <c r="D21" s="3335">
        <v>109.72</v>
      </c>
      <c r="E21" s="3334">
        <v>46.25</v>
      </c>
      <c r="G21" s="3337" t="s">
        <v>5258</v>
      </c>
      <c r="H21" s="3363">
        <v>110.63</v>
      </c>
      <c r="I21" s="3364">
        <f>E157</f>
        <v>46.63</v>
      </c>
      <c r="K21" s="3159" t="s">
        <v>5288</v>
      </c>
      <c r="L21" s="3345">
        <v>315</v>
      </c>
      <c r="M21" s="3345"/>
      <c r="N21" s="3345"/>
      <c r="O21" s="3345"/>
    </row>
    <row r="22" spans="1:15" s="3159" customFormat="1" ht="12" customHeight="1">
      <c r="A22" s="3441"/>
      <c r="B22" s="3435"/>
      <c r="C22" s="3336" t="s">
        <v>4987</v>
      </c>
      <c r="D22" s="3335">
        <v>109.72</v>
      </c>
      <c r="E22" s="3334">
        <v>46.25</v>
      </c>
      <c r="G22" s="3337" t="s">
        <v>5259</v>
      </c>
      <c r="H22" s="3363">
        <v>110.18</v>
      </c>
      <c r="I22" s="3364">
        <f>E158</f>
        <v>46.44</v>
      </c>
      <c r="K22" s="3159" t="s">
        <v>5289</v>
      </c>
      <c r="L22" s="3345">
        <f>ROUND(L20/L21,0)</f>
        <v>33</v>
      </c>
      <c r="M22" s="3345"/>
      <c r="N22" s="3345"/>
      <c r="O22" s="3345"/>
    </row>
    <row r="23" spans="1:15" s="3159" customFormat="1" ht="12" customHeight="1">
      <c r="A23" s="3441"/>
      <c r="B23" s="3435"/>
      <c r="C23" s="3336" t="s">
        <v>4887</v>
      </c>
      <c r="D23" s="3339">
        <v>109.72</v>
      </c>
      <c r="E23" s="3340">
        <v>46.25</v>
      </c>
      <c r="G23" s="3337" t="s">
        <v>5260</v>
      </c>
      <c r="H23" s="3363">
        <v>110.18</v>
      </c>
      <c r="I23" s="3364">
        <f>E173</f>
        <v>46.44</v>
      </c>
      <c r="L23" s="3345"/>
      <c r="M23" s="3345"/>
      <c r="N23" s="3345"/>
      <c r="O23" s="3345"/>
    </row>
    <row r="24" spans="1:15" s="3159" customFormat="1" ht="12" customHeight="1">
      <c r="A24" s="3441"/>
      <c r="B24" s="3435"/>
      <c r="C24" s="3336" t="s">
        <v>4886</v>
      </c>
      <c r="D24" s="3339">
        <v>109.72</v>
      </c>
      <c r="E24" s="3340">
        <v>46.25</v>
      </c>
      <c r="G24" s="3337" t="s">
        <v>5261</v>
      </c>
      <c r="H24" s="3363">
        <v>109.95</v>
      </c>
      <c r="I24" s="3364">
        <f>E245</f>
        <v>46.35</v>
      </c>
      <c r="L24" s="3345"/>
      <c r="M24" s="3345"/>
      <c r="N24" s="3345"/>
      <c r="O24" s="3345"/>
    </row>
    <row r="25" spans="1:15" s="3159" customFormat="1" ht="12" customHeight="1">
      <c r="A25" s="3441"/>
      <c r="B25" s="3435"/>
      <c r="C25" s="3336" t="s">
        <v>5220</v>
      </c>
      <c r="D25" s="3339">
        <v>109.72</v>
      </c>
      <c r="E25" s="3340">
        <v>46.25</v>
      </c>
      <c r="G25" s="3337" t="s">
        <v>5262</v>
      </c>
      <c r="H25" s="3363">
        <v>110.17</v>
      </c>
      <c r="I25" s="3364">
        <f>E260</f>
        <v>46.44</v>
      </c>
      <c r="L25" s="3345"/>
      <c r="M25" s="3345"/>
      <c r="N25" s="3345"/>
      <c r="O25" s="3345"/>
    </row>
    <row r="26" spans="1:15" s="3159" customFormat="1" ht="12" customHeight="1">
      <c r="A26" s="3441"/>
      <c r="B26" s="3435"/>
      <c r="C26" s="3336" t="s">
        <v>5219</v>
      </c>
      <c r="D26" s="3339">
        <v>109.72</v>
      </c>
      <c r="E26" s="3340">
        <v>46.25</v>
      </c>
      <c r="G26" s="3337" t="s">
        <v>5263</v>
      </c>
      <c r="H26" s="3363">
        <v>110.06</v>
      </c>
      <c r="I26" s="3364">
        <f>E281</f>
        <v>46.39</v>
      </c>
      <c r="L26" s="3345"/>
      <c r="M26" s="3345"/>
      <c r="N26" s="3345"/>
      <c r="O26" s="3345"/>
    </row>
    <row r="27" spans="1:15" s="3159" customFormat="1" ht="12" customHeight="1">
      <c r="A27" s="3441"/>
      <c r="B27" s="3435"/>
      <c r="C27" s="3336" t="s">
        <v>5218</v>
      </c>
      <c r="D27" s="3339">
        <v>109.72</v>
      </c>
      <c r="E27" s="3340">
        <v>46.25</v>
      </c>
      <c r="G27" s="3337" t="s">
        <v>5264</v>
      </c>
      <c r="H27" s="3363">
        <v>109.84</v>
      </c>
      <c r="I27" s="3364">
        <f>E296</f>
        <v>46.3</v>
      </c>
      <c r="L27" s="3345"/>
      <c r="M27" s="3345"/>
      <c r="N27" s="3345"/>
      <c r="O27" s="3345"/>
    </row>
    <row r="28" spans="1:15" s="3159" customFormat="1" ht="12" customHeight="1">
      <c r="A28" s="3441"/>
      <c r="B28" s="3435"/>
      <c r="C28" s="3336" t="s">
        <v>5217</v>
      </c>
      <c r="D28" s="3339">
        <v>109.72</v>
      </c>
      <c r="E28" s="3340">
        <v>46.25</v>
      </c>
      <c r="G28" s="3337"/>
      <c r="H28" s="3363">
        <f>SUM(H19:H27)</f>
        <v>991.82</v>
      </c>
      <c r="I28" s="3362">
        <f>SUM(I19:I27)</f>
        <v>418.06</v>
      </c>
      <c r="L28" s="3345"/>
      <c r="M28" s="3345"/>
      <c r="N28" s="3345"/>
      <c r="O28" s="3345"/>
    </row>
    <row r="29" spans="1:15" s="3159" customFormat="1" ht="12" customHeight="1">
      <c r="A29" s="3441"/>
      <c r="B29" s="3435"/>
      <c r="C29" s="3336" t="s">
        <v>5216</v>
      </c>
      <c r="D29" s="3339">
        <v>109.72</v>
      </c>
      <c r="E29" s="3340">
        <v>46.25</v>
      </c>
      <c r="L29" s="3345"/>
      <c r="M29" s="3345"/>
      <c r="N29" s="3345"/>
      <c r="O29" s="3345"/>
    </row>
    <row r="30" spans="1:15" s="3159" customFormat="1" ht="12" customHeight="1">
      <c r="A30" s="3441"/>
      <c r="B30" s="3435"/>
      <c r="C30" s="3336" t="s">
        <v>5215</v>
      </c>
      <c r="D30" s="3339">
        <v>109.72</v>
      </c>
      <c r="E30" s="3340">
        <v>46.25</v>
      </c>
      <c r="L30" s="3345"/>
      <c r="M30" s="3345"/>
      <c r="N30" s="3345"/>
      <c r="O30" s="3345"/>
    </row>
    <row r="31" spans="1:15" s="3159" customFormat="1" ht="12" customHeight="1">
      <c r="A31" s="3441"/>
      <c r="B31" s="3435"/>
      <c r="C31" s="3336" t="s">
        <v>5226</v>
      </c>
      <c r="D31" s="3339">
        <v>109.72</v>
      </c>
      <c r="E31" s="3340">
        <v>46.25</v>
      </c>
      <c r="L31" s="3345"/>
      <c r="M31" s="3345"/>
      <c r="N31" s="3345"/>
      <c r="O31" s="3345"/>
    </row>
    <row r="32" spans="1:15" s="3159" customFormat="1" ht="12" customHeight="1">
      <c r="A32" s="3441"/>
      <c r="B32" s="3435"/>
      <c r="C32" s="3336" t="s">
        <v>5225</v>
      </c>
      <c r="D32" s="3339">
        <v>109.72</v>
      </c>
      <c r="E32" s="3340">
        <v>46.25</v>
      </c>
      <c r="L32" s="3345"/>
      <c r="M32" s="3345"/>
      <c r="N32" s="3345"/>
      <c r="O32" s="3345"/>
    </row>
    <row r="33" spans="1:15" s="3159" customFormat="1" ht="12" customHeight="1">
      <c r="A33" s="3441"/>
      <c r="B33" s="3435"/>
      <c r="C33" s="3336" t="s">
        <v>5224</v>
      </c>
      <c r="D33" s="3335">
        <v>109.72</v>
      </c>
      <c r="E33" s="3334">
        <v>46.25</v>
      </c>
      <c r="L33" s="3345"/>
      <c r="M33" s="3345"/>
      <c r="N33" s="3345"/>
      <c r="O33" s="3345"/>
    </row>
    <row r="34" spans="1:15" s="3159" customFormat="1" ht="12" customHeight="1">
      <c r="A34" s="3441"/>
      <c r="B34" s="3435"/>
      <c r="C34" s="3336" t="s">
        <v>5223</v>
      </c>
      <c r="D34" s="3335">
        <v>109.72</v>
      </c>
      <c r="E34" s="3334">
        <v>46.25</v>
      </c>
      <c r="L34" s="3345"/>
      <c r="M34" s="3345"/>
      <c r="N34" s="3345"/>
      <c r="O34" s="3345"/>
    </row>
    <row r="35" spans="1:15" s="3159" customFormat="1" ht="12" customHeight="1">
      <c r="A35" s="3441"/>
      <c r="B35" s="3435" t="s">
        <v>5239</v>
      </c>
      <c r="C35" s="3336" t="s">
        <v>5089</v>
      </c>
      <c r="D35" s="3335">
        <v>90.75</v>
      </c>
      <c r="E35" s="3334">
        <v>38.25</v>
      </c>
      <c r="L35" s="3345"/>
      <c r="M35" s="3345"/>
      <c r="N35" s="3345"/>
      <c r="O35" s="3345"/>
    </row>
    <row r="36" spans="1:15" s="3159" customFormat="1" ht="12" customHeight="1">
      <c r="A36" s="3441"/>
      <c r="B36" s="3435"/>
      <c r="C36" s="3336" t="s">
        <v>5088</v>
      </c>
      <c r="D36" s="3335">
        <v>109.72</v>
      </c>
      <c r="E36" s="3334">
        <v>46.25</v>
      </c>
      <c r="L36" s="3345"/>
      <c r="M36" s="3345"/>
      <c r="N36" s="3345"/>
      <c r="O36" s="3345"/>
    </row>
    <row r="37" spans="1:15" s="3159" customFormat="1" ht="12" customHeight="1">
      <c r="A37" s="3441"/>
      <c r="B37" s="3435"/>
      <c r="C37" s="3336" t="s">
        <v>4988</v>
      </c>
      <c r="D37" s="3335">
        <v>109.72</v>
      </c>
      <c r="E37" s="3334">
        <v>46.25</v>
      </c>
      <c r="L37" s="3345"/>
      <c r="M37" s="3345"/>
      <c r="N37" s="3345"/>
      <c r="O37" s="3345"/>
    </row>
    <row r="38" spans="1:15" s="3159" customFormat="1" ht="12" customHeight="1">
      <c r="A38" s="3441"/>
      <c r="B38" s="3435"/>
      <c r="C38" s="3336" t="s">
        <v>4987</v>
      </c>
      <c r="D38" s="3335">
        <v>109.72</v>
      </c>
      <c r="E38" s="3334">
        <v>46.25</v>
      </c>
      <c r="L38" s="3345"/>
      <c r="M38" s="3345"/>
      <c r="N38" s="3345"/>
      <c r="O38" s="3345"/>
    </row>
    <row r="39" spans="1:15" s="3159" customFormat="1" ht="12" customHeight="1">
      <c r="A39" s="3441"/>
      <c r="B39" s="3435"/>
      <c r="C39" s="3336" t="s">
        <v>4887</v>
      </c>
      <c r="D39" s="3339">
        <v>109.72</v>
      </c>
      <c r="E39" s="3340">
        <v>46.25</v>
      </c>
      <c r="L39" s="3345"/>
      <c r="M39" s="3345"/>
      <c r="N39" s="3345"/>
      <c r="O39" s="3345"/>
    </row>
    <row r="40" spans="1:15" s="3159" customFormat="1" ht="12" customHeight="1">
      <c r="A40" s="3441"/>
      <c r="B40" s="3435"/>
      <c r="C40" s="3336" t="s">
        <v>4886</v>
      </c>
      <c r="D40" s="3339">
        <v>109.72</v>
      </c>
      <c r="E40" s="3340">
        <v>46.25</v>
      </c>
      <c r="L40" s="3345"/>
      <c r="M40" s="3345"/>
      <c r="N40" s="3345"/>
      <c r="O40" s="3345"/>
    </row>
    <row r="41" spans="1:15" s="3159" customFormat="1" ht="12" customHeight="1">
      <c r="A41" s="3441"/>
      <c r="B41" s="3435"/>
      <c r="C41" s="3336" t="s">
        <v>5220</v>
      </c>
      <c r="D41" s="3339">
        <v>109.72</v>
      </c>
      <c r="E41" s="3340">
        <v>46.25</v>
      </c>
      <c r="L41" s="3345"/>
      <c r="M41" s="3345"/>
      <c r="N41" s="3345"/>
      <c r="O41" s="3345"/>
    </row>
    <row r="42" spans="1:15" s="3159" customFormat="1" ht="12" customHeight="1">
      <c r="A42" s="3441"/>
      <c r="B42" s="3435"/>
      <c r="C42" s="3336" t="s">
        <v>5219</v>
      </c>
      <c r="D42" s="3339">
        <v>109.72</v>
      </c>
      <c r="E42" s="3340">
        <v>46.25</v>
      </c>
      <c r="L42" s="3345"/>
      <c r="M42" s="3345"/>
      <c r="N42" s="3345"/>
      <c r="O42" s="3345"/>
    </row>
    <row r="43" spans="1:15" s="3159" customFormat="1" ht="12" customHeight="1">
      <c r="A43" s="3441"/>
      <c r="B43" s="3435"/>
      <c r="C43" s="3336" t="s">
        <v>5218</v>
      </c>
      <c r="D43" s="3339">
        <v>109.72</v>
      </c>
      <c r="E43" s="3340">
        <v>46.25</v>
      </c>
      <c r="L43" s="3345"/>
      <c r="M43" s="3345"/>
      <c r="N43" s="3345"/>
      <c r="O43" s="3345"/>
    </row>
    <row r="44" spans="1:15" s="3159" customFormat="1" ht="12" customHeight="1">
      <c r="A44" s="3441"/>
      <c r="B44" s="3435"/>
      <c r="C44" s="3336" t="s">
        <v>5217</v>
      </c>
      <c r="D44" s="3339">
        <v>109.72</v>
      </c>
      <c r="E44" s="3340">
        <v>46.25</v>
      </c>
      <c r="L44" s="3345"/>
      <c r="M44" s="3345"/>
      <c r="N44" s="3345"/>
      <c r="O44" s="3345"/>
    </row>
    <row r="45" spans="1:15" s="3159" customFormat="1" ht="12" customHeight="1">
      <c r="A45" s="3441"/>
      <c r="B45" s="3435"/>
      <c r="C45" s="3336" t="s">
        <v>5216</v>
      </c>
      <c r="D45" s="3339">
        <v>109.72</v>
      </c>
      <c r="E45" s="3340">
        <v>46.25</v>
      </c>
      <c r="L45" s="3345"/>
      <c r="M45" s="3345"/>
      <c r="N45" s="3345"/>
      <c r="O45" s="3345"/>
    </row>
    <row r="46" spans="1:15" s="3159" customFormat="1" ht="12" customHeight="1">
      <c r="A46" s="3441"/>
      <c r="B46" s="3435"/>
      <c r="C46" s="3336" t="s">
        <v>5215</v>
      </c>
      <c r="D46" s="3339">
        <v>109.72</v>
      </c>
      <c r="E46" s="3340">
        <v>46.25</v>
      </c>
      <c r="L46" s="3345"/>
      <c r="M46" s="3345"/>
      <c r="N46" s="3345"/>
      <c r="O46" s="3345"/>
    </row>
    <row r="47" spans="1:15" s="3159" customFormat="1" ht="12" customHeight="1">
      <c r="A47" s="3441"/>
      <c r="B47" s="3435"/>
      <c r="C47" s="3336" t="s">
        <v>5226</v>
      </c>
      <c r="D47" s="3339">
        <v>109.72</v>
      </c>
      <c r="E47" s="3340">
        <v>46.25</v>
      </c>
      <c r="L47" s="3345"/>
      <c r="M47" s="3345"/>
      <c r="N47" s="3345"/>
      <c r="O47" s="3345"/>
    </row>
    <row r="48" spans="1:15" s="3159" customFormat="1" ht="12" customHeight="1">
      <c r="A48" s="3441"/>
      <c r="B48" s="3435"/>
      <c r="C48" s="3336" t="s">
        <v>5225</v>
      </c>
      <c r="D48" s="3339">
        <v>109.72</v>
      </c>
      <c r="E48" s="3340">
        <v>46.25</v>
      </c>
      <c r="L48" s="3345"/>
      <c r="M48" s="3345"/>
      <c r="N48" s="3345"/>
      <c r="O48" s="3345"/>
    </row>
    <row r="49" spans="1:15" s="3159" customFormat="1" ht="12" customHeight="1">
      <c r="A49" s="3441"/>
      <c r="B49" s="3435"/>
      <c r="C49" s="3336" t="s">
        <v>5224</v>
      </c>
      <c r="D49" s="3335">
        <v>109.72</v>
      </c>
      <c r="E49" s="3334">
        <v>46.25</v>
      </c>
      <c r="L49" s="3345"/>
      <c r="M49" s="3345"/>
      <c r="N49" s="3345"/>
      <c r="O49" s="3345"/>
    </row>
    <row r="50" spans="1:15" s="3159" customFormat="1" ht="12" customHeight="1">
      <c r="A50" s="3441"/>
      <c r="B50" s="3435"/>
      <c r="C50" s="3336" t="s">
        <v>5223</v>
      </c>
      <c r="D50" s="3335">
        <v>109.72</v>
      </c>
      <c r="E50" s="3334">
        <v>46.25</v>
      </c>
      <c r="L50" s="3345"/>
      <c r="M50" s="3345"/>
      <c r="N50" s="3345"/>
      <c r="O50" s="3345"/>
    </row>
    <row r="51" spans="1:15" s="3159" customFormat="1" ht="12" customHeight="1">
      <c r="A51" s="3441"/>
      <c r="B51" s="3440" t="s">
        <v>5238</v>
      </c>
      <c r="C51" s="3336" t="s">
        <v>5089</v>
      </c>
      <c r="D51" s="3335">
        <v>90.75</v>
      </c>
      <c r="E51" s="3334">
        <v>38.25</v>
      </c>
      <c r="L51" s="3345"/>
      <c r="M51" s="3345"/>
      <c r="N51" s="3345"/>
      <c r="O51" s="3345"/>
    </row>
    <row r="52" spans="1:15" s="3159" customFormat="1" ht="12" customHeight="1">
      <c r="A52" s="3441"/>
      <c r="B52" s="3441"/>
      <c r="C52" s="3336" t="s">
        <v>5088</v>
      </c>
      <c r="D52" s="3335">
        <v>110.17</v>
      </c>
      <c r="E52" s="3334">
        <v>46.44</v>
      </c>
      <c r="L52" s="3345"/>
      <c r="M52" s="3345"/>
      <c r="N52" s="3345"/>
      <c r="O52" s="3345"/>
    </row>
    <row r="53" spans="1:15" s="3159" customFormat="1" ht="12" customHeight="1">
      <c r="A53" s="3441"/>
      <c r="B53" s="3441"/>
      <c r="C53" s="3336" t="s">
        <v>4988</v>
      </c>
      <c r="D53" s="3335">
        <v>109.72</v>
      </c>
      <c r="E53" s="3334">
        <v>46.25</v>
      </c>
      <c r="L53" s="3345"/>
      <c r="M53" s="3345"/>
      <c r="N53" s="3345"/>
      <c r="O53" s="3345"/>
    </row>
    <row r="54" spans="1:15" s="3159" customFormat="1" ht="12" customHeight="1">
      <c r="A54" s="3441"/>
      <c r="B54" s="3441"/>
      <c r="C54" s="3336" t="s">
        <v>4987</v>
      </c>
      <c r="D54" s="3335">
        <v>110.17</v>
      </c>
      <c r="E54" s="3334">
        <v>46.44</v>
      </c>
      <c r="L54" s="3345"/>
      <c r="M54" s="3345"/>
      <c r="N54" s="3345"/>
      <c r="O54" s="3345"/>
    </row>
    <row r="55" spans="1:15" s="3159" customFormat="1" ht="12" customHeight="1">
      <c r="A55" s="3441"/>
      <c r="B55" s="3441"/>
      <c r="C55" s="3336" t="s">
        <v>4887</v>
      </c>
      <c r="D55" s="3335">
        <v>109.72</v>
      </c>
      <c r="E55" s="3334">
        <v>46.25</v>
      </c>
      <c r="L55" s="3345"/>
      <c r="M55" s="3345"/>
      <c r="N55" s="3345"/>
      <c r="O55" s="3345"/>
    </row>
    <row r="56" spans="1:15" s="3159" customFormat="1" ht="12" customHeight="1">
      <c r="A56" s="3441"/>
      <c r="B56" s="3441"/>
      <c r="C56" s="3336" t="s">
        <v>4886</v>
      </c>
      <c r="D56" s="3335">
        <v>110.17</v>
      </c>
      <c r="E56" s="3334">
        <v>46.44</v>
      </c>
      <c r="L56" s="3345"/>
      <c r="M56" s="3345"/>
      <c r="N56" s="3345"/>
      <c r="O56" s="3345"/>
    </row>
    <row r="57" spans="1:15" s="3159" customFormat="1" ht="12" customHeight="1">
      <c r="A57" s="3441"/>
      <c r="B57" s="3441"/>
      <c r="C57" s="3336" t="s">
        <v>5220</v>
      </c>
      <c r="D57" s="3335">
        <v>109.72</v>
      </c>
      <c r="E57" s="3334">
        <v>46.25</v>
      </c>
      <c r="L57" s="3345"/>
      <c r="M57" s="3345"/>
      <c r="N57" s="3345"/>
      <c r="O57" s="3345"/>
    </row>
    <row r="58" spans="1:15" s="3159" customFormat="1" ht="12" customHeight="1">
      <c r="A58" s="3441"/>
      <c r="B58" s="3441"/>
      <c r="C58" s="3336" t="s">
        <v>5219</v>
      </c>
      <c r="D58" s="3335">
        <v>110.17</v>
      </c>
      <c r="E58" s="3334">
        <v>46.44</v>
      </c>
      <c r="L58" s="3345"/>
      <c r="M58" s="3345"/>
      <c r="N58" s="3345"/>
      <c r="O58" s="3345"/>
    </row>
    <row r="59" spans="1:15" s="3159" customFormat="1" ht="12" customHeight="1">
      <c r="A59" s="3441"/>
      <c r="B59" s="3441"/>
      <c r="C59" s="3336" t="s">
        <v>5218</v>
      </c>
      <c r="D59" s="3339">
        <v>109.72</v>
      </c>
      <c r="E59" s="3340">
        <v>46.25</v>
      </c>
      <c r="L59" s="3345"/>
      <c r="M59" s="3345"/>
      <c r="N59" s="3345"/>
      <c r="O59" s="3345"/>
    </row>
    <row r="60" spans="1:15" s="3159" customFormat="1" ht="12" customHeight="1">
      <c r="A60" s="3441"/>
      <c r="B60" s="3441"/>
      <c r="C60" s="3336" t="s">
        <v>5217</v>
      </c>
      <c r="D60" s="3335">
        <v>110.17</v>
      </c>
      <c r="E60" s="3334">
        <v>46.44</v>
      </c>
      <c r="L60" s="3345"/>
      <c r="M60" s="3345"/>
      <c r="N60" s="3345"/>
      <c r="O60" s="3345"/>
    </row>
    <row r="61" spans="1:15" s="3159" customFormat="1" ht="12" customHeight="1">
      <c r="A61" s="3441"/>
      <c r="B61" s="3441"/>
      <c r="C61" s="3336" t="s">
        <v>5216</v>
      </c>
      <c r="D61" s="3339">
        <v>109.72</v>
      </c>
      <c r="E61" s="3340">
        <v>46.25</v>
      </c>
      <c r="L61" s="3345"/>
      <c r="M61" s="3345"/>
      <c r="N61" s="3345"/>
      <c r="O61" s="3345"/>
    </row>
    <row r="62" spans="1:15" s="3159" customFormat="1" ht="12" customHeight="1">
      <c r="A62" s="3441"/>
      <c r="B62" s="3441"/>
      <c r="C62" s="3336" t="s">
        <v>5215</v>
      </c>
      <c r="D62" s="3335">
        <v>110.17</v>
      </c>
      <c r="E62" s="3334">
        <v>46.44</v>
      </c>
      <c r="L62" s="3345"/>
      <c r="M62" s="3345"/>
      <c r="N62" s="3345"/>
      <c r="O62" s="3345"/>
    </row>
    <row r="63" spans="1:15" s="3159" customFormat="1" ht="12" customHeight="1">
      <c r="A63" s="3441"/>
      <c r="B63" s="3441"/>
      <c r="C63" s="3336" t="s">
        <v>5226</v>
      </c>
      <c r="D63" s="3339">
        <v>109.72</v>
      </c>
      <c r="E63" s="3340">
        <v>46.25</v>
      </c>
      <c r="L63" s="3345"/>
      <c r="M63" s="3345"/>
      <c r="N63" s="3345"/>
      <c r="O63" s="3345"/>
    </row>
    <row r="64" spans="1:15" s="3159" customFormat="1" ht="12" customHeight="1">
      <c r="A64" s="3441"/>
      <c r="B64" s="3441"/>
      <c r="C64" s="3336" t="s">
        <v>5225</v>
      </c>
      <c r="D64" s="3335">
        <v>110.17</v>
      </c>
      <c r="E64" s="3334">
        <v>46.44</v>
      </c>
      <c r="L64" s="3345"/>
      <c r="M64" s="3345"/>
      <c r="N64" s="3345"/>
      <c r="O64" s="3345"/>
    </row>
    <row r="65" spans="1:15" s="3159" customFormat="1" ht="12" customHeight="1">
      <c r="A65" s="3441"/>
      <c r="B65" s="3441"/>
      <c r="C65" s="3336" t="s">
        <v>5224</v>
      </c>
      <c r="D65" s="3335">
        <v>109.72</v>
      </c>
      <c r="E65" s="3334">
        <v>46.25</v>
      </c>
      <c r="F65" s="3338">
        <f>SUM(E3:E66)</f>
        <v>2931.0400000000004</v>
      </c>
      <c r="G65" s="3338">
        <f>E67+E68+E69</f>
        <v>13.829999999999998</v>
      </c>
      <c r="L65" s="3345"/>
      <c r="M65" s="3345"/>
      <c r="N65" s="3345"/>
      <c r="O65" s="3345"/>
    </row>
    <row r="66" spans="1:15" s="3159" customFormat="1" ht="12" customHeight="1">
      <c r="A66" s="3441"/>
      <c r="B66" s="3442"/>
      <c r="C66" s="3336" t="s">
        <v>5223</v>
      </c>
      <c r="D66" s="3335">
        <v>110.17</v>
      </c>
      <c r="E66" s="3334">
        <v>46.44</v>
      </c>
      <c r="F66" s="3338">
        <f>SUM(D3:D66)</f>
        <v>6953.4000000000015</v>
      </c>
      <c r="G66" s="3338">
        <f>SUM(D67:D69)</f>
        <v>32.83</v>
      </c>
      <c r="L66" s="3345"/>
      <c r="M66" s="3345"/>
      <c r="N66" s="3345"/>
      <c r="O66" s="3345"/>
    </row>
    <row r="67" spans="1:15" s="3159" customFormat="1" ht="12" customHeight="1">
      <c r="A67" s="3441"/>
      <c r="B67" s="3435" t="s">
        <v>4925</v>
      </c>
      <c r="C67" s="3336" t="s">
        <v>5214</v>
      </c>
      <c r="D67" s="3335">
        <v>7.15</v>
      </c>
      <c r="E67" s="3334">
        <v>3.01</v>
      </c>
      <c r="L67" s="3345"/>
      <c r="M67" s="3345"/>
      <c r="N67" s="3345"/>
      <c r="O67" s="3345"/>
    </row>
    <row r="68" spans="1:15" s="3159" customFormat="1" ht="12" customHeight="1">
      <c r="A68" s="3441"/>
      <c r="B68" s="3435"/>
      <c r="C68" s="3336" t="s">
        <v>5087</v>
      </c>
      <c r="D68" s="3335">
        <v>15.12</v>
      </c>
      <c r="E68" s="3334">
        <v>6.37</v>
      </c>
      <c r="L68" s="3345"/>
      <c r="M68" s="3345"/>
      <c r="N68" s="3345"/>
      <c r="O68" s="3345"/>
    </row>
    <row r="69" spans="1:15" s="3159" customFormat="1" ht="12" customHeight="1">
      <c r="A69" s="3442"/>
      <c r="B69" s="3435"/>
      <c r="C69" s="3336" t="s">
        <v>5213</v>
      </c>
      <c r="D69" s="3335">
        <v>10.56</v>
      </c>
      <c r="E69" s="3334">
        <v>4.45</v>
      </c>
      <c r="L69" s="3345"/>
      <c r="M69" s="3345"/>
      <c r="N69" s="3345"/>
      <c r="O69" s="3345"/>
    </row>
    <row r="70" spans="1:15" s="3159" customFormat="1" ht="12" customHeight="1">
      <c r="A70" s="3435" t="s">
        <v>5237</v>
      </c>
      <c r="B70" s="3435" t="s">
        <v>4925</v>
      </c>
      <c r="C70" s="3336" t="s">
        <v>5214</v>
      </c>
      <c r="D70" s="3335">
        <v>14.41</v>
      </c>
      <c r="E70" s="3334">
        <v>6.07</v>
      </c>
      <c r="L70" s="3345"/>
      <c r="M70" s="3345"/>
      <c r="N70" s="3345"/>
      <c r="O70" s="3345"/>
    </row>
    <row r="71" spans="1:15" s="3159" customFormat="1" ht="12" customHeight="1">
      <c r="A71" s="3435"/>
      <c r="B71" s="3435"/>
      <c r="C71" s="3336" t="s">
        <v>5087</v>
      </c>
      <c r="D71" s="3335">
        <v>16.98</v>
      </c>
      <c r="E71" s="3334">
        <v>7.16</v>
      </c>
      <c r="L71" s="3345"/>
      <c r="M71" s="3345"/>
      <c r="N71" s="3345"/>
      <c r="O71" s="3345"/>
    </row>
    <row r="72" spans="1:15" s="3159" customFormat="1" ht="12" customHeight="1">
      <c r="A72" s="3435"/>
      <c r="B72" s="3435"/>
      <c r="C72" s="3336" t="s">
        <v>5213</v>
      </c>
      <c r="D72" s="3335">
        <v>27.92</v>
      </c>
      <c r="E72" s="3334">
        <v>11.77</v>
      </c>
      <c r="L72" s="3345"/>
      <c r="M72" s="3345"/>
      <c r="N72" s="3345"/>
      <c r="O72" s="3345"/>
    </row>
    <row r="73" spans="1:15" s="3159" customFormat="1" ht="12" customHeight="1">
      <c r="A73" s="3435"/>
      <c r="B73" s="3435"/>
      <c r="C73" s="3336" t="s">
        <v>5212</v>
      </c>
      <c r="D73" s="3335">
        <v>22.8</v>
      </c>
      <c r="E73" s="3334">
        <v>9.61</v>
      </c>
      <c r="L73" s="3345"/>
      <c r="M73" s="3345"/>
      <c r="N73" s="3345"/>
      <c r="O73" s="3345"/>
    </row>
    <row r="74" spans="1:15" s="3159" customFormat="1" ht="12" customHeight="1">
      <c r="A74" s="3435"/>
      <c r="B74" s="3435"/>
      <c r="C74" s="3336" t="s">
        <v>5211</v>
      </c>
      <c r="D74" s="3335">
        <v>35.380000000000003</v>
      </c>
      <c r="E74" s="3334">
        <v>14.91</v>
      </c>
      <c r="L74" s="3345"/>
      <c r="M74" s="3345"/>
      <c r="N74" s="3345"/>
      <c r="O74" s="3345"/>
    </row>
    <row r="75" spans="1:15" s="3159" customFormat="1" ht="12" customHeight="1">
      <c r="A75" s="3435"/>
      <c r="B75" s="3435"/>
      <c r="C75" s="3336" t="s">
        <v>5210</v>
      </c>
      <c r="D75" s="3335">
        <v>37.07</v>
      </c>
      <c r="E75" s="3334">
        <v>15.63</v>
      </c>
      <c r="L75" s="3345"/>
      <c r="M75" s="3345"/>
      <c r="N75" s="3345"/>
      <c r="O75" s="3345"/>
    </row>
    <row r="76" spans="1:15" s="3159" customFormat="1" ht="12" customHeight="1">
      <c r="A76" s="3435"/>
      <c r="B76" s="3435"/>
      <c r="C76" s="3336" t="s">
        <v>5209</v>
      </c>
      <c r="D76" s="3335">
        <v>29.15</v>
      </c>
      <c r="E76" s="3334">
        <v>12.29</v>
      </c>
      <c r="L76" s="3345"/>
      <c r="M76" s="3345"/>
      <c r="N76" s="3345"/>
      <c r="O76" s="3345"/>
    </row>
    <row r="77" spans="1:15" s="3159" customFormat="1" ht="12" customHeight="1">
      <c r="A77" s="3435"/>
      <c r="B77" s="3435"/>
      <c r="C77" s="3336" t="s">
        <v>5208</v>
      </c>
      <c r="D77" s="3335">
        <v>33.020000000000003</v>
      </c>
      <c r="E77" s="3334">
        <v>13.92</v>
      </c>
      <c r="L77" s="3345"/>
      <c r="M77" s="3345"/>
      <c r="N77" s="3345"/>
      <c r="O77" s="3345"/>
    </row>
    <row r="78" spans="1:15" s="3159" customFormat="1" ht="12" customHeight="1">
      <c r="A78" s="3435"/>
      <c r="B78" s="3435"/>
      <c r="C78" s="3336" t="s">
        <v>5207</v>
      </c>
      <c r="D78" s="3335">
        <v>24.98</v>
      </c>
      <c r="E78" s="3334">
        <v>10.53</v>
      </c>
      <c r="L78" s="3345"/>
      <c r="M78" s="3345"/>
      <c r="N78" s="3345"/>
      <c r="O78" s="3345"/>
    </row>
    <row r="79" spans="1:15" s="3159" customFormat="1" ht="12" customHeight="1">
      <c r="A79" s="3435"/>
      <c r="B79" s="3435"/>
      <c r="C79" s="3336" t="s">
        <v>5206</v>
      </c>
      <c r="D79" s="3335">
        <v>22.3</v>
      </c>
      <c r="E79" s="3334">
        <v>9.4</v>
      </c>
      <c r="L79" s="3345"/>
      <c r="M79" s="3345"/>
      <c r="N79" s="3345"/>
      <c r="O79" s="3345"/>
    </row>
    <row r="80" spans="1:15" s="3159" customFormat="1" ht="12" customHeight="1">
      <c r="A80" s="3435"/>
      <c r="B80" s="3435" t="s">
        <v>5236</v>
      </c>
      <c r="C80" s="3336" t="s">
        <v>5089</v>
      </c>
      <c r="D80" s="3335">
        <v>140.91999999999999</v>
      </c>
      <c r="E80" s="3334">
        <v>59.4</v>
      </c>
      <c r="L80" s="3345"/>
      <c r="M80" s="3345"/>
      <c r="N80" s="3345"/>
      <c r="O80" s="3345"/>
    </row>
    <row r="81" spans="1:15" s="3159" customFormat="1" ht="12" customHeight="1">
      <c r="A81" s="3435"/>
      <c r="B81" s="3435"/>
      <c r="C81" s="3336" t="s">
        <v>5088</v>
      </c>
      <c r="D81" s="3335">
        <v>139.9</v>
      </c>
      <c r="E81" s="3334">
        <v>58.97</v>
      </c>
      <c r="L81" s="3345"/>
      <c r="M81" s="3345"/>
      <c r="N81" s="3345"/>
      <c r="O81" s="3345"/>
    </row>
    <row r="82" spans="1:15" s="3159" customFormat="1" ht="12" customHeight="1">
      <c r="A82" s="3435"/>
      <c r="B82" s="3435" t="s">
        <v>5190</v>
      </c>
      <c r="C82" s="3336" t="s">
        <v>4988</v>
      </c>
      <c r="D82" s="3335">
        <v>140.91999999999999</v>
      </c>
      <c r="E82" s="3334">
        <v>59.4</v>
      </c>
      <c r="L82" s="3345"/>
      <c r="M82" s="3345"/>
      <c r="N82" s="3345"/>
      <c r="O82" s="3345"/>
    </row>
    <row r="83" spans="1:15" s="3159" customFormat="1" ht="12" customHeight="1">
      <c r="A83" s="3435"/>
      <c r="B83" s="3435"/>
      <c r="C83" s="3336" t="s">
        <v>4987</v>
      </c>
      <c r="D83" s="3335">
        <v>139.9</v>
      </c>
      <c r="E83" s="3334">
        <v>58.97</v>
      </c>
      <c r="L83" s="3345"/>
      <c r="M83" s="3345"/>
      <c r="N83" s="3345"/>
      <c r="O83" s="3345"/>
    </row>
    <row r="84" spans="1:15" s="3159" customFormat="1" ht="12" customHeight="1">
      <c r="A84" s="3435"/>
      <c r="B84" s="3435" t="s">
        <v>5232</v>
      </c>
      <c r="C84" s="3336" t="s">
        <v>4887</v>
      </c>
      <c r="D84" s="3335">
        <v>140.91999999999999</v>
      </c>
      <c r="E84" s="3334">
        <v>59.4</v>
      </c>
      <c r="L84" s="3345"/>
      <c r="M84" s="3345"/>
      <c r="N84" s="3345"/>
      <c r="O84" s="3345"/>
    </row>
    <row r="85" spans="1:15" s="3159" customFormat="1" ht="12" customHeight="1">
      <c r="A85" s="3435"/>
      <c r="B85" s="3435"/>
      <c r="C85" s="3336" t="s">
        <v>4886</v>
      </c>
      <c r="D85" s="3335">
        <v>139.9</v>
      </c>
      <c r="E85" s="3334">
        <v>58.97</v>
      </c>
      <c r="L85" s="3345"/>
      <c r="M85" s="3345"/>
      <c r="N85" s="3345"/>
      <c r="O85" s="3345"/>
    </row>
    <row r="86" spans="1:15" s="3159" customFormat="1" ht="12" customHeight="1">
      <c r="A86" s="3435"/>
      <c r="B86" s="3435" t="s">
        <v>5231</v>
      </c>
      <c r="C86" s="3336" t="s">
        <v>5220</v>
      </c>
      <c r="D86" s="3335">
        <v>140.91999999999999</v>
      </c>
      <c r="E86" s="3334">
        <v>59.4</v>
      </c>
      <c r="L86" s="3345"/>
      <c r="M86" s="3345"/>
      <c r="N86" s="3345"/>
      <c r="O86" s="3345"/>
    </row>
    <row r="87" spans="1:15" s="3159" customFormat="1" ht="12" customHeight="1">
      <c r="A87" s="3435"/>
      <c r="B87" s="3435"/>
      <c r="C87" s="3336" t="s">
        <v>5219</v>
      </c>
      <c r="D87" s="3335">
        <v>139.9</v>
      </c>
      <c r="E87" s="3334">
        <v>58.97</v>
      </c>
      <c r="L87" s="3345"/>
      <c r="M87" s="3345"/>
      <c r="N87" s="3345"/>
      <c r="O87" s="3345"/>
    </row>
    <row r="88" spans="1:15" s="3159" customFormat="1" ht="12" customHeight="1">
      <c r="A88" s="3435"/>
      <c r="B88" s="3435" t="s">
        <v>5230</v>
      </c>
      <c r="C88" s="3336" t="s">
        <v>5218</v>
      </c>
      <c r="D88" s="3339">
        <v>140.91999999999999</v>
      </c>
      <c r="E88" s="3334">
        <v>59.4</v>
      </c>
      <c r="L88" s="3345"/>
      <c r="M88" s="3345"/>
      <c r="N88" s="3345"/>
      <c r="O88" s="3345"/>
    </row>
    <row r="89" spans="1:15" s="3159" customFormat="1" ht="12" customHeight="1">
      <c r="A89" s="3435"/>
      <c r="B89" s="3435"/>
      <c r="C89" s="3336" t="s">
        <v>5217</v>
      </c>
      <c r="D89" s="3339">
        <v>139.9</v>
      </c>
      <c r="E89" s="3334">
        <v>58.97</v>
      </c>
      <c r="L89" s="3345"/>
      <c r="M89" s="3345"/>
      <c r="N89" s="3345"/>
      <c r="O89" s="3345"/>
    </row>
    <row r="90" spans="1:15" s="3159" customFormat="1" ht="12" customHeight="1">
      <c r="A90" s="3435"/>
      <c r="B90" s="3435" t="s">
        <v>5229</v>
      </c>
      <c r="C90" s="3336" t="s">
        <v>5216</v>
      </c>
      <c r="D90" s="3339">
        <v>140.91999999999999</v>
      </c>
      <c r="E90" s="3334">
        <v>59.4</v>
      </c>
      <c r="L90" s="3345"/>
      <c r="M90" s="3345"/>
      <c r="N90" s="3345"/>
      <c r="O90" s="3345"/>
    </row>
    <row r="91" spans="1:15" s="3159" customFormat="1" ht="12" customHeight="1">
      <c r="A91" s="3435"/>
      <c r="B91" s="3435"/>
      <c r="C91" s="3336" t="s">
        <v>5215</v>
      </c>
      <c r="D91" s="3339">
        <v>139.9</v>
      </c>
      <c r="E91" s="3334">
        <v>58.97</v>
      </c>
      <c r="L91" s="3345"/>
      <c r="M91" s="3345"/>
      <c r="N91" s="3345"/>
      <c r="O91" s="3345"/>
    </row>
    <row r="92" spans="1:15" s="3159" customFormat="1" ht="12" customHeight="1">
      <c r="A92" s="3435"/>
      <c r="B92" s="3435" t="s">
        <v>5228</v>
      </c>
      <c r="C92" s="3336" t="s">
        <v>5226</v>
      </c>
      <c r="D92" s="3339">
        <v>140.91999999999999</v>
      </c>
      <c r="E92" s="3334">
        <v>59.4</v>
      </c>
      <c r="L92" s="3345"/>
      <c r="M92" s="3345"/>
      <c r="N92" s="3345"/>
      <c r="O92" s="3345"/>
    </row>
    <row r="93" spans="1:15" s="3159" customFormat="1" ht="12" customHeight="1">
      <c r="A93" s="3435"/>
      <c r="B93" s="3435"/>
      <c r="C93" s="3336" t="s">
        <v>5225</v>
      </c>
      <c r="D93" s="3339">
        <v>139.9</v>
      </c>
      <c r="E93" s="3334">
        <v>58.97</v>
      </c>
      <c r="L93" s="3345"/>
      <c r="M93" s="3345"/>
      <c r="N93" s="3345"/>
      <c r="O93" s="3345"/>
    </row>
    <row r="94" spans="1:15" s="3159" customFormat="1" ht="12" customHeight="1">
      <c r="A94" s="3435"/>
      <c r="B94" s="3435" t="s">
        <v>5227</v>
      </c>
      <c r="C94" s="3336" t="s">
        <v>5224</v>
      </c>
      <c r="D94" s="3339">
        <v>140.91999999999999</v>
      </c>
      <c r="E94" s="3334">
        <v>59.4</v>
      </c>
      <c r="F94" s="3338">
        <f>SUM(E80:E95)</f>
        <v>946.96</v>
      </c>
      <c r="G94" s="3338">
        <f>SUM(E70:E79)</f>
        <v>111.29</v>
      </c>
      <c r="L94" s="3345"/>
      <c r="M94" s="3345"/>
      <c r="N94" s="3345"/>
      <c r="O94" s="3345"/>
    </row>
    <row r="95" spans="1:15" s="3159" customFormat="1" ht="12" customHeight="1">
      <c r="A95" s="3435"/>
      <c r="B95" s="3435"/>
      <c r="C95" s="3336" t="s">
        <v>5223</v>
      </c>
      <c r="D95" s="3335">
        <v>139.9</v>
      </c>
      <c r="E95" s="3334">
        <v>58.97</v>
      </c>
      <c r="F95" s="3338">
        <f>SUM(D80:D95)</f>
        <v>2246.5600000000004</v>
      </c>
      <c r="G95" s="3338">
        <f>SUM(D70:D79)</f>
        <v>264.01</v>
      </c>
      <c r="L95" s="3345"/>
      <c r="M95" s="3345"/>
      <c r="N95" s="3345"/>
      <c r="O95" s="3345"/>
    </row>
    <row r="96" spans="1:15" s="3159" customFormat="1" ht="12" customHeight="1">
      <c r="A96" s="3440" t="s">
        <v>3455</v>
      </c>
      <c r="B96" s="3435" t="s">
        <v>4925</v>
      </c>
      <c r="C96" s="3336" t="s">
        <v>5214</v>
      </c>
      <c r="D96" s="3335">
        <v>16.05</v>
      </c>
      <c r="E96" s="3334">
        <v>6.77</v>
      </c>
      <c r="L96" s="3345"/>
      <c r="M96" s="3345"/>
      <c r="N96" s="3345"/>
      <c r="O96" s="3345"/>
    </row>
    <row r="97" spans="1:15" s="3159" customFormat="1" ht="12" customHeight="1">
      <c r="A97" s="3441"/>
      <c r="B97" s="3435"/>
      <c r="C97" s="3336" t="s">
        <v>5087</v>
      </c>
      <c r="D97" s="3335">
        <v>12.8</v>
      </c>
      <c r="E97" s="3334">
        <v>5.4</v>
      </c>
      <c r="L97" s="3345"/>
      <c r="M97" s="3345"/>
      <c r="N97" s="3345"/>
      <c r="O97" s="3345"/>
    </row>
    <row r="98" spans="1:15" s="3159" customFormat="1" ht="12" customHeight="1">
      <c r="A98" s="3441"/>
      <c r="B98" s="3435"/>
      <c r="C98" s="3336" t="s">
        <v>5213</v>
      </c>
      <c r="D98" s="3335">
        <v>32.409999999999997</v>
      </c>
      <c r="E98" s="3334">
        <v>13.66</v>
      </c>
      <c r="L98" s="3345"/>
      <c r="M98" s="3345"/>
      <c r="N98" s="3345"/>
      <c r="O98" s="3345"/>
    </row>
    <row r="99" spans="1:15" s="3159" customFormat="1" ht="12" customHeight="1">
      <c r="A99" s="3441"/>
      <c r="B99" s="3435"/>
      <c r="C99" s="3336" t="s">
        <v>5212</v>
      </c>
      <c r="D99" s="3335">
        <v>10.45</v>
      </c>
      <c r="E99" s="3334">
        <v>4.4000000000000004</v>
      </c>
      <c r="L99" s="3345"/>
      <c r="M99" s="3345"/>
      <c r="N99" s="3345"/>
      <c r="O99" s="3345"/>
    </row>
    <row r="100" spans="1:15" s="3159" customFormat="1" ht="12" customHeight="1">
      <c r="A100" s="3441"/>
      <c r="B100" s="3435"/>
      <c r="C100" s="3336" t="s">
        <v>5211</v>
      </c>
      <c r="D100" s="3335">
        <v>13.79</v>
      </c>
      <c r="E100" s="3334">
        <v>5.81</v>
      </c>
      <c r="L100" s="3345"/>
      <c r="M100" s="3345"/>
      <c r="N100" s="3345"/>
      <c r="O100" s="3345"/>
    </row>
    <row r="101" spans="1:15" s="3159" customFormat="1" ht="12" customHeight="1">
      <c r="A101" s="3441"/>
      <c r="B101" s="3435"/>
      <c r="C101" s="3336" t="s">
        <v>5210</v>
      </c>
      <c r="D101" s="3335">
        <v>25.29</v>
      </c>
      <c r="E101" s="3334">
        <v>10.66</v>
      </c>
      <c r="L101" s="3345"/>
      <c r="M101" s="3345"/>
      <c r="N101" s="3345"/>
      <c r="O101" s="3345"/>
    </row>
    <row r="102" spans="1:15" s="3159" customFormat="1" ht="12" customHeight="1">
      <c r="A102" s="3441"/>
      <c r="B102" s="3435"/>
      <c r="C102" s="3336" t="s">
        <v>5209</v>
      </c>
      <c r="D102" s="3335">
        <v>27.41</v>
      </c>
      <c r="E102" s="3334">
        <v>11.55</v>
      </c>
      <c r="L102" s="3345"/>
      <c r="M102" s="3345"/>
      <c r="N102" s="3345"/>
      <c r="O102" s="3345"/>
    </row>
    <row r="103" spans="1:15" s="3159" customFormat="1" ht="12" customHeight="1">
      <c r="A103" s="3441"/>
      <c r="B103" s="3435"/>
      <c r="C103" s="3336" t="s">
        <v>5208</v>
      </c>
      <c r="D103" s="3335">
        <v>16.22</v>
      </c>
      <c r="E103" s="3334">
        <v>6.84</v>
      </c>
      <c r="L103" s="3345"/>
      <c r="M103" s="3345"/>
      <c r="N103" s="3345"/>
      <c r="O103" s="3345"/>
    </row>
    <row r="104" spans="1:15" s="3159" customFormat="1" ht="12" customHeight="1">
      <c r="A104" s="3441"/>
      <c r="B104" s="3435"/>
      <c r="C104" s="3336" t="s">
        <v>5207</v>
      </c>
      <c r="D104" s="3335">
        <v>16.149999999999999</v>
      </c>
      <c r="E104" s="3334">
        <v>6.81</v>
      </c>
      <c r="L104" s="3345"/>
      <c r="M104" s="3345"/>
      <c r="N104" s="3345"/>
      <c r="O104" s="3345"/>
    </row>
    <row r="105" spans="1:15" s="3159" customFormat="1" ht="12" customHeight="1">
      <c r="A105" s="3441"/>
      <c r="B105" s="3435"/>
      <c r="C105" s="3336" t="s">
        <v>5206</v>
      </c>
      <c r="D105" s="3335">
        <v>38.36</v>
      </c>
      <c r="E105" s="3334">
        <v>16.170000000000002</v>
      </c>
      <c r="L105" s="3345"/>
      <c r="M105" s="3345"/>
      <c r="N105" s="3345"/>
      <c r="O105" s="3345"/>
    </row>
    <row r="106" spans="1:15" s="3159" customFormat="1" ht="12" customHeight="1">
      <c r="A106" s="3441"/>
      <c r="B106" s="3435"/>
      <c r="C106" s="3336" t="s">
        <v>5205</v>
      </c>
      <c r="D106" s="3335">
        <v>12.6</v>
      </c>
      <c r="E106" s="3334">
        <v>5.31</v>
      </c>
      <c r="L106" s="3345"/>
      <c r="M106" s="3345"/>
      <c r="N106" s="3345"/>
      <c r="O106" s="3345"/>
    </row>
    <row r="107" spans="1:15" s="3159" customFormat="1" ht="12" customHeight="1">
      <c r="A107" s="3441"/>
      <c r="B107" s="3435"/>
      <c r="C107" s="3336" t="s">
        <v>5204</v>
      </c>
      <c r="D107" s="3335">
        <v>16.239999999999998</v>
      </c>
      <c r="E107" s="3334">
        <v>6.85</v>
      </c>
      <c r="L107" s="3345"/>
      <c r="M107" s="3345"/>
      <c r="N107" s="3345"/>
      <c r="O107" s="3345"/>
    </row>
    <row r="108" spans="1:15" s="3159" customFormat="1" ht="12" customHeight="1">
      <c r="A108" s="3441"/>
      <c r="B108" s="3435" t="s">
        <v>5191</v>
      </c>
      <c r="C108" s="3336" t="s">
        <v>5089</v>
      </c>
      <c r="D108" s="3335">
        <v>114.93</v>
      </c>
      <c r="E108" s="3334">
        <v>48.45</v>
      </c>
      <c r="L108" s="3345"/>
      <c r="M108" s="3345"/>
      <c r="N108" s="3345"/>
      <c r="O108" s="3345"/>
    </row>
    <row r="109" spans="1:15" s="3159" customFormat="1" ht="12" customHeight="1">
      <c r="A109" s="3441"/>
      <c r="B109" s="3435"/>
      <c r="C109" s="3336" t="s">
        <v>5088</v>
      </c>
      <c r="D109" s="3335">
        <v>131.5</v>
      </c>
      <c r="E109" s="3334">
        <v>55.43</v>
      </c>
      <c r="L109" s="3345"/>
      <c r="M109" s="3345"/>
      <c r="N109" s="3345"/>
      <c r="O109" s="3345"/>
    </row>
    <row r="110" spans="1:15" s="3159" customFormat="1" ht="12" customHeight="1">
      <c r="A110" s="3441"/>
      <c r="B110" s="3435" t="s">
        <v>5235</v>
      </c>
      <c r="C110" s="3336" t="s">
        <v>4988</v>
      </c>
      <c r="D110" s="3339">
        <v>114.93</v>
      </c>
      <c r="E110" s="3334">
        <v>48.45</v>
      </c>
      <c r="L110" s="3345"/>
      <c r="M110" s="3345"/>
      <c r="N110" s="3345"/>
      <c r="O110" s="3345"/>
    </row>
    <row r="111" spans="1:15" s="3159" customFormat="1" ht="12" customHeight="1">
      <c r="A111" s="3441"/>
      <c r="B111" s="3435"/>
      <c r="C111" s="3336" t="s">
        <v>4987</v>
      </c>
      <c r="D111" s="3335">
        <v>131.5</v>
      </c>
      <c r="E111" s="3334">
        <v>55.43</v>
      </c>
      <c r="L111" s="3345"/>
      <c r="M111" s="3345"/>
      <c r="N111" s="3345"/>
      <c r="O111" s="3345"/>
    </row>
    <row r="112" spans="1:15" s="3159" customFormat="1" ht="12" customHeight="1">
      <c r="A112" s="3441"/>
      <c r="B112" s="3435" t="s">
        <v>5232</v>
      </c>
      <c r="C112" s="3336" t="s">
        <v>4887</v>
      </c>
      <c r="D112" s="3339">
        <v>114.93</v>
      </c>
      <c r="E112" s="3334">
        <v>48.45</v>
      </c>
      <c r="L112" s="3345"/>
      <c r="M112" s="3345"/>
      <c r="N112" s="3345"/>
      <c r="O112" s="3345"/>
    </row>
    <row r="113" spans="1:15" s="3159" customFormat="1" ht="12" customHeight="1">
      <c r="A113" s="3441"/>
      <c r="B113" s="3435"/>
      <c r="C113" s="3336" t="s">
        <v>4886</v>
      </c>
      <c r="D113" s="3339">
        <v>131.5</v>
      </c>
      <c r="E113" s="3334">
        <v>55.43</v>
      </c>
      <c r="L113" s="3345"/>
      <c r="M113" s="3345"/>
      <c r="N113" s="3345"/>
      <c r="O113" s="3345"/>
    </row>
    <row r="114" spans="1:15" s="3159" customFormat="1" ht="12" customHeight="1">
      <c r="A114" s="3441"/>
      <c r="B114" s="3440" t="s">
        <v>5231</v>
      </c>
      <c r="C114" s="3336" t="s">
        <v>5220</v>
      </c>
      <c r="D114" s="3339">
        <v>114.93</v>
      </c>
      <c r="E114" s="3334">
        <v>48.45</v>
      </c>
      <c r="L114" s="3345"/>
      <c r="M114" s="3345"/>
      <c r="N114" s="3345"/>
      <c r="O114" s="3345"/>
    </row>
    <row r="115" spans="1:15" s="3159" customFormat="1" ht="12" customHeight="1">
      <c r="A115" s="3441"/>
      <c r="B115" s="3442"/>
      <c r="C115" s="3336" t="s">
        <v>5219</v>
      </c>
      <c r="D115" s="3339">
        <v>131.5</v>
      </c>
      <c r="E115" s="3334">
        <v>55.43</v>
      </c>
      <c r="L115" s="3345"/>
      <c r="M115" s="3345"/>
      <c r="N115" s="3345"/>
      <c r="O115" s="3345"/>
    </row>
    <row r="116" spans="1:15" s="3159" customFormat="1" ht="12" customHeight="1">
      <c r="A116" s="3441"/>
      <c r="B116" s="3435" t="s">
        <v>5230</v>
      </c>
      <c r="C116" s="3336" t="s">
        <v>5218</v>
      </c>
      <c r="D116" s="3339">
        <v>114.93</v>
      </c>
      <c r="E116" s="3334">
        <v>48.45</v>
      </c>
      <c r="L116" s="3345"/>
      <c r="M116" s="3345"/>
      <c r="N116" s="3345"/>
      <c r="O116" s="3345"/>
    </row>
    <row r="117" spans="1:15" s="3159" customFormat="1" ht="12" customHeight="1">
      <c r="A117" s="3441"/>
      <c r="B117" s="3435"/>
      <c r="C117" s="3336" t="s">
        <v>5217</v>
      </c>
      <c r="D117" s="3339">
        <v>131.5</v>
      </c>
      <c r="E117" s="3334">
        <v>55.43</v>
      </c>
      <c r="L117" s="3345"/>
      <c r="M117" s="3345"/>
      <c r="N117" s="3345"/>
      <c r="O117" s="3345"/>
    </row>
    <row r="118" spans="1:15" s="3159" customFormat="1" ht="12" customHeight="1">
      <c r="A118" s="3441"/>
      <c r="B118" s="3435" t="s">
        <v>5229</v>
      </c>
      <c r="C118" s="3336" t="s">
        <v>5216</v>
      </c>
      <c r="D118" s="3335">
        <v>114.93</v>
      </c>
      <c r="E118" s="3334">
        <v>48.45</v>
      </c>
      <c r="L118" s="3345"/>
      <c r="M118" s="3345"/>
      <c r="N118" s="3345"/>
      <c r="O118" s="3345"/>
    </row>
    <row r="119" spans="1:15" s="3159" customFormat="1" ht="12" customHeight="1">
      <c r="A119" s="3441"/>
      <c r="B119" s="3435"/>
      <c r="C119" s="3336" t="s">
        <v>5215</v>
      </c>
      <c r="D119" s="3339">
        <v>131.5</v>
      </c>
      <c r="E119" s="3334">
        <v>55.43</v>
      </c>
      <c r="L119" s="3345"/>
      <c r="M119" s="3345"/>
      <c r="N119" s="3345"/>
      <c r="O119" s="3345"/>
    </row>
    <row r="120" spans="1:15" s="3159" customFormat="1" ht="12" customHeight="1">
      <c r="A120" s="3441"/>
      <c r="B120" s="3435" t="s">
        <v>5234</v>
      </c>
      <c r="C120" s="3336" t="s">
        <v>5226</v>
      </c>
      <c r="D120" s="3339">
        <v>114.93</v>
      </c>
      <c r="E120" s="3334">
        <v>48.45</v>
      </c>
      <c r="L120" s="3345"/>
      <c r="M120" s="3345"/>
      <c r="N120" s="3345"/>
      <c r="O120" s="3345"/>
    </row>
    <row r="121" spans="1:15" s="3159" customFormat="1" ht="12" customHeight="1">
      <c r="A121" s="3441"/>
      <c r="B121" s="3435"/>
      <c r="C121" s="3336" t="s">
        <v>5225</v>
      </c>
      <c r="D121" s="3339">
        <v>131.5</v>
      </c>
      <c r="E121" s="3334">
        <v>55.43</v>
      </c>
      <c r="L121" s="3345"/>
      <c r="M121" s="3345"/>
      <c r="N121" s="3345"/>
      <c r="O121" s="3345"/>
    </row>
    <row r="122" spans="1:15" s="3159" customFormat="1" ht="12" customHeight="1">
      <c r="A122" s="3441"/>
      <c r="B122" s="3435" t="s">
        <v>5227</v>
      </c>
      <c r="C122" s="3336" t="s">
        <v>5224</v>
      </c>
      <c r="D122" s="3335">
        <v>114.93</v>
      </c>
      <c r="E122" s="3334">
        <v>48.45</v>
      </c>
      <c r="F122" s="3338">
        <f>SUM(E108:E123)</f>
        <v>831.04</v>
      </c>
      <c r="G122" s="3338">
        <f>SUM(E96:E107)</f>
        <v>100.23</v>
      </c>
      <c r="L122" s="3345"/>
      <c r="M122" s="3345"/>
      <c r="N122" s="3345"/>
      <c r="O122" s="3345"/>
    </row>
    <row r="123" spans="1:15" s="3159" customFormat="1" ht="12" customHeight="1">
      <c r="A123" s="3442"/>
      <c r="B123" s="3435"/>
      <c r="C123" s="3336" t="s">
        <v>5223</v>
      </c>
      <c r="D123" s="3335">
        <v>131.5</v>
      </c>
      <c r="E123" s="3334">
        <v>55.43</v>
      </c>
      <c r="F123" s="3338">
        <f>SUM(D108:D123)</f>
        <v>1971.4400000000003</v>
      </c>
      <c r="G123" s="3338">
        <f>SUM(D96:D107)</f>
        <v>237.77</v>
      </c>
      <c r="L123" s="3345"/>
      <c r="M123" s="3345"/>
      <c r="N123" s="3345"/>
      <c r="O123" s="3345"/>
    </row>
    <row r="124" spans="1:15" s="3159" customFormat="1" ht="12" customHeight="1">
      <c r="A124" s="3435" t="s">
        <v>3459</v>
      </c>
      <c r="B124" s="3435" t="s">
        <v>5222</v>
      </c>
      <c r="C124" s="3336" t="s">
        <v>5089</v>
      </c>
      <c r="D124" s="3335">
        <v>114.31</v>
      </c>
      <c r="E124" s="3334">
        <v>48.18</v>
      </c>
      <c r="L124" s="3345"/>
      <c r="M124" s="3345"/>
      <c r="N124" s="3345"/>
      <c r="O124" s="3345"/>
    </row>
    <row r="125" spans="1:15" s="3159" customFormat="1" ht="12" customHeight="1">
      <c r="A125" s="3435"/>
      <c r="B125" s="3435"/>
      <c r="C125" s="3336" t="s">
        <v>5088</v>
      </c>
      <c r="D125" s="3335">
        <v>110.18</v>
      </c>
      <c r="E125" s="3334">
        <v>46.44</v>
      </c>
      <c r="L125" s="3345"/>
      <c r="M125" s="3345"/>
      <c r="N125" s="3345"/>
      <c r="O125" s="3345"/>
    </row>
    <row r="126" spans="1:15" s="3159" customFormat="1" ht="12" customHeight="1">
      <c r="A126" s="3435"/>
      <c r="B126" s="3435"/>
      <c r="C126" s="3336" t="s">
        <v>4988</v>
      </c>
      <c r="D126" s="3335">
        <v>114.31</v>
      </c>
      <c r="E126" s="3334">
        <v>48.18</v>
      </c>
      <c r="L126" s="3345"/>
      <c r="M126" s="3345"/>
      <c r="N126" s="3345"/>
      <c r="O126" s="3345"/>
    </row>
    <row r="127" spans="1:15" s="3159" customFormat="1" ht="12" customHeight="1">
      <c r="A127" s="3435"/>
      <c r="B127" s="3435"/>
      <c r="C127" s="3336" t="s">
        <v>4987</v>
      </c>
      <c r="D127" s="3335">
        <v>110.18</v>
      </c>
      <c r="E127" s="3334">
        <v>46.44</v>
      </c>
      <c r="L127" s="3345"/>
      <c r="M127" s="3345"/>
      <c r="N127" s="3345"/>
      <c r="O127" s="3345"/>
    </row>
    <row r="128" spans="1:15" s="3159" customFormat="1" ht="12" customHeight="1">
      <c r="A128" s="3435"/>
      <c r="B128" s="3435"/>
      <c r="C128" s="3336" t="s">
        <v>4887</v>
      </c>
      <c r="D128" s="3335">
        <v>114.31</v>
      </c>
      <c r="E128" s="3334">
        <v>48.18</v>
      </c>
      <c r="L128" s="3345"/>
      <c r="M128" s="3345"/>
      <c r="N128" s="3345"/>
      <c r="O128" s="3345"/>
    </row>
    <row r="129" spans="1:15" s="3159" customFormat="1" ht="12" customHeight="1">
      <c r="A129" s="3435"/>
      <c r="B129" s="3435"/>
      <c r="C129" s="3336" t="s">
        <v>4886</v>
      </c>
      <c r="D129" s="3335">
        <v>110.18</v>
      </c>
      <c r="E129" s="3334">
        <v>46.44</v>
      </c>
      <c r="L129" s="3345"/>
      <c r="M129" s="3345"/>
      <c r="N129" s="3345"/>
      <c r="O129" s="3345"/>
    </row>
    <row r="130" spans="1:15" s="3159" customFormat="1" ht="12" customHeight="1">
      <c r="A130" s="3435"/>
      <c r="B130" s="3435"/>
      <c r="C130" s="3336" t="s">
        <v>5220</v>
      </c>
      <c r="D130" s="3339">
        <v>114.31</v>
      </c>
      <c r="E130" s="3334">
        <v>48.18</v>
      </c>
      <c r="L130" s="3345"/>
      <c r="M130" s="3345"/>
      <c r="N130" s="3345"/>
      <c r="O130" s="3345"/>
    </row>
    <row r="131" spans="1:15" s="3159" customFormat="1" ht="12" customHeight="1">
      <c r="A131" s="3435"/>
      <c r="B131" s="3435"/>
      <c r="C131" s="3336" t="s">
        <v>5219</v>
      </c>
      <c r="D131" s="3339">
        <v>110.18</v>
      </c>
      <c r="E131" s="3334">
        <v>46.44</v>
      </c>
      <c r="L131" s="3345"/>
      <c r="M131" s="3345"/>
      <c r="N131" s="3345"/>
      <c r="O131" s="3345"/>
    </row>
    <row r="132" spans="1:15" s="3159" customFormat="1" ht="12" customHeight="1">
      <c r="A132" s="3435"/>
      <c r="B132" s="3435"/>
      <c r="C132" s="3336" t="s">
        <v>5218</v>
      </c>
      <c r="D132" s="3339">
        <v>114.31</v>
      </c>
      <c r="E132" s="3334">
        <v>48.18</v>
      </c>
      <c r="L132" s="3345"/>
      <c r="M132" s="3345"/>
      <c r="N132" s="3345"/>
      <c r="O132" s="3345"/>
    </row>
    <row r="133" spans="1:15" s="3159" customFormat="1" ht="12" customHeight="1">
      <c r="A133" s="3435"/>
      <c r="B133" s="3435"/>
      <c r="C133" s="3336" t="s">
        <v>5217</v>
      </c>
      <c r="D133" s="3339">
        <v>110.18</v>
      </c>
      <c r="E133" s="3334">
        <v>46.44</v>
      </c>
      <c r="L133" s="3345"/>
      <c r="M133" s="3345"/>
      <c r="N133" s="3345"/>
      <c r="O133" s="3345"/>
    </row>
    <row r="134" spans="1:15" s="3159" customFormat="1" ht="12" customHeight="1">
      <c r="A134" s="3435"/>
      <c r="B134" s="3435"/>
      <c r="C134" s="3336" t="s">
        <v>5216</v>
      </c>
      <c r="D134" s="3339">
        <v>114.31</v>
      </c>
      <c r="E134" s="3334">
        <v>48.18</v>
      </c>
      <c r="L134" s="3345"/>
      <c r="M134" s="3345"/>
      <c r="N134" s="3345"/>
      <c r="O134" s="3345"/>
    </row>
    <row r="135" spans="1:15" s="3159" customFormat="1" ht="12" customHeight="1">
      <c r="A135" s="3435"/>
      <c r="B135" s="3435"/>
      <c r="C135" s="3336" t="s">
        <v>5215</v>
      </c>
      <c r="D135" s="3335">
        <v>110.18</v>
      </c>
      <c r="E135" s="3334">
        <v>46.44</v>
      </c>
      <c r="L135" s="3345"/>
      <c r="M135" s="3345"/>
      <c r="N135" s="3345"/>
      <c r="O135" s="3345"/>
    </row>
    <row r="136" spans="1:15" s="3159" customFormat="1" ht="12" customHeight="1">
      <c r="A136" s="3435"/>
      <c r="B136" s="3435"/>
      <c r="C136" s="3336" t="s">
        <v>5226</v>
      </c>
      <c r="D136" s="3339">
        <v>114.31</v>
      </c>
      <c r="E136" s="3334">
        <v>48.18</v>
      </c>
      <c r="L136" s="3345"/>
      <c r="M136" s="3345"/>
      <c r="N136" s="3345"/>
      <c r="O136" s="3345"/>
    </row>
    <row r="137" spans="1:15" s="3159" customFormat="1" ht="12" customHeight="1">
      <c r="A137" s="3435"/>
      <c r="B137" s="3435"/>
      <c r="C137" s="3336" t="s">
        <v>5225</v>
      </c>
      <c r="D137" s="3339">
        <v>110.18</v>
      </c>
      <c r="E137" s="3334">
        <v>46.44</v>
      </c>
      <c r="L137" s="3345"/>
      <c r="M137" s="3345"/>
      <c r="N137" s="3345"/>
      <c r="O137" s="3345"/>
    </row>
    <row r="138" spans="1:15" s="3159" customFormat="1" ht="12" customHeight="1">
      <c r="A138" s="3435"/>
      <c r="B138" s="3435"/>
      <c r="C138" s="3336" t="s">
        <v>5224</v>
      </c>
      <c r="D138" s="3335">
        <v>114.31</v>
      </c>
      <c r="E138" s="3334">
        <v>48.18</v>
      </c>
      <c r="L138" s="3345"/>
      <c r="M138" s="3345"/>
      <c r="N138" s="3345"/>
      <c r="O138" s="3345"/>
    </row>
    <row r="139" spans="1:15" s="3159" customFormat="1" ht="12" customHeight="1">
      <c r="A139" s="3435"/>
      <c r="B139" s="3435"/>
      <c r="C139" s="3336" t="s">
        <v>5223</v>
      </c>
      <c r="D139" s="3339">
        <v>110.18</v>
      </c>
      <c r="E139" s="3334">
        <v>46.44</v>
      </c>
      <c r="L139" s="3345"/>
      <c r="M139" s="3345"/>
      <c r="N139" s="3345"/>
      <c r="O139" s="3345"/>
    </row>
    <row r="140" spans="1:15" s="3159" customFormat="1" ht="12" customHeight="1">
      <c r="A140" s="3435"/>
      <c r="B140" s="3435" t="s">
        <v>5221</v>
      </c>
      <c r="C140" s="3336" t="s">
        <v>5089</v>
      </c>
      <c r="D140" s="3335">
        <v>110.18</v>
      </c>
      <c r="E140" s="3334">
        <v>46.44</v>
      </c>
      <c r="L140" s="3345"/>
      <c r="M140" s="3345"/>
      <c r="N140" s="3345"/>
      <c r="O140" s="3345"/>
    </row>
    <row r="141" spans="1:15" s="3159" customFormat="1" ht="12" customHeight="1">
      <c r="A141" s="3435"/>
      <c r="B141" s="3435"/>
      <c r="C141" s="3336" t="s">
        <v>5088</v>
      </c>
      <c r="D141" s="3335">
        <v>110.63</v>
      </c>
      <c r="E141" s="3334">
        <v>46.63</v>
      </c>
      <c r="L141" s="3345"/>
      <c r="M141" s="3345"/>
      <c r="N141" s="3345"/>
      <c r="O141" s="3345"/>
    </row>
    <row r="142" spans="1:15" s="3159" customFormat="1" ht="12" customHeight="1">
      <c r="A142" s="3435"/>
      <c r="B142" s="3435"/>
      <c r="C142" s="3336" t="s">
        <v>4988</v>
      </c>
      <c r="D142" s="3335">
        <v>110.18</v>
      </c>
      <c r="E142" s="3334">
        <v>46.44</v>
      </c>
      <c r="L142" s="3345"/>
      <c r="M142" s="3345"/>
      <c r="N142" s="3345"/>
      <c r="O142" s="3345"/>
    </row>
    <row r="143" spans="1:15" s="3159" customFormat="1" ht="12" customHeight="1">
      <c r="A143" s="3435"/>
      <c r="B143" s="3435"/>
      <c r="C143" s="3336" t="s">
        <v>4987</v>
      </c>
      <c r="D143" s="3335">
        <v>110.63</v>
      </c>
      <c r="E143" s="3334">
        <v>46.63</v>
      </c>
      <c r="L143" s="3345"/>
      <c r="M143" s="3345"/>
      <c r="N143" s="3345"/>
      <c r="O143" s="3345"/>
    </row>
    <row r="144" spans="1:15" s="3159" customFormat="1" ht="12" customHeight="1">
      <c r="A144" s="3435"/>
      <c r="B144" s="3435"/>
      <c r="C144" s="3336" t="s">
        <v>4887</v>
      </c>
      <c r="D144" s="3339">
        <v>110.18</v>
      </c>
      <c r="E144" s="3334">
        <v>46.44</v>
      </c>
      <c r="L144" s="3345"/>
      <c r="M144" s="3345"/>
      <c r="N144" s="3345"/>
      <c r="O144" s="3345"/>
    </row>
    <row r="145" spans="1:15" s="3159" customFormat="1" ht="12" customHeight="1">
      <c r="A145" s="3435"/>
      <c r="B145" s="3435"/>
      <c r="C145" s="3336" t="s">
        <v>4886</v>
      </c>
      <c r="D145" s="3335">
        <v>110.63</v>
      </c>
      <c r="E145" s="3334">
        <v>46.63</v>
      </c>
      <c r="L145" s="3345"/>
      <c r="M145" s="3345"/>
      <c r="N145" s="3345"/>
      <c r="O145" s="3345"/>
    </row>
    <row r="146" spans="1:15" s="3159" customFormat="1" ht="12" customHeight="1">
      <c r="A146" s="3435"/>
      <c r="B146" s="3435"/>
      <c r="C146" s="3336" t="s">
        <v>5220</v>
      </c>
      <c r="D146" s="3339">
        <v>110.18</v>
      </c>
      <c r="E146" s="3334">
        <v>46.44</v>
      </c>
      <c r="L146" s="3345"/>
      <c r="M146" s="3345"/>
      <c r="N146" s="3345"/>
      <c r="O146" s="3345"/>
    </row>
    <row r="147" spans="1:15" s="3159" customFormat="1" ht="12" customHeight="1">
      <c r="A147" s="3435"/>
      <c r="B147" s="3435"/>
      <c r="C147" s="3336" t="s">
        <v>5219</v>
      </c>
      <c r="D147" s="3335">
        <v>110.63</v>
      </c>
      <c r="E147" s="3334">
        <v>46.63</v>
      </c>
      <c r="L147" s="3345"/>
      <c r="M147" s="3345"/>
      <c r="N147" s="3345"/>
      <c r="O147" s="3345"/>
    </row>
    <row r="148" spans="1:15" s="3159" customFormat="1" ht="12" customHeight="1">
      <c r="A148" s="3435"/>
      <c r="B148" s="3435"/>
      <c r="C148" s="3336" t="s">
        <v>5218</v>
      </c>
      <c r="D148" s="3339">
        <v>110.18</v>
      </c>
      <c r="E148" s="3334">
        <v>46.44</v>
      </c>
      <c r="L148" s="3345"/>
      <c r="M148" s="3345"/>
      <c r="N148" s="3345"/>
      <c r="O148" s="3345"/>
    </row>
    <row r="149" spans="1:15" s="3159" customFormat="1" ht="12" customHeight="1">
      <c r="A149" s="3435"/>
      <c r="B149" s="3435"/>
      <c r="C149" s="3336" t="s">
        <v>5217</v>
      </c>
      <c r="D149" s="3339">
        <v>110.63</v>
      </c>
      <c r="E149" s="3334">
        <v>46.63</v>
      </c>
      <c r="L149" s="3345"/>
      <c r="M149" s="3345"/>
      <c r="N149" s="3345"/>
      <c r="O149" s="3345"/>
    </row>
    <row r="150" spans="1:15" s="3159" customFormat="1" ht="12" customHeight="1">
      <c r="A150" s="3435"/>
      <c r="B150" s="3435"/>
      <c r="C150" s="3336" t="s">
        <v>5216</v>
      </c>
      <c r="D150" s="3339">
        <v>110.18</v>
      </c>
      <c r="E150" s="3334">
        <v>46.44</v>
      </c>
      <c r="L150" s="3345"/>
      <c r="M150" s="3345"/>
      <c r="N150" s="3345"/>
      <c r="O150" s="3345"/>
    </row>
    <row r="151" spans="1:15" s="3159" customFormat="1" ht="12" customHeight="1">
      <c r="A151" s="3435"/>
      <c r="B151" s="3435"/>
      <c r="C151" s="3336" t="s">
        <v>5215</v>
      </c>
      <c r="D151" s="3339">
        <v>110.63</v>
      </c>
      <c r="E151" s="3334">
        <v>46.63</v>
      </c>
      <c r="L151" s="3345"/>
      <c r="M151" s="3345"/>
      <c r="N151" s="3345"/>
      <c r="O151" s="3345"/>
    </row>
    <row r="152" spans="1:15" s="3159" customFormat="1" ht="12" customHeight="1">
      <c r="A152" s="3435"/>
      <c r="B152" s="3435"/>
      <c r="C152" s="3336" t="s">
        <v>5226</v>
      </c>
      <c r="D152" s="3335">
        <v>110.18</v>
      </c>
      <c r="E152" s="3334">
        <v>46.44</v>
      </c>
      <c r="L152" s="3345"/>
      <c r="M152" s="3345"/>
      <c r="N152" s="3345"/>
      <c r="O152" s="3345"/>
    </row>
    <row r="153" spans="1:15" s="3159" customFormat="1" ht="12" customHeight="1">
      <c r="A153" s="3435"/>
      <c r="B153" s="3435"/>
      <c r="C153" s="3336" t="s">
        <v>5225</v>
      </c>
      <c r="D153" s="3339">
        <v>110.63</v>
      </c>
      <c r="E153" s="3334">
        <v>46.63</v>
      </c>
      <c r="L153" s="3345"/>
      <c r="M153" s="3345"/>
      <c r="N153" s="3345"/>
      <c r="O153" s="3345"/>
    </row>
    <row r="154" spans="1:15" s="3159" customFormat="1" ht="12" customHeight="1">
      <c r="A154" s="3435"/>
      <c r="B154" s="3435"/>
      <c r="C154" s="3336" t="s">
        <v>5224</v>
      </c>
      <c r="D154" s="3339">
        <v>110.18</v>
      </c>
      <c r="E154" s="3334">
        <v>46.44</v>
      </c>
      <c r="L154" s="3345"/>
      <c r="M154" s="3345"/>
      <c r="N154" s="3345"/>
      <c r="O154" s="3345"/>
    </row>
    <row r="155" spans="1:15" s="3159" customFormat="1" ht="12" customHeight="1">
      <c r="A155" s="3435"/>
      <c r="B155" s="3435"/>
      <c r="C155" s="3336" t="s">
        <v>5223</v>
      </c>
      <c r="D155" s="3335">
        <v>110.63</v>
      </c>
      <c r="E155" s="3334">
        <v>46.63</v>
      </c>
      <c r="F155" s="3338">
        <f>SUM(E124:E155)</f>
        <v>1501.5200000000007</v>
      </c>
      <c r="G155" s="3338">
        <f>E156</f>
        <v>3.03</v>
      </c>
      <c r="L155" s="3345"/>
      <c r="M155" s="3345"/>
      <c r="N155" s="3345"/>
      <c r="O155" s="3345"/>
    </row>
    <row r="156" spans="1:15" s="3159" customFormat="1" ht="12" customHeight="1">
      <c r="A156" s="3435"/>
      <c r="B156" s="3337" t="s">
        <v>4925</v>
      </c>
      <c r="C156" s="3336" t="s">
        <v>5214</v>
      </c>
      <c r="D156" s="3335">
        <v>7.2</v>
      </c>
      <c r="E156" s="3334">
        <v>3.03</v>
      </c>
      <c r="F156" s="3338">
        <f>SUM(D124:D155)</f>
        <v>3562.3999999999996</v>
      </c>
      <c r="G156" s="3338">
        <f>D156</f>
        <v>7.2</v>
      </c>
      <c r="L156" s="3345"/>
      <c r="M156" s="3345"/>
      <c r="N156" s="3345"/>
      <c r="O156" s="3345"/>
    </row>
    <row r="157" spans="1:15" s="3159" customFormat="1" ht="12" customHeight="1">
      <c r="A157" s="3440" t="s">
        <v>3461</v>
      </c>
      <c r="B157" s="3440" t="s">
        <v>5222</v>
      </c>
      <c r="C157" s="3336" t="s">
        <v>5089</v>
      </c>
      <c r="D157" s="3335">
        <v>110.63</v>
      </c>
      <c r="E157" s="3354">
        <v>46.63</v>
      </c>
      <c r="L157" s="3345"/>
      <c r="M157" s="3345"/>
      <c r="N157" s="3345"/>
      <c r="O157" s="3345"/>
    </row>
    <row r="158" spans="1:15" s="3159" customFormat="1" ht="12" customHeight="1">
      <c r="A158" s="3441"/>
      <c r="B158" s="3441"/>
      <c r="C158" s="3336" t="s">
        <v>5088</v>
      </c>
      <c r="D158" s="3335">
        <v>110.18</v>
      </c>
      <c r="E158" s="3354">
        <v>46.44</v>
      </c>
      <c r="L158" s="3345"/>
      <c r="M158" s="3345"/>
      <c r="N158" s="3345"/>
      <c r="O158" s="3345"/>
    </row>
    <row r="159" spans="1:15" s="3159" customFormat="1" ht="12" customHeight="1">
      <c r="A159" s="3441"/>
      <c r="B159" s="3441"/>
      <c r="C159" s="3336" t="s">
        <v>4988</v>
      </c>
      <c r="D159" s="3335">
        <v>110.63</v>
      </c>
      <c r="E159" s="3354">
        <v>46.63</v>
      </c>
      <c r="L159" s="3345"/>
      <c r="M159" s="3345"/>
      <c r="N159" s="3345"/>
      <c r="O159" s="3345"/>
    </row>
    <row r="160" spans="1:15" s="3159" customFormat="1" ht="12" customHeight="1">
      <c r="A160" s="3441"/>
      <c r="B160" s="3441"/>
      <c r="C160" s="3336" t="s">
        <v>4987</v>
      </c>
      <c r="D160" s="3335">
        <v>110.18</v>
      </c>
      <c r="E160" s="3354">
        <v>46.44</v>
      </c>
      <c r="L160" s="3345"/>
      <c r="M160" s="3345"/>
      <c r="N160" s="3345"/>
      <c r="O160" s="3345"/>
    </row>
    <row r="161" spans="1:15" s="3159" customFormat="1" ht="12" customHeight="1">
      <c r="A161" s="3441"/>
      <c r="B161" s="3441"/>
      <c r="C161" s="3336" t="s">
        <v>4887</v>
      </c>
      <c r="D161" s="3335">
        <v>110.63</v>
      </c>
      <c r="E161" s="3354">
        <v>46.63</v>
      </c>
      <c r="L161" s="3345"/>
      <c r="M161" s="3345"/>
      <c r="N161" s="3345"/>
      <c r="O161" s="3345"/>
    </row>
    <row r="162" spans="1:15" s="3159" customFormat="1" ht="12" customHeight="1">
      <c r="A162" s="3441"/>
      <c r="B162" s="3441"/>
      <c r="C162" s="3336" t="s">
        <v>4886</v>
      </c>
      <c r="D162" s="3339">
        <v>110.18</v>
      </c>
      <c r="E162" s="3354">
        <v>46.44</v>
      </c>
      <c r="L162" s="3345"/>
      <c r="M162" s="3345"/>
      <c r="N162" s="3345"/>
      <c r="O162" s="3345"/>
    </row>
    <row r="163" spans="1:15" s="3159" customFormat="1" ht="12" customHeight="1">
      <c r="A163" s="3441"/>
      <c r="B163" s="3441"/>
      <c r="C163" s="3336" t="s">
        <v>5220</v>
      </c>
      <c r="D163" s="3335">
        <v>110.63</v>
      </c>
      <c r="E163" s="3354">
        <v>46.63</v>
      </c>
      <c r="L163" s="3345"/>
      <c r="M163" s="3345"/>
      <c r="N163" s="3345"/>
      <c r="O163" s="3345"/>
    </row>
    <row r="164" spans="1:15" s="3159" customFormat="1" ht="12" customHeight="1">
      <c r="A164" s="3441"/>
      <c r="B164" s="3441"/>
      <c r="C164" s="3336" t="s">
        <v>5219</v>
      </c>
      <c r="D164" s="3335">
        <v>110.18</v>
      </c>
      <c r="E164" s="3354">
        <v>46.44</v>
      </c>
      <c r="L164" s="3345"/>
      <c r="M164" s="3345"/>
      <c r="N164" s="3345"/>
      <c r="O164" s="3345"/>
    </row>
    <row r="165" spans="1:15" s="3159" customFormat="1" ht="12" customHeight="1">
      <c r="A165" s="3441"/>
      <c r="B165" s="3441"/>
      <c r="C165" s="3336" t="s">
        <v>5218</v>
      </c>
      <c r="D165" s="3335">
        <v>110.63</v>
      </c>
      <c r="E165" s="3354">
        <v>46.63</v>
      </c>
      <c r="L165" s="3345"/>
      <c r="M165" s="3345"/>
      <c r="N165" s="3345"/>
      <c r="O165" s="3345"/>
    </row>
    <row r="166" spans="1:15" s="3159" customFormat="1" ht="12" customHeight="1">
      <c r="A166" s="3441"/>
      <c r="B166" s="3441"/>
      <c r="C166" s="3336" t="s">
        <v>5217</v>
      </c>
      <c r="D166" s="3339">
        <v>110.18</v>
      </c>
      <c r="E166" s="3354">
        <v>46.44</v>
      </c>
      <c r="L166" s="3345"/>
      <c r="M166" s="3345"/>
      <c r="N166" s="3345"/>
      <c r="O166" s="3345"/>
    </row>
    <row r="167" spans="1:15" s="3159" customFormat="1" ht="12" customHeight="1">
      <c r="A167" s="3441"/>
      <c r="B167" s="3441"/>
      <c r="C167" s="3336" t="s">
        <v>5216</v>
      </c>
      <c r="D167" s="3335">
        <v>110.63</v>
      </c>
      <c r="E167" s="3354">
        <v>46.63</v>
      </c>
      <c r="L167" s="3345"/>
      <c r="M167" s="3345"/>
      <c r="N167" s="3345"/>
      <c r="O167" s="3345"/>
    </row>
    <row r="168" spans="1:15" s="3159" customFormat="1" ht="12" customHeight="1">
      <c r="A168" s="3441"/>
      <c r="B168" s="3441"/>
      <c r="C168" s="3336" t="s">
        <v>5215</v>
      </c>
      <c r="D168" s="3339">
        <v>110.18</v>
      </c>
      <c r="E168" s="3354">
        <v>46.44</v>
      </c>
      <c r="L168" s="3345"/>
      <c r="M168" s="3345"/>
      <c r="N168" s="3345"/>
      <c r="O168" s="3345"/>
    </row>
    <row r="169" spans="1:15" s="3159" customFormat="1" ht="12" customHeight="1">
      <c r="A169" s="3441"/>
      <c r="B169" s="3441"/>
      <c r="C169" s="3336" t="s">
        <v>5226</v>
      </c>
      <c r="D169" s="3335">
        <v>110.63</v>
      </c>
      <c r="E169" s="3354">
        <v>46.63</v>
      </c>
      <c r="L169" s="3345"/>
      <c r="M169" s="3345"/>
      <c r="N169" s="3345"/>
      <c r="O169" s="3345"/>
    </row>
    <row r="170" spans="1:15" s="3159" customFormat="1" ht="12" customHeight="1">
      <c r="A170" s="3441"/>
      <c r="B170" s="3441"/>
      <c r="C170" s="3336" t="s">
        <v>5225</v>
      </c>
      <c r="D170" s="3335">
        <v>110.18</v>
      </c>
      <c r="E170" s="3354">
        <v>46.44</v>
      </c>
      <c r="L170" s="3345"/>
      <c r="M170" s="3345"/>
      <c r="N170" s="3345"/>
      <c r="O170" s="3345"/>
    </row>
    <row r="171" spans="1:15" s="3159" customFormat="1" ht="12" customHeight="1">
      <c r="A171" s="3441"/>
      <c r="B171" s="3441"/>
      <c r="C171" s="3336" t="s">
        <v>5224</v>
      </c>
      <c r="D171" s="3335">
        <v>110.63</v>
      </c>
      <c r="E171" s="3354">
        <v>46.63</v>
      </c>
      <c r="L171" s="3345"/>
      <c r="M171" s="3345"/>
      <c r="N171" s="3345"/>
      <c r="O171" s="3345"/>
    </row>
    <row r="172" spans="1:15" s="3159" customFormat="1" ht="12" customHeight="1">
      <c r="A172" s="3441"/>
      <c r="B172" s="3442"/>
      <c r="C172" s="3336" t="s">
        <v>5223</v>
      </c>
      <c r="D172" s="3335">
        <v>110.18</v>
      </c>
      <c r="E172" s="3354">
        <v>46.44</v>
      </c>
      <c r="L172" s="3345"/>
      <c r="M172" s="3345"/>
      <c r="N172" s="3345"/>
      <c r="O172" s="3345"/>
    </row>
    <row r="173" spans="1:15" s="3159" customFormat="1" ht="12" customHeight="1">
      <c r="A173" s="3441"/>
      <c r="B173" s="3435" t="s">
        <v>5221</v>
      </c>
      <c r="C173" s="3336" t="s">
        <v>5089</v>
      </c>
      <c r="D173" s="3335">
        <v>110.18</v>
      </c>
      <c r="E173" s="3354">
        <v>46.44</v>
      </c>
      <c r="L173" s="3345"/>
      <c r="M173" s="3345"/>
      <c r="N173" s="3345"/>
      <c r="O173" s="3345"/>
    </row>
    <row r="174" spans="1:15" s="3159" customFormat="1" ht="12" customHeight="1">
      <c r="A174" s="3441"/>
      <c r="B174" s="3435"/>
      <c r="C174" s="3336" t="s">
        <v>5088</v>
      </c>
      <c r="D174" s="3335">
        <v>114.15</v>
      </c>
      <c r="E174" s="3354">
        <v>48.12</v>
      </c>
      <c r="L174" s="3345"/>
      <c r="M174" s="3345"/>
      <c r="N174" s="3345"/>
      <c r="O174" s="3345"/>
    </row>
    <row r="175" spans="1:15" s="3159" customFormat="1" ht="12" customHeight="1">
      <c r="A175" s="3441"/>
      <c r="B175" s="3435"/>
      <c r="C175" s="3336" t="s">
        <v>4988</v>
      </c>
      <c r="D175" s="3335">
        <v>110.18</v>
      </c>
      <c r="E175" s="3354">
        <v>46.44</v>
      </c>
      <c r="L175" s="3345"/>
      <c r="M175" s="3345"/>
      <c r="N175" s="3345"/>
      <c r="O175" s="3345"/>
    </row>
    <row r="176" spans="1:15" s="3159" customFormat="1" ht="12" customHeight="1">
      <c r="A176" s="3441"/>
      <c r="B176" s="3435"/>
      <c r="C176" s="3336" t="s">
        <v>4987</v>
      </c>
      <c r="D176" s="3335">
        <v>114.31</v>
      </c>
      <c r="E176" s="3354">
        <v>48.18</v>
      </c>
      <c r="L176" s="3345"/>
      <c r="M176" s="3345"/>
      <c r="N176" s="3345"/>
      <c r="O176" s="3345"/>
    </row>
    <row r="177" spans="1:15" s="3159" customFormat="1" ht="12" customHeight="1">
      <c r="A177" s="3441"/>
      <c r="B177" s="3435"/>
      <c r="C177" s="3336" t="s">
        <v>4887</v>
      </c>
      <c r="D177" s="3335">
        <v>110.18</v>
      </c>
      <c r="E177" s="3354">
        <v>46.44</v>
      </c>
      <c r="L177" s="3345"/>
      <c r="M177" s="3345"/>
      <c r="N177" s="3345"/>
      <c r="O177" s="3345"/>
    </row>
    <row r="178" spans="1:15" s="3159" customFormat="1" ht="12" customHeight="1">
      <c r="A178" s="3441"/>
      <c r="B178" s="3435"/>
      <c r="C178" s="3336" t="s">
        <v>4886</v>
      </c>
      <c r="D178" s="3335">
        <v>114.31</v>
      </c>
      <c r="E178" s="3354">
        <v>48.18</v>
      </c>
      <c r="L178" s="3345"/>
      <c r="M178" s="3345"/>
      <c r="N178" s="3345"/>
      <c r="O178" s="3345"/>
    </row>
    <row r="179" spans="1:15" s="3159" customFormat="1" ht="12" customHeight="1">
      <c r="A179" s="3441"/>
      <c r="B179" s="3435"/>
      <c r="C179" s="3336" t="s">
        <v>5220</v>
      </c>
      <c r="D179" s="3335">
        <v>110.18</v>
      </c>
      <c r="E179" s="3354">
        <v>46.44</v>
      </c>
      <c r="L179" s="3345"/>
      <c r="M179" s="3345"/>
      <c r="N179" s="3345"/>
      <c r="O179" s="3345"/>
    </row>
    <row r="180" spans="1:15" s="3159" customFormat="1" ht="12" customHeight="1">
      <c r="A180" s="3441"/>
      <c r="B180" s="3435"/>
      <c r="C180" s="3336" t="s">
        <v>5219</v>
      </c>
      <c r="D180" s="3335">
        <v>114.31</v>
      </c>
      <c r="E180" s="3354">
        <v>48.18</v>
      </c>
      <c r="L180" s="3345"/>
      <c r="M180" s="3345"/>
      <c r="N180" s="3345"/>
      <c r="O180" s="3345"/>
    </row>
    <row r="181" spans="1:15" s="3159" customFormat="1" ht="12" customHeight="1">
      <c r="A181" s="3441"/>
      <c r="B181" s="3435"/>
      <c r="C181" s="3336" t="s">
        <v>5218</v>
      </c>
      <c r="D181" s="3335">
        <v>110.18</v>
      </c>
      <c r="E181" s="3354">
        <v>46.44</v>
      </c>
      <c r="L181" s="3345"/>
      <c r="M181" s="3345"/>
      <c r="N181" s="3345"/>
      <c r="O181" s="3345"/>
    </row>
    <row r="182" spans="1:15" s="3159" customFormat="1" ht="12" customHeight="1">
      <c r="A182" s="3441"/>
      <c r="B182" s="3435"/>
      <c r="C182" s="3336" t="s">
        <v>5217</v>
      </c>
      <c r="D182" s="3335">
        <v>114.31</v>
      </c>
      <c r="E182" s="3354">
        <v>48.18</v>
      </c>
      <c r="L182" s="3345"/>
      <c r="M182" s="3345"/>
      <c r="N182" s="3345"/>
      <c r="O182" s="3345"/>
    </row>
    <row r="183" spans="1:15" s="3159" customFormat="1" ht="12" customHeight="1">
      <c r="A183" s="3441"/>
      <c r="B183" s="3435"/>
      <c r="C183" s="3336" t="s">
        <v>5216</v>
      </c>
      <c r="D183" s="3339">
        <v>110.18</v>
      </c>
      <c r="E183" s="3354">
        <v>46.44</v>
      </c>
      <c r="L183" s="3345"/>
      <c r="M183" s="3345"/>
      <c r="N183" s="3345"/>
      <c r="O183" s="3345"/>
    </row>
    <row r="184" spans="1:15" s="3159" customFormat="1" ht="12" customHeight="1">
      <c r="A184" s="3441"/>
      <c r="B184" s="3435"/>
      <c r="C184" s="3336" t="s">
        <v>5215</v>
      </c>
      <c r="D184" s="3335">
        <v>114.31</v>
      </c>
      <c r="E184" s="3354">
        <v>48.18</v>
      </c>
      <c r="L184" s="3345"/>
      <c r="M184" s="3345"/>
      <c r="N184" s="3345"/>
      <c r="O184" s="3345"/>
    </row>
    <row r="185" spans="1:15" s="3159" customFormat="1" ht="12" customHeight="1">
      <c r="A185" s="3441"/>
      <c r="B185" s="3435"/>
      <c r="C185" s="3336" t="s">
        <v>5226</v>
      </c>
      <c r="D185" s="3335">
        <v>110.18</v>
      </c>
      <c r="E185" s="3354">
        <v>46.44</v>
      </c>
      <c r="L185" s="3345"/>
      <c r="M185" s="3345"/>
      <c r="N185" s="3345"/>
      <c r="O185" s="3345"/>
    </row>
    <row r="186" spans="1:15" s="3159" customFormat="1" ht="12" customHeight="1">
      <c r="A186" s="3441"/>
      <c r="B186" s="3435"/>
      <c r="C186" s="3336" t="s">
        <v>5225</v>
      </c>
      <c r="D186" s="3335">
        <v>114.31</v>
      </c>
      <c r="E186" s="3354">
        <v>48.18</v>
      </c>
      <c r="L186" s="3345"/>
      <c r="M186" s="3345"/>
      <c r="N186" s="3345"/>
      <c r="O186" s="3345"/>
    </row>
    <row r="187" spans="1:15" s="3159" customFormat="1" ht="12" customHeight="1">
      <c r="A187" s="3441"/>
      <c r="B187" s="3435"/>
      <c r="C187" s="3336" t="s">
        <v>5224</v>
      </c>
      <c r="D187" s="3335">
        <v>110.18</v>
      </c>
      <c r="E187" s="3354">
        <v>46.44</v>
      </c>
      <c r="L187" s="3345"/>
      <c r="M187" s="3345"/>
      <c r="N187" s="3345"/>
      <c r="O187" s="3345"/>
    </row>
    <row r="188" spans="1:15" s="3159" customFormat="1" ht="12" customHeight="1">
      <c r="A188" s="3441"/>
      <c r="B188" s="3435"/>
      <c r="C188" s="3336" t="s">
        <v>5223</v>
      </c>
      <c r="D188" s="3335">
        <v>114.31</v>
      </c>
      <c r="E188" s="3354">
        <v>48.18</v>
      </c>
      <c r="F188" s="3338">
        <f>SUM(E157:E188)</f>
        <v>1501.4600000000005</v>
      </c>
      <c r="G188" s="3338">
        <f>E189</f>
        <v>3.03</v>
      </c>
      <c r="L188" s="3345"/>
      <c r="M188" s="3345"/>
      <c r="N188" s="3345"/>
      <c r="O188" s="3345"/>
    </row>
    <row r="189" spans="1:15" s="3159" customFormat="1" ht="12" customHeight="1">
      <c r="A189" s="3442"/>
      <c r="B189" s="3337" t="s">
        <v>4925</v>
      </c>
      <c r="C189" s="3336" t="s">
        <v>5214</v>
      </c>
      <c r="D189" s="3335">
        <v>7.2</v>
      </c>
      <c r="E189" s="3354">
        <v>3.03</v>
      </c>
      <c r="F189" s="3338">
        <f>SUM(D157:D188)</f>
        <v>3562.2399999999984</v>
      </c>
      <c r="G189" s="3338">
        <f>D189</f>
        <v>7.2</v>
      </c>
      <c r="L189" s="3345"/>
      <c r="M189" s="3345"/>
      <c r="N189" s="3345"/>
      <c r="O189" s="3345"/>
    </row>
    <row r="190" spans="1:15" s="3159" customFormat="1" ht="12" customHeight="1">
      <c r="A190" s="3435" t="s">
        <v>3463</v>
      </c>
      <c r="B190" s="3439" t="s">
        <v>4925</v>
      </c>
      <c r="C190" s="3336" t="s">
        <v>5214</v>
      </c>
      <c r="D190" s="3335">
        <v>14.41</v>
      </c>
      <c r="E190" s="3354">
        <v>6.07</v>
      </c>
      <c r="L190" s="3345"/>
      <c r="M190" s="3345"/>
      <c r="N190" s="3345"/>
      <c r="O190" s="3345"/>
    </row>
    <row r="191" spans="1:15" s="3159" customFormat="1" ht="12" customHeight="1">
      <c r="A191" s="3435"/>
      <c r="B191" s="3439"/>
      <c r="C191" s="3336" t="s">
        <v>5087</v>
      </c>
      <c r="D191" s="3335">
        <v>16.97</v>
      </c>
      <c r="E191" s="3354">
        <v>7.15</v>
      </c>
      <c r="L191" s="3345"/>
      <c r="M191" s="3345"/>
      <c r="N191" s="3345"/>
      <c r="O191" s="3345"/>
    </row>
    <row r="192" spans="1:15" s="3159" customFormat="1" ht="12" customHeight="1">
      <c r="A192" s="3435"/>
      <c r="B192" s="3439"/>
      <c r="C192" s="3336" t="s">
        <v>5213</v>
      </c>
      <c r="D192" s="3335">
        <v>27.92</v>
      </c>
      <c r="E192" s="3354">
        <v>11.77</v>
      </c>
      <c r="L192" s="3345"/>
      <c r="M192" s="3345"/>
      <c r="N192" s="3345"/>
      <c r="O192" s="3345"/>
    </row>
    <row r="193" spans="1:15" s="3159" customFormat="1" ht="12" customHeight="1">
      <c r="A193" s="3435"/>
      <c r="B193" s="3439"/>
      <c r="C193" s="3336" t="s">
        <v>5212</v>
      </c>
      <c r="D193" s="3335">
        <v>22.82</v>
      </c>
      <c r="E193" s="3354">
        <v>9.6199999999999992</v>
      </c>
      <c r="L193" s="3345"/>
      <c r="M193" s="3345"/>
      <c r="N193" s="3345"/>
      <c r="O193" s="3345"/>
    </row>
    <row r="194" spans="1:15" s="3159" customFormat="1" ht="12" customHeight="1">
      <c r="A194" s="3435"/>
      <c r="B194" s="3439"/>
      <c r="C194" s="3336" t="s">
        <v>5211</v>
      </c>
      <c r="D194" s="3335">
        <v>35.4</v>
      </c>
      <c r="E194" s="3354">
        <v>14.92</v>
      </c>
      <c r="L194" s="3345"/>
      <c r="M194" s="3345"/>
      <c r="N194" s="3345"/>
      <c r="O194" s="3345"/>
    </row>
    <row r="195" spans="1:15" s="3159" customFormat="1" ht="12" customHeight="1">
      <c r="A195" s="3435"/>
      <c r="B195" s="3439"/>
      <c r="C195" s="3336" t="s">
        <v>5210</v>
      </c>
      <c r="D195" s="3335">
        <v>37.07</v>
      </c>
      <c r="E195" s="3354">
        <v>15.63</v>
      </c>
      <c r="L195" s="3345"/>
      <c r="M195" s="3345"/>
      <c r="N195" s="3345"/>
      <c r="O195" s="3345"/>
    </row>
    <row r="196" spans="1:15" s="3159" customFormat="1" ht="12" customHeight="1">
      <c r="A196" s="3435"/>
      <c r="B196" s="3439"/>
      <c r="C196" s="3336" t="s">
        <v>5209</v>
      </c>
      <c r="D196" s="3335">
        <v>29.15</v>
      </c>
      <c r="E196" s="3354">
        <v>12.29</v>
      </c>
      <c r="L196" s="3345"/>
      <c r="M196" s="3345"/>
      <c r="N196" s="3345"/>
      <c r="O196" s="3345"/>
    </row>
    <row r="197" spans="1:15" s="3159" customFormat="1" ht="12" customHeight="1">
      <c r="A197" s="3435"/>
      <c r="B197" s="3439"/>
      <c r="C197" s="3336" t="s">
        <v>5208</v>
      </c>
      <c r="D197" s="3335">
        <v>33.020000000000003</v>
      </c>
      <c r="E197" s="3354">
        <v>13.92</v>
      </c>
      <c r="L197" s="3345"/>
      <c r="M197" s="3345"/>
      <c r="N197" s="3345"/>
      <c r="O197" s="3345"/>
    </row>
    <row r="198" spans="1:15" s="3159" customFormat="1" ht="12" customHeight="1">
      <c r="A198" s="3435"/>
      <c r="B198" s="3439"/>
      <c r="C198" s="3336" t="s">
        <v>5207</v>
      </c>
      <c r="D198" s="3335">
        <v>24.97</v>
      </c>
      <c r="E198" s="3354">
        <v>10.53</v>
      </c>
      <c r="L198" s="3345"/>
      <c r="M198" s="3345"/>
      <c r="N198" s="3345"/>
      <c r="O198" s="3345"/>
    </row>
    <row r="199" spans="1:15" s="3159" customFormat="1" ht="12" customHeight="1">
      <c r="A199" s="3435"/>
      <c r="B199" s="3439"/>
      <c r="C199" s="3336" t="s">
        <v>5206</v>
      </c>
      <c r="D199" s="3335">
        <v>22.29</v>
      </c>
      <c r="E199" s="3354">
        <v>9.4</v>
      </c>
      <c r="L199" s="3345"/>
      <c r="M199" s="3345"/>
      <c r="N199" s="3345"/>
      <c r="O199" s="3345"/>
    </row>
    <row r="200" spans="1:15" s="3159" customFormat="1" ht="12" customHeight="1">
      <c r="A200" s="3435"/>
      <c r="B200" s="3435" t="s">
        <v>5191</v>
      </c>
      <c r="C200" s="3336" t="s">
        <v>5089</v>
      </c>
      <c r="D200" s="3335">
        <v>141.16999999999999</v>
      </c>
      <c r="E200" s="3354">
        <v>59.51</v>
      </c>
      <c r="L200" s="3345"/>
      <c r="M200" s="3345"/>
      <c r="N200" s="3345"/>
      <c r="O200" s="3345"/>
    </row>
    <row r="201" spans="1:15" s="3159" customFormat="1" ht="12" customHeight="1">
      <c r="A201" s="3435"/>
      <c r="B201" s="3435"/>
      <c r="C201" s="3336" t="s">
        <v>5088</v>
      </c>
      <c r="D201" s="3335">
        <v>140.15</v>
      </c>
      <c r="E201" s="3354">
        <v>59.08</v>
      </c>
      <c r="L201" s="3345"/>
      <c r="M201" s="3345"/>
      <c r="N201" s="3345"/>
      <c r="O201" s="3345"/>
    </row>
    <row r="202" spans="1:15" s="3159" customFormat="1" ht="12" customHeight="1">
      <c r="A202" s="3435"/>
      <c r="B202" s="3435" t="s">
        <v>5190</v>
      </c>
      <c r="C202" s="3336" t="s">
        <v>4988</v>
      </c>
      <c r="D202" s="3335">
        <v>141.16999999999999</v>
      </c>
      <c r="E202" s="3354">
        <v>59.51</v>
      </c>
      <c r="L202" s="3345"/>
      <c r="M202" s="3345"/>
      <c r="N202" s="3345"/>
      <c r="O202" s="3345"/>
    </row>
    <row r="203" spans="1:15" s="3159" customFormat="1" ht="12" customHeight="1">
      <c r="A203" s="3435"/>
      <c r="B203" s="3435"/>
      <c r="C203" s="3336" t="s">
        <v>4987</v>
      </c>
      <c r="D203" s="3335">
        <v>140.15</v>
      </c>
      <c r="E203" s="3354">
        <v>59.08</v>
      </c>
      <c r="L203" s="3345"/>
      <c r="M203" s="3345"/>
      <c r="N203" s="3345"/>
      <c r="O203" s="3345"/>
    </row>
    <row r="204" spans="1:15" s="3159" customFormat="1" ht="12" customHeight="1">
      <c r="A204" s="3435"/>
      <c r="B204" s="3435" t="s">
        <v>5232</v>
      </c>
      <c r="C204" s="3336" t="s">
        <v>4887</v>
      </c>
      <c r="D204" s="3335">
        <v>141.16999999999999</v>
      </c>
      <c r="E204" s="3354">
        <v>59.51</v>
      </c>
      <c r="L204" s="3345"/>
      <c r="M204" s="3345"/>
      <c r="N204" s="3345"/>
      <c r="O204" s="3345"/>
    </row>
    <row r="205" spans="1:15" s="3159" customFormat="1" ht="12" customHeight="1">
      <c r="A205" s="3435"/>
      <c r="B205" s="3435"/>
      <c r="C205" s="3336" t="s">
        <v>4886</v>
      </c>
      <c r="D205" s="3335">
        <v>140.15</v>
      </c>
      <c r="E205" s="3354">
        <v>59.08</v>
      </c>
      <c r="L205" s="3345"/>
      <c r="M205" s="3345"/>
      <c r="N205" s="3345"/>
      <c r="O205" s="3345"/>
    </row>
    <row r="206" spans="1:15" s="3159" customFormat="1" ht="12" customHeight="1">
      <c r="A206" s="3435"/>
      <c r="B206" s="3435" t="s">
        <v>5231</v>
      </c>
      <c r="C206" s="3336" t="s">
        <v>5220</v>
      </c>
      <c r="D206" s="3335">
        <v>141.16999999999999</v>
      </c>
      <c r="E206" s="3354">
        <v>59.51</v>
      </c>
      <c r="L206" s="3345"/>
      <c r="M206" s="3345"/>
      <c r="N206" s="3345"/>
      <c r="O206" s="3345"/>
    </row>
    <row r="207" spans="1:15" s="3159" customFormat="1" ht="12" customHeight="1">
      <c r="A207" s="3435"/>
      <c r="B207" s="3435"/>
      <c r="C207" s="3336" t="s">
        <v>5219</v>
      </c>
      <c r="D207" s="3335">
        <v>140.15</v>
      </c>
      <c r="E207" s="3354">
        <v>59.08</v>
      </c>
      <c r="L207" s="3345"/>
      <c r="M207" s="3345"/>
      <c r="N207" s="3345"/>
      <c r="O207" s="3345"/>
    </row>
    <row r="208" spans="1:15" s="3159" customFormat="1" ht="12" customHeight="1">
      <c r="A208" s="3435"/>
      <c r="B208" s="3435" t="s">
        <v>5230</v>
      </c>
      <c r="C208" s="3336" t="s">
        <v>5218</v>
      </c>
      <c r="D208" s="3339">
        <v>141.16999999999999</v>
      </c>
      <c r="E208" s="3354">
        <v>59.51</v>
      </c>
      <c r="L208" s="3345"/>
      <c r="M208" s="3345"/>
      <c r="N208" s="3345"/>
      <c r="O208" s="3345"/>
    </row>
    <row r="209" spans="1:15" s="3159" customFormat="1" ht="12" customHeight="1">
      <c r="A209" s="3435"/>
      <c r="B209" s="3435"/>
      <c r="C209" s="3336" t="s">
        <v>5217</v>
      </c>
      <c r="D209" s="3339">
        <v>140.15</v>
      </c>
      <c r="E209" s="3354">
        <v>59.08</v>
      </c>
      <c r="L209" s="3345"/>
      <c r="M209" s="3345"/>
      <c r="N209" s="3345"/>
      <c r="O209" s="3345"/>
    </row>
    <row r="210" spans="1:15" s="3159" customFormat="1" ht="12" customHeight="1">
      <c r="A210" s="3435"/>
      <c r="B210" s="3435" t="s">
        <v>5229</v>
      </c>
      <c r="C210" s="3336" t="s">
        <v>5216</v>
      </c>
      <c r="D210" s="3335">
        <v>141.16999999999999</v>
      </c>
      <c r="E210" s="3354">
        <v>59.51</v>
      </c>
      <c r="L210" s="3345"/>
      <c r="M210" s="3345"/>
      <c r="N210" s="3345"/>
      <c r="O210" s="3345"/>
    </row>
    <row r="211" spans="1:15" s="3159" customFormat="1" ht="12" customHeight="1">
      <c r="A211" s="3435"/>
      <c r="B211" s="3435"/>
      <c r="C211" s="3336" t="s">
        <v>5215</v>
      </c>
      <c r="D211" s="3335">
        <v>140.15</v>
      </c>
      <c r="E211" s="3354">
        <v>59.08</v>
      </c>
      <c r="L211" s="3345"/>
      <c r="M211" s="3345"/>
      <c r="N211" s="3345"/>
      <c r="O211" s="3345"/>
    </row>
    <row r="212" spans="1:15" s="3159" customFormat="1" ht="12" customHeight="1">
      <c r="A212" s="3435"/>
      <c r="B212" s="3435" t="s">
        <v>5228</v>
      </c>
      <c r="C212" s="3336" t="s">
        <v>5226</v>
      </c>
      <c r="D212" s="3339">
        <v>141.16999999999999</v>
      </c>
      <c r="E212" s="3354">
        <v>59.51</v>
      </c>
      <c r="L212" s="3345"/>
      <c r="M212" s="3345"/>
      <c r="N212" s="3345"/>
      <c r="O212" s="3345"/>
    </row>
    <row r="213" spans="1:15" s="3159" customFormat="1" ht="12" customHeight="1">
      <c r="A213" s="3435"/>
      <c r="B213" s="3435"/>
      <c r="C213" s="3336" t="s">
        <v>5225</v>
      </c>
      <c r="D213" s="3335">
        <v>140.15</v>
      </c>
      <c r="E213" s="3354">
        <v>59.08</v>
      </c>
      <c r="L213" s="3345"/>
      <c r="M213" s="3345"/>
      <c r="N213" s="3345"/>
      <c r="O213" s="3345"/>
    </row>
    <row r="214" spans="1:15" s="3159" customFormat="1" ht="12" customHeight="1">
      <c r="A214" s="3435"/>
      <c r="B214" s="3435" t="s">
        <v>5227</v>
      </c>
      <c r="C214" s="3336" t="s">
        <v>5224</v>
      </c>
      <c r="D214" s="3335">
        <v>141.16999999999999</v>
      </c>
      <c r="E214" s="3354">
        <v>59.51</v>
      </c>
      <c r="F214" s="3338">
        <f>SUM(E200:E215)</f>
        <v>948.72000000000014</v>
      </c>
      <c r="G214" s="3338">
        <f>SUM(E190:E199)</f>
        <v>111.3</v>
      </c>
      <c r="L214" s="3345"/>
      <c r="M214" s="3345"/>
      <c r="N214" s="3345"/>
      <c r="O214" s="3345"/>
    </row>
    <row r="215" spans="1:15" s="3159" customFormat="1" ht="12" customHeight="1">
      <c r="A215" s="3435"/>
      <c r="B215" s="3435"/>
      <c r="C215" s="3336" t="s">
        <v>5223</v>
      </c>
      <c r="D215" s="3335">
        <v>140.15</v>
      </c>
      <c r="E215" s="3354">
        <v>59.08</v>
      </c>
      <c r="F215" s="3338">
        <f>SUM(D200:D215)</f>
        <v>2250.5600000000004</v>
      </c>
      <c r="G215" s="3338">
        <f>SUM(D190:D199)</f>
        <v>264.02000000000004</v>
      </c>
      <c r="L215" s="3345"/>
      <c r="M215" s="3345"/>
      <c r="N215" s="3345"/>
      <c r="O215" s="3345"/>
    </row>
    <row r="216" spans="1:15" s="3159" customFormat="1" ht="12" customHeight="1">
      <c r="A216" s="3440" t="s">
        <v>3464</v>
      </c>
      <c r="B216" s="3440" t="s">
        <v>4925</v>
      </c>
      <c r="C216" s="3336" t="s">
        <v>5214</v>
      </c>
      <c r="D216" s="3335">
        <v>16.09</v>
      </c>
      <c r="E216" s="3354">
        <v>6.78</v>
      </c>
      <c r="L216" s="3345"/>
      <c r="M216" s="3345"/>
      <c r="N216" s="3345"/>
      <c r="O216" s="3345"/>
    </row>
    <row r="217" spans="1:15" s="3159" customFormat="1" ht="12" customHeight="1">
      <c r="A217" s="3441"/>
      <c r="B217" s="3441"/>
      <c r="C217" s="3336" t="s">
        <v>5087</v>
      </c>
      <c r="D217" s="3335">
        <v>12.83</v>
      </c>
      <c r="E217" s="3354">
        <v>5.41</v>
      </c>
      <c r="L217" s="3345"/>
      <c r="M217" s="3345"/>
      <c r="N217" s="3345"/>
      <c r="O217" s="3345"/>
    </row>
    <row r="218" spans="1:15" s="3159" customFormat="1" ht="12" customHeight="1">
      <c r="A218" s="3441"/>
      <c r="B218" s="3441"/>
      <c r="C218" s="3336" t="s">
        <v>5213</v>
      </c>
      <c r="D218" s="3335">
        <v>32.479999999999997</v>
      </c>
      <c r="E218" s="3354">
        <v>13.69</v>
      </c>
      <c r="L218" s="3345"/>
      <c r="M218" s="3345"/>
      <c r="N218" s="3345"/>
      <c r="O218" s="3345"/>
    </row>
    <row r="219" spans="1:15" s="3159" customFormat="1" ht="12" customHeight="1">
      <c r="A219" s="3441"/>
      <c r="B219" s="3441"/>
      <c r="C219" s="3336" t="s">
        <v>5212</v>
      </c>
      <c r="D219" s="3335">
        <v>10.47</v>
      </c>
      <c r="E219" s="3354">
        <v>4.41</v>
      </c>
      <c r="L219" s="3345"/>
      <c r="M219" s="3345"/>
      <c r="N219" s="3345"/>
      <c r="O219" s="3345"/>
    </row>
    <row r="220" spans="1:15" s="3159" customFormat="1" ht="12" customHeight="1">
      <c r="A220" s="3441"/>
      <c r="B220" s="3441"/>
      <c r="C220" s="3336" t="s">
        <v>5211</v>
      </c>
      <c r="D220" s="3335">
        <v>13.82</v>
      </c>
      <c r="E220" s="3354">
        <v>5.83</v>
      </c>
      <c r="L220" s="3345"/>
      <c r="M220" s="3345"/>
      <c r="N220" s="3345"/>
      <c r="O220" s="3345"/>
    </row>
    <row r="221" spans="1:15" s="3159" customFormat="1" ht="12" customHeight="1">
      <c r="A221" s="3441"/>
      <c r="B221" s="3441"/>
      <c r="C221" s="3336" t="s">
        <v>5210</v>
      </c>
      <c r="D221" s="3335">
        <v>25.34</v>
      </c>
      <c r="E221" s="3354">
        <v>10.68</v>
      </c>
      <c r="L221" s="3345"/>
      <c r="M221" s="3345"/>
      <c r="N221" s="3345"/>
      <c r="O221" s="3345"/>
    </row>
    <row r="222" spans="1:15" s="3159" customFormat="1" ht="12" customHeight="1">
      <c r="A222" s="3441"/>
      <c r="B222" s="3441"/>
      <c r="C222" s="3336" t="s">
        <v>5209</v>
      </c>
      <c r="D222" s="3335">
        <v>27.47</v>
      </c>
      <c r="E222" s="3354">
        <v>11.58</v>
      </c>
      <c r="L222" s="3345"/>
      <c r="M222" s="3345"/>
      <c r="N222" s="3345"/>
      <c r="O222" s="3345"/>
    </row>
    <row r="223" spans="1:15" s="3159" customFormat="1" ht="12" customHeight="1">
      <c r="A223" s="3441"/>
      <c r="B223" s="3441"/>
      <c r="C223" s="3336" t="s">
        <v>5208</v>
      </c>
      <c r="D223" s="3335">
        <v>16.260000000000002</v>
      </c>
      <c r="E223" s="3354">
        <v>6.85</v>
      </c>
      <c r="L223" s="3345"/>
      <c r="M223" s="3345"/>
      <c r="N223" s="3345"/>
      <c r="O223" s="3345"/>
    </row>
    <row r="224" spans="1:15" s="3159" customFormat="1" ht="12" customHeight="1">
      <c r="A224" s="3441"/>
      <c r="B224" s="3441"/>
      <c r="C224" s="3336" t="s">
        <v>5207</v>
      </c>
      <c r="D224" s="3335">
        <v>16.18</v>
      </c>
      <c r="E224" s="3354">
        <v>6.82</v>
      </c>
      <c r="L224" s="3345"/>
      <c r="M224" s="3345"/>
      <c r="N224" s="3345"/>
      <c r="O224" s="3345"/>
    </row>
    <row r="225" spans="1:15" s="3159" customFormat="1" ht="12" customHeight="1">
      <c r="A225" s="3441"/>
      <c r="B225" s="3441"/>
      <c r="C225" s="3336" t="s">
        <v>5206</v>
      </c>
      <c r="D225" s="3335">
        <v>38.44</v>
      </c>
      <c r="E225" s="3354">
        <v>16.2</v>
      </c>
      <c r="L225" s="3345"/>
      <c r="M225" s="3345"/>
      <c r="N225" s="3345"/>
      <c r="O225" s="3345"/>
    </row>
    <row r="226" spans="1:15" s="3159" customFormat="1" ht="12" customHeight="1">
      <c r="A226" s="3441"/>
      <c r="B226" s="3441"/>
      <c r="C226" s="3336" t="s">
        <v>5205</v>
      </c>
      <c r="D226" s="3335">
        <v>12.62</v>
      </c>
      <c r="E226" s="3354">
        <v>5.32</v>
      </c>
      <c r="L226" s="3345"/>
      <c r="M226" s="3345"/>
      <c r="N226" s="3345"/>
      <c r="O226" s="3345"/>
    </row>
    <row r="227" spans="1:15" s="3159" customFormat="1" ht="12" customHeight="1">
      <c r="A227" s="3441"/>
      <c r="B227" s="3442"/>
      <c r="C227" s="3336" t="s">
        <v>5204</v>
      </c>
      <c r="D227" s="3335">
        <v>16.28</v>
      </c>
      <c r="E227" s="3354">
        <v>6.86</v>
      </c>
      <c r="L227" s="3345"/>
      <c r="M227" s="3345"/>
      <c r="N227" s="3345"/>
      <c r="O227" s="3345"/>
    </row>
    <row r="228" spans="1:15" s="3159" customFormat="1" ht="12" customHeight="1">
      <c r="A228" s="3441"/>
      <c r="B228" s="3435" t="s">
        <v>5191</v>
      </c>
      <c r="C228" s="3336" t="s">
        <v>5089</v>
      </c>
      <c r="D228" s="3335">
        <v>115.15</v>
      </c>
      <c r="E228" s="3354">
        <v>48.54</v>
      </c>
      <c r="L228" s="3345"/>
      <c r="M228" s="3345"/>
      <c r="N228" s="3345"/>
      <c r="O228" s="3345"/>
    </row>
    <row r="229" spans="1:15" s="3159" customFormat="1" ht="12" customHeight="1">
      <c r="A229" s="3441"/>
      <c r="B229" s="3435"/>
      <c r="C229" s="3336" t="s">
        <v>5088</v>
      </c>
      <c r="D229" s="3335">
        <v>131.75</v>
      </c>
      <c r="E229" s="3354">
        <v>55.54</v>
      </c>
      <c r="L229" s="3345"/>
      <c r="M229" s="3345"/>
      <c r="N229" s="3345"/>
      <c r="O229" s="3345"/>
    </row>
    <row r="230" spans="1:15" s="3159" customFormat="1" ht="12" customHeight="1">
      <c r="A230" s="3441"/>
      <c r="B230" s="3435" t="s">
        <v>5190</v>
      </c>
      <c r="C230" s="3336" t="s">
        <v>4988</v>
      </c>
      <c r="D230" s="3335">
        <v>115.15</v>
      </c>
      <c r="E230" s="3354">
        <v>48.54</v>
      </c>
      <c r="L230" s="3345"/>
      <c r="M230" s="3345"/>
      <c r="N230" s="3345"/>
      <c r="O230" s="3345"/>
    </row>
    <row r="231" spans="1:15" s="3159" customFormat="1" ht="12" customHeight="1">
      <c r="A231" s="3441"/>
      <c r="B231" s="3435"/>
      <c r="C231" s="3336" t="s">
        <v>4987</v>
      </c>
      <c r="D231" s="3335">
        <v>131.75</v>
      </c>
      <c r="E231" s="3354">
        <v>55.54</v>
      </c>
      <c r="L231" s="3345"/>
      <c r="M231" s="3345"/>
      <c r="N231" s="3345"/>
      <c r="O231" s="3345"/>
    </row>
    <row r="232" spans="1:15" s="3159" customFormat="1" ht="12" customHeight="1">
      <c r="A232" s="3441"/>
      <c r="B232" s="3435" t="s">
        <v>5233</v>
      </c>
      <c r="C232" s="3336" t="s">
        <v>4887</v>
      </c>
      <c r="D232" s="3335">
        <v>115.15</v>
      </c>
      <c r="E232" s="3354">
        <v>48.54</v>
      </c>
      <c r="L232" s="3345"/>
      <c r="M232" s="3345"/>
      <c r="N232" s="3345"/>
      <c r="O232" s="3345"/>
    </row>
    <row r="233" spans="1:15" s="3159" customFormat="1" ht="12" customHeight="1">
      <c r="A233" s="3441"/>
      <c r="B233" s="3435"/>
      <c r="C233" s="3336" t="s">
        <v>4886</v>
      </c>
      <c r="D233" s="3335">
        <v>131.75</v>
      </c>
      <c r="E233" s="3354">
        <v>55.54</v>
      </c>
      <c r="L233" s="3345"/>
      <c r="M233" s="3345"/>
      <c r="N233" s="3345"/>
      <c r="O233" s="3345"/>
    </row>
    <row r="234" spans="1:15" s="3159" customFormat="1" ht="12" customHeight="1">
      <c r="A234" s="3441"/>
      <c r="B234" s="3435" t="s">
        <v>5231</v>
      </c>
      <c r="C234" s="3336" t="s">
        <v>5220</v>
      </c>
      <c r="D234" s="3335">
        <v>115.15</v>
      </c>
      <c r="E234" s="3354">
        <v>48.54</v>
      </c>
      <c r="L234" s="3345"/>
      <c r="M234" s="3345"/>
      <c r="N234" s="3345"/>
      <c r="O234" s="3345"/>
    </row>
    <row r="235" spans="1:15" s="3159" customFormat="1" ht="12" customHeight="1">
      <c r="A235" s="3441"/>
      <c r="B235" s="3435"/>
      <c r="C235" s="3336" t="s">
        <v>5219</v>
      </c>
      <c r="D235" s="3335">
        <v>131.75</v>
      </c>
      <c r="E235" s="3354">
        <v>55.54</v>
      </c>
      <c r="L235" s="3345"/>
      <c r="M235" s="3345"/>
      <c r="N235" s="3345"/>
      <c r="O235" s="3345"/>
    </row>
    <row r="236" spans="1:15" s="3159" customFormat="1" ht="12" customHeight="1">
      <c r="A236" s="3441"/>
      <c r="B236" s="3435" t="s">
        <v>5230</v>
      </c>
      <c r="C236" s="3336" t="s">
        <v>5218</v>
      </c>
      <c r="D236" s="3335">
        <v>115.15</v>
      </c>
      <c r="E236" s="3354">
        <v>48.54</v>
      </c>
      <c r="L236" s="3345"/>
      <c r="M236" s="3345"/>
      <c r="N236" s="3345"/>
      <c r="O236" s="3345"/>
    </row>
    <row r="237" spans="1:15" s="3159" customFormat="1" ht="12" customHeight="1">
      <c r="A237" s="3441"/>
      <c r="B237" s="3435"/>
      <c r="C237" s="3336" t="s">
        <v>5217</v>
      </c>
      <c r="D237" s="3339">
        <v>131.75</v>
      </c>
      <c r="E237" s="3354">
        <v>55.54</v>
      </c>
      <c r="L237" s="3345"/>
      <c r="M237" s="3345"/>
      <c r="N237" s="3345"/>
      <c r="O237" s="3345"/>
    </row>
    <row r="238" spans="1:15" s="3159" customFormat="1" ht="12" customHeight="1">
      <c r="A238" s="3441"/>
      <c r="B238" s="3435" t="s">
        <v>5229</v>
      </c>
      <c r="C238" s="3336" t="s">
        <v>5216</v>
      </c>
      <c r="D238" s="3335">
        <v>115.15</v>
      </c>
      <c r="E238" s="3354">
        <v>48.54</v>
      </c>
      <c r="L238" s="3345"/>
      <c r="M238" s="3345"/>
      <c r="N238" s="3345"/>
      <c r="O238" s="3345"/>
    </row>
    <row r="239" spans="1:15" s="3159" customFormat="1" ht="12" customHeight="1">
      <c r="A239" s="3441"/>
      <c r="B239" s="3435"/>
      <c r="C239" s="3336" t="s">
        <v>5215</v>
      </c>
      <c r="D239" s="3339">
        <v>131.75</v>
      </c>
      <c r="E239" s="3354">
        <v>55.54</v>
      </c>
      <c r="L239" s="3345"/>
      <c r="M239" s="3345"/>
      <c r="N239" s="3345"/>
      <c r="O239" s="3345"/>
    </row>
    <row r="240" spans="1:15" s="3159" customFormat="1" ht="12" customHeight="1">
      <c r="A240" s="3441"/>
      <c r="B240" s="3435" t="s">
        <v>5228</v>
      </c>
      <c r="C240" s="3336" t="s">
        <v>5226</v>
      </c>
      <c r="D240" s="3335">
        <v>115.15</v>
      </c>
      <c r="E240" s="3354">
        <v>48.54</v>
      </c>
      <c r="L240" s="3345"/>
      <c r="M240" s="3345"/>
      <c r="N240" s="3345"/>
      <c r="O240" s="3345"/>
    </row>
    <row r="241" spans="1:15" s="3159" customFormat="1" ht="12" customHeight="1">
      <c r="A241" s="3441"/>
      <c r="B241" s="3435"/>
      <c r="C241" s="3336" t="s">
        <v>5225</v>
      </c>
      <c r="D241" s="3339">
        <v>131.75</v>
      </c>
      <c r="E241" s="3354">
        <v>55.54</v>
      </c>
      <c r="L241" s="3345"/>
      <c r="M241" s="3345"/>
      <c r="N241" s="3345"/>
      <c r="O241" s="3345"/>
    </row>
    <row r="242" spans="1:15" s="3159" customFormat="1" ht="12" customHeight="1">
      <c r="A242" s="3441"/>
      <c r="B242" s="3435" t="s">
        <v>5227</v>
      </c>
      <c r="C242" s="3336" t="s">
        <v>5224</v>
      </c>
      <c r="D242" s="3335">
        <v>115.15</v>
      </c>
      <c r="E242" s="3354">
        <v>48.54</v>
      </c>
      <c r="F242" s="3338">
        <f>SUM(E228:E243)</f>
        <v>832.63999999999987</v>
      </c>
      <c r="G242" s="3338">
        <f>SUM(E216:E227)</f>
        <v>100.43000000000002</v>
      </c>
      <c r="L242" s="3345"/>
      <c r="M242" s="3345"/>
      <c r="N242" s="3345"/>
      <c r="O242" s="3345"/>
    </row>
    <row r="243" spans="1:15" s="3159" customFormat="1" ht="12" customHeight="1">
      <c r="A243" s="3442"/>
      <c r="B243" s="3435"/>
      <c r="C243" s="3336" t="s">
        <v>5223</v>
      </c>
      <c r="D243" s="3339">
        <v>131.75</v>
      </c>
      <c r="E243" s="3354">
        <v>55.54</v>
      </c>
      <c r="F243" s="3338">
        <f>SUM(D228:D243)</f>
        <v>1975.2000000000003</v>
      </c>
      <c r="G243" s="3338">
        <f>SUM(D216:D227)</f>
        <v>238.28</v>
      </c>
      <c r="L243" s="3345"/>
      <c r="M243" s="3345"/>
      <c r="N243" s="3345"/>
      <c r="O243" s="3345"/>
    </row>
    <row r="244" spans="1:15" s="3159" customFormat="1" ht="12" customHeight="1">
      <c r="A244" s="3435" t="s">
        <v>3467</v>
      </c>
      <c r="B244" s="3435" t="s">
        <v>5222</v>
      </c>
      <c r="C244" s="3336" t="s">
        <v>5089</v>
      </c>
      <c r="D244" s="3335">
        <v>134.37</v>
      </c>
      <c r="E244" s="3354">
        <v>56.64</v>
      </c>
      <c r="L244" s="3345"/>
      <c r="M244" s="3345"/>
      <c r="N244" s="3345"/>
      <c r="O244" s="3345"/>
    </row>
    <row r="245" spans="1:15" s="3159" customFormat="1" ht="12" customHeight="1">
      <c r="A245" s="3435"/>
      <c r="B245" s="3435"/>
      <c r="C245" s="3336" t="s">
        <v>5088</v>
      </c>
      <c r="D245" s="3335">
        <v>109.95</v>
      </c>
      <c r="E245" s="3354">
        <v>46.35</v>
      </c>
      <c r="L245" s="3345"/>
      <c r="M245" s="3345"/>
      <c r="N245" s="3345"/>
      <c r="O245" s="3345"/>
    </row>
    <row r="246" spans="1:15" s="3159" customFormat="1" ht="12" customHeight="1">
      <c r="A246" s="3435"/>
      <c r="B246" s="3435"/>
      <c r="C246" s="3336" t="s">
        <v>4988</v>
      </c>
      <c r="D246" s="3335">
        <v>134.37</v>
      </c>
      <c r="E246" s="3354">
        <v>56.64</v>
      </c>
      <c r="L246" s="3345"/>
      <c r="M246" s="3345"/>
      <c r="N246" s="3345"/>
      <c r="O246" s="3345"/>
    </row>
    <row r="247" spans="1:15" s="3159" customFormat="1" ht="12" customHeight="1">
      <c r="A247" s="3435"/>
      <c r="B247" s="3435"/>
      <c r="C247" s="3336" t="s">
        <v>4987</v>
      </c>
      <c r="D247" s="3335">
        <v>109.95</v>
      </c>
      <c r="E247" s="3354">
        <v>46.35</v>
      </c>
      <c r="L247" s="3345"/>
      <c r="M247" s="3345"/>
      <c r="N247" s="3345"/>
      <c r="O247" s="3345"/>
    </row>
    <row r="248" spans="1:15" s="3159" customFormat="1" ht="12" customHeight="1">
      <c r="A248" s="3435"/>
      <c r="B248" s="3435"/>
      <c r="C248" s="3336" t="s">
        <v>4887</v>
      </c>
      <c r="D248" s="3335">
        <v>134.37</v>
      </c>
      <c r="E248" s="3354">
        <v>56.64</v>
      </c>
      <c r="L248" s="3345"/>
      <c r="M248" s="3345"/>
      <c r="N248" s="3345"/>
      <c r="O248" s="3345"/>
    </row>
    <row r="249" spans="1:15" s="3159" customFormat="1" ht="12" customHeight="1">
      <c r="A249" s="3435"/>
      <c r="B249" s="3435"/>
      <c r="C249" s="3336" t="s">
        <v>4886</v>
      </c>
      <c r="D249" s="3339">
        <v>109.97</v>
      </c>
      <c r="E249" s="3354">
        <v>46.36</v>
      </c>
      <c r="L249" s="3345"/>
      <c r="M249" s="3345"/>
      <c r="N249" s="3345"/>
      <c r="O249" s="3345"/>
    </row>
    <row r="250" spans="1:15" s="3159" customFormat="1" ht="12" customHeight="1">
      <c r="A250" s="3435"/>
      <c r="B250" s="3435"/>
      <c r="C250" s="3336" t="s">
        <v>5220</v>
      </c>
      <c r="D250" s="3335">
        <v>134.37</v>
      </c>
      <c r="E250" s="3354">
        <v>56.64</v>
      </c>
      <c r="L250" s="3345"/>
      <c r="M250" s="3345"/>
      <c r="N250" s="3345"/>
      <c r="O250" s="3345"/>
    </row>
    <row r="251" spans="1:15" s="3159" customFormat="1" ht="12" customHeight="1">
      <c r="A251" s="3435"/>
      <c r="B251" s="3435"/>
      <c r="C251" s="3336" t="s">
        <v>5219</v>
      </c>
      <c r="D251" s="3339">
        <v>109.97</v>
      </c>
      <c r="E251" s="3354">
        <v>46.36</v>
      </c>
      <c r="L251" s="3345"/>
      <c r="M251" s="3345"/>
      <c r="N251" s="3345"/>
      <c r="O251" s="3345"/>
    </row>
    <row r="252" spans="1:15" s="3159" customFormat="1" ht="12" customHeight="1">
      <c r="A252" s="3435"/>
      <c r="B252" s="3435"/>
      <c r="C252" s="3336" t="s">
        <v>5218</v>
      </c>
      <c r="D252" s="3335">
        <v>134.37</v>
      </c>
      <c r="E252" s="3354">
        <v>56.64</v>
      </c>
      <c r="L252" s="3345"/>
      <c r="M252" s="3345"/>
      <c r="N252" s="3345"/>
      <c r="O252" s="3345"/>
    </row>
    <row r="253" spans="1:15" s="3159" customFormat="1" ht="12" customHeight="1">
      <c r="A253" s="3435"/>
      <c r="B253" s="3435"/>
      <c r="C253" s="3336" t="s">
        <v>5217</v>
      </c>
      <c r="D253" s="3339">
        <v>109.97</v>
      </c>
      <c r="E253" s="3354">
        <v>46.36</v>
      </c>
      <c r="L253" s="3345"/>
      <c r="M253" s="3345"/>
      <c r="N253" s="3345"/>
      <c r="O253" s="3345"/>
    </row>
    <row r="254" spans="1:15" s="3159" customFormat="1" ht="12" customHeight="1">
      <c r="A254" s="3435"/>
      <c r="B254" s="3435"/>
      <c r="C254" s="3336" t="s">
        <v>5216</v>
      </c>
      <c r="D254" s="3339">
        <v>134.37</v>
      </c>
      <c r="E254" s="3354">
        <v>56.64</v>
      </c>
      <c r="L254" s="3345"/>
      <c r="M254" s="3345"/>
      <c r="N254" s="3345"/>
      <c r="O254" s="3345"/>
    </row>
    <row r="255" spans="1:15" s="3159" customFormat="1" ht="12" customHeight="1">
      <c r="A255" s="3435"/>
      <c r="B255" s="3435"/>
      <c r="C255" s="3336" t="s">
        <v>5215</v>
      </c>
      <c r="D255" s="3335">
        <v>109.97</v>
      </c>
      <c r="E255" s="3354">
        <v>46.36</v>
      </c>
      <c r="L255" s="3345"/>
      <c r="M255" s="3345"/>
      <c r="N255" s="3345"/>
      <c r="O255" s="3345"/>
    </row>
    <row r="256" spans="1:15" s="3159" customFormat="1" ht="12" customHeight="1">
      <c r="A256" s="3435"/>
      <c r="B256" s="3435"/>
      <c r="C256" s="3336" t="s">
        <v>5226</v>
      </c>
      <c r="D256" s="3335">
        <v>134.37</v>
      </c>
      <c r="E256" s="3354">
        <v>56.64</v>
      </c>
      <c r="L256" s="3345"/>
      <c r="M256" s="3345"/>
      <c r="N256" s="3345"/>
      <c r="O256" s="3345"/>
    </row>
    <row r="257" spans="1:15" s="3159" customFormat="1" ht="12" customHeight="1">
      <c r="A257" s="3435"/>
      <c r="B257" s="3435"/>
      <c r="C257" s="3336" t="s">
        <v>5225</v>
      </c>
      <c r="D257" s="3339">
        <v>109.97</v>
      </c>
      <c r="E257" s="3354">
        <v>46.36</v>
      </c>
      <c r="L257" s="3345"/>
      <c r="M257" s="3345"/>
      <c r="N257" s="3345"/>
      <c r="O257" s="3345"/>
    </row>
    <row r="258" spans="1:15" s="3159" customFormat="1" ht="12" customHeight="1">
      <c r="A258" s="3435"/>
      <c r="B258" s="3435"/>
      <c r="C258" s="3336" t="s">
        <v>5224</v>
      </c>
      <c r="D258" s="3335">
        <v>134.37</v>
      </c>
      <c r="E258" s="3354">
        <v>56.64</v>
      </c>
      <c r="L258" s="3345"/>
      <c r="M258" s="3345"/>
      <c r="N258" s="3345"/>
      <c r="O258" s="3345"/>
    </row>
    <row r="259" spans="1:15" s="3159" customFormat="1" ht="12" customHeight="1">
      <c r="A259" s="3435"/>
      <c r="B259" s="3435"/>
      <c r="C259" s="3336" t="s">
        <v>5223</v>
      </c>
      <c r="D259" s="3335">
        <v>109.97</v>
      </c>
      <c r="E259" s="3354">
        <v>46.36</v>
      </c>
      <c r="L259" s="3345"/>
      <c r="M259" s="3345"/>
      <c r="N259" s="3345"/>
      <c r="O259" s="3345"/>
    </row>
    <row r="260" spans="1:15" s="3159" customFormat="1" ht="12" customHeight="1">
      <c r="A260" s="3435"/>
      <c r="B260" s="3435" t="s">
        <v>5221</v>
      </c>
      <c r="C260" s="3336" t="s">
        <v>5089</v>
      </c>
      <c r="D260" s="3335">
        <v>110.17</v>
      </c>
      <c r="E260" s="3354">
        <v>46.44</v>
      </c>
      <c r="L260" s="3345"/>
      <c r="M260" s="3345"/>
      <c r="N260" s="3345"/>
      <c r="O260" s="3345"/>
    </row>
    <row r="261" spans="1:15" s="3159" customFormat="1" ht="12" customHeight="1">
      <c r="A261" s="3435"/>
      <c r="B261" s="3435"/>
      <c r="C261" s="3336" t="s">
        <v>5088</v>
      </c>
      <c r="D261" s="3335">
        <v>114.3</v>
      </c>
      <c r="E261" s="3354">
        <v>48.18</v>
      </c>
      <c r="L261" s="3345"/>
      <c r="M261" s="3345"/>
      <c r="N261" s="3345"/>
      <c r="O261" s="3345"/>
    </row>
    <row r="262" spans="1:15" s="3159" customFormat="1" ht="12" customHeight="1">
      <c r="A262" s="3435"/>
      <c r="B262" s="3435"/>
      <c r="C262" s="3336" t="s">
        <v>4988</v>
      </c>
      <c r="D262" s="3339">
        <v>110.17</v>
      </c>
      <c r="E262" s="3354">
        <v>46.44</v>
      </c>
      <c r="L262" s="3345"/>
      <c r="M262" s="3345"/>
      <c r="N262" s="3345"/>
      <c r="O262" s="3345"/>
    </row>
    <row r="263" spans="1:15" s="3159" customFormat="1" ht="12" customHeight="1">
      <c r="A263" s="3435"/>
      <c r="B263" s="3435"/>
      <c r="C263" s="3336" t="s">
        <v>4987</v>
      </c>
      <c r="D263" s="3335">
        <v>114.3</v>
      </c>
      <c r="E263" s="3354">
        <v>48.18</v>
      </c>
      <c r="L263" s="3345"/>
      <c r="M263" s="3345"/>
      <c r="N263" s="3345"/>
      <c r="O263" s="3345"/>
    </row>
    <row r="264" spans="1:15" s="3159" customFormat="1" ht="12" customHeight="1">
      <c r="A264" s="3435"/>
      <c r="B264" s="3435"/>
      <c r="C264" s="3336" t="s">
        <v>4887</v>
      </c>
      <c r="D264" s="3339">
        <v>110.17</v>
      </c>
      <c r="E264" s="3354">
        <v>46.44</v>
      </c>
      <c r="L264" s="3345"/>
      <c r="M264" s="3345"/>
      <c r="N264" s="3345"/>
      <c r="O264" s="3345"/>
    </row>
    <row r="265" spans="1:15" s="3159" customFormat="1" ht="12" customHeight="1">
      <c r="A265" s="3435"/>
      <c r="B265" s="3435"/>
      <c r="C265" s="3336" t="s">
        <v>4886</v>
      </c>
      <c r="D265" s="3339">
        <v>114.3</v>
      </c>
      <c r="E265" s="3354">
        <v>48.18</v>
      </c>
      <c r="L265" s="3345"/>
      <c r="M265" s="3345"/>
      <c r="N265" s="3345"/>
      <c r="O265" s="3345"/>
    </row>
    <row r="266" spans="1:15" s="3159" customFormat="1" ht="12" customHeight="1">
      <c r="A266" s="3435"/>
      <c r="B266" s="3435"/>
      <c r="C266" s="3336" t="s">
        <v>5220</v>
      </c>
      <c r="D266" s="3339">
        <v>110.17</v>
      </c>
      <c r="E266" s="3354">
        <v>46.44</v>
      </c>
      <c r="L266" s="3345"/>
      <c r="M266" s="3345"/>
      <c r="N266" s="3345"/>
      <c r="O266" s="3345"/>
    </row>
    <row r="267" spans="1:15" s="3159" customFormat="1" ht="12" customHeight="1">
      <c r="A267" s="3435"/>
      <c r="B267" s="3435"/>
      <c r="C267" s="3336" t="s">
        <v>5219</v>
      </c>
      <c r="D267" s="3339">
        <v>114.3</v>
      </c>
      <c r="E267" s="3354">
        <v>48.18</v>
      </c>
      <c r="L267" s="3345"/>
      <c r="M267" s="3345"/>
      <c r="N267" s="3345"/>
      <c r="O267" s="3345"/>
    </row>
    <row r="268" spans="1:15" s="3159" customFormat="1" ht="12" customHeight="1">
      <c r="A268" s="3435"/>
      <c r="B268" s="3435"/>
      <c r="C268" s="3336" t="s">
        <v>5218</v>
      </c>
      <c r="D268" s="3339">
        <v>110.17</v>
      </c>
      <c r="E268" s="3354">
        <v>46.44</v>
      </c>
      <c r="L268" s="3345"/>
      <c r="M268" s="3345"/>
      <c r="N268" s="3345"/>
      <c r="O268" s="3345"/>
    </row>
    <row r="269" spans="1:15" s="3159" customFormat="1" ht="12" customHeight="1">
      <c r="A269" s="3435"/>
      <c r="B269" s="3435"/>
      <c r="C269" s="3336" t="s">
        <v>5217</v>
      </c>
      <c r="D269" s="3339">
        <v>114.3</v>
      </c>
      <c r="E269" s="3354">
        <v>48.18</v>
      </c>
      <c r="L269" s="3345"/>
      <c r="M269" s="3345"/>
      <c r="N269" s="3345"/>
      <c r="O269" s="3345"/>
    </row>
    <row r="270" spans="1:15" s="3159" customFormat="1" ht="12" customHeight="1">
      <c r="A270" s="3435"/>
      <c r="B270" s="3435"/>
      <c r="C270" s="3336" t="s">
        <v>5216</v>
      </c>
      <c r="D270" s="3339">
        <v>110.17</v>
      </c>
      <c r="E270" s="3354">
        <v>46.44</v>
      </c>
      <c r="L270" s="3345"/>
      <c r="M270" s="3345"/>
      <c r="N270" s="3345"/>
      <c r="O270" s="3345"/>
    </row>
    <row r="271" spans="1:15" s="3159" customFormat="1" ht="12" customHeight="1">
      <c r="A271" s="3435"/>
      <c r="B271" s="3435"/>
      <c r="C271" s="3336" t="s">
        <v>5215</v>
      </c>
      <c r="D271" s="3339">
        <v>114.3</v>
      </c>
      <c r="E271" s="3354">
        <v>48.18</v>
      </c>
      <c r="L271" s="3345"/>
      <c r="M271" s="3345"/>
      <c r="N271" s="3345"/>
      <c r="O271" s="3345"/>
    </row>
    <row r="272" spans="1:15" s="3159" customFormat="1" ht="12" customHeight="1">
      <c r="A272" s="3435"/>
      <c r="B272" s="3435"/>
      <c r="C272" s="3336" t="s">
        <v>5226</v>
      </c>
      <c r="D272" s="3339">
        <v>110.17</v>
      </c>
      <c r="E272" s="3354">
        <v>46.44</v>
      </c>
      <c r="L272" s="3345"/>
      <c r="M272" s="3345"/>
      <c r="N272" s="3345"/>
      <c r="O272" s="3345"/>
    </row>
    <row r="273" spans="1:15" s="3159" customFormat="1" ht="12" customHeight="1">
      <c r="A273" s="3435"/>
      <c r="B273" s="3435"/>
      <c r="C273" s="3336" t="s">
        <v>5225</v>
      </c>
      <c r="D273" s="3339">
        <v>114.3</v>
      </c>
      <c r="E273" s="3354">
        <v>48.18</v>
      </c>
      <c r="L273" s="3345"/>
      <c r="M273" s="3345"/>
      <c r="N273" s="3345"/>
      <c r="O273" s="3345"/>
    </row>
    <row r="274" spans="1:15" s="3159" customFormat="1" ht="12" customHeight="1">
      <c r="A274" s="3435"/>
      <c r="B274" s="3435"/>
      <c r="C274" s="3336" t="s">
        <v>5224</v>
      </c>
      <c r="D274" s="3339">
        <v>110.17</v>
      </c>
      <c r="E274" s="3354">
        <v>46.44</v>
      </c>
      <c r="L274" s="3345"/>
      <c r="M274" s="3345"/>
      <c r="N274" s="3345"/>
      <c r="O274" s="3345"/>
    </row>
    <row r="275" spans="1:15" s="3159" customFormat="1" ht="12" customHeight="1">
      <c r="A275" s="3435"/>
      <c r="B275" s="3435"/>
      <c r="C275" s="3336" t="s">
        <v>5223</v>
      </c>
      <c r="D275" s="3335">
        <v>114.3</v>
      </c>
      <c r="E275" s="3354">
        <v>48.18</v>
      </c>
      <c r="L275" s="3345"/>
      <c r="M275" s="3345"/>
      <c r="N275" s="3345"/>
      <c r="O275" s="3345"/>
    </row>
    <row r="276" spans="1:15" s="3159" customFormat="1" ht="12" customHeight="1">
      <c r="A276" s="3435"/>
      <c r="B276" s="3435" t="s">
        <v>4925</v>
      </c>
      <c r="C276" s="3336" t="s">
        <v>5214</v>
      </c>
      <c r="D276" s="3335">
        <v>11.11</v>
      </c>
      <c r="E276" s="3354">
        <v>4.68</v>
      </c>
      <c r="L276" s="3345"/>
      <c r="M276" s="3345"/>
      <c r="N276" s="3345"/>
      <c r="O276" s="3345"/>
    </row>
    <row r="277" spans="1:15" s="3159" customFormat="1" ht="12" customHeight="1">
      <c r="A277" s="3435"/>
      <c r="B277" s="3435"/>
      <c r="C277" s="3336" t="s">
        <v>5087</v>
      </c>
      <c r="D277" s="3335">
        <v>3.9</v>
      </c>
      <c r="E277" s="3354">
        <v>1.64</v>
      </c>
      <c r="L277" s="3345"/>
      <c r="M277" s="3345"/>
      <c r="N277" s="3345"/>
      <c r="O277" s="3345"/>
    </row>
    <row r="278" spans="1:15" s="3159" customFormat="1" ht="12" customHeight="1">
      <c r="A278" s="3435"/>
      <c r="B278" s="3435"/>
      <c r="C278" s="3336" t="s">
        <v>5213</v>
      </c>
      <c r="D278" s="3335">
        <v>5.85</v>
      </c>
      <c r="E278" s="3354">
        <v>2.4700000000000002</v>
      </c>
      <c r="F278" s="3338">
        <f>SUM(E244:E275)</f>
        <v>1580.9400000000005</v>
      </c>
      <c r="G278" s="3338">
        <f>SUM(E276:E279)</f>
        <v>11.069999999999999</v>
      </c>
      <c r="L278" s="3345"/>
      <c r="M278" s="3345"/>
      <c r="N278" s="3345"/>
      <c r="O278" s="3345"/>
    </row>
    <row r="279" spans="1:15" s="3159" customFormat="1" ht="12" customHeight="1">
      <c r="A279" s="3435"/>
      <c r="B279" s="3435"/>
      <c r="C279" s="3336" t="s">
        <v>5212</v>
      </c>
      <c r="D279" s="3335">
        <v>5.4</v>
      </c>
      <c r="E279" s="3354">
        <v>2.2799999999999998</v>
      </c>
      <c r="F279" s="3338">
        <f>SUM(D244:D275)</f>
        <v>3750.4400000000023</v>
      </c>
      <c r="G279" s="3338">
        <f>SUM(D276:D279)</f>
        <v>26.259999999999998</v>
      </c>
      <c r="L279" s="3345"/>
      <c r="M279" s="3345"/>
      <c r="N279" s="3345"/>
      <c r="O279" s="3345"/>
    </row>
    <row r="280" spans="1:15" s="3159" customFormat="1" ht="12" customHeight="1">
      <c r="A280" s="3440" t="s">
        <v>3470</v>
      </c>
      <c r="B280" s="3440" t="s">
        <v>5222</v>
      </c>
      <c r="C280" s="3336" t="s">
        <v>5089</v>
      </c>
      <c r="D280" s="3335">
        <v>114.18</v>
      </c>
      <c r="E280" s="3354">
        <v>48.13</v>
      </c>
      <c r="L280" s="3345"/>
      <c r="M280" s="3345"/>
      <c r="N280" s="3345"/>
      <c r="O280" s="3345"/>
    </row>
    <row r="281" spans="1:15" s="3159" customFormat="1" ht="12" customHeight="1">
      <c r="A281" s="3441"/>
      <c r="B281" s="3441"/>
      <c r="C281" s="3336" t="s">
        <v>5088</v>
      </c>
      <c r="D281" s="3335">
        <v>110.06</v>
      </c>
      <c r="E281" s="3354">
        <v>46.39</v>
      </c>
      <c r="L281" s="3345"/>
      <c r="M281" s="3345"/>
      <c r="N281" s="3345"/>
      <c r="O281" s="3345"/>
    </row>
    <row r="282" spans="1:15" s="3159" customFormat="1" ht="12" customHeight="1">
      <c r="A282" s="3441"/>
      <c r="B282" s="3441"/>
      <c r="C282" s="3336" t="s">
        <v>4988</v>
      </c>
      <c r="D282" s="3335">
        <v>114.18</v>
      </c>
      <c r="E282" s="3354">
        <v>48.13</v>
      </c>
      <c r="L282" s="3345"/>
      <c r="M282" s="3345"/>
      <c r="N282" s="3345"/>
      <c r="O282" s="3345"/>
    </row>
    <row r="283" spans="1:15" s="3159" customFormat="1" ht="12" customHeight="1">
      <c r="A283" s="3441"/>
      <c r="B283" s="3441"/>
      <c r="C283" s="3336" t="s">
        <v>4987</v>
      </c>
      <c r="D283" s="3335">
        <v>110.06</v>
      </c>
      <c r="E283" s="3354">
        <v>46.39</v>
      </c>
      <c r="L283" s="3345"/>
      <c r="M283" s="3345"/>
      <c r="N283" s="3345"/>
      <c r="O283" s="3345"/>
    </row>
    <row r="284" spans="1:15" s="3159" customFormat="1" ht="12" customHeight="1">
      <c r="A284" s="3441"/>
      <c r="B284" s="3441"/>
      <c r="C284" s="3336" t="s">
        <v>4887</v>
      </c>
      <c r="D284" s="3335">
        <v>114.18</v>
      </c>
      <c r="E284" s="3354">
        <v>48.13</v>
      </c>
      <c r="L284" s="3345"/>
      <c r="M284" s="3345"/>
      <c r="N284" s="3345"/>
      <c r="O284" s="3345"/>
    </row>
    <row r="285" spans="1:15" s="3159" customFormat="1" ht="12" customHeight="1">
      <c r="A285" s="3441"/>
      <c r="B285" s="3441"/>
      <c r="C285" s="3336" t="s">
        <v>4886</v>
      </c>
      <c r="D285" s="3335">
        <v>110.06</v>
      </c>
      <c r="E285" s="3354">
        <v>46.39</v>
      </c>
      <c r="L285" s="3345"/>
      <c r="M285" s="3345"/>
      <c r="N285" s="3345"/>
      <c r="O285" s="3345"/>
    </row>
    <row r="286" spans="1:15" s="3159" customFormat="1" ht="12" customHeight="1">
      <c r="A286" s="3441"/>
      <c r="B286" s="3441"/>
      <c r="C286" s="3336" t="s">
        <v>5220</v>
      </c>
      <c r="D286" s="3335">
        <v>114.18</v>
      </c>
      <c r="E286" s="3354">
        <v>48.13</v>
      </c>
      <c r="L286" s="3345"/>
      <c r="M286" s="3345"/>
      <c r="N286" s="3345"/>
      <c r="O286" s="3345"/>
    </row>
    <row r="287" spans="1:15" s="3159" customFormat="1" ht="12" customHeight="1">
      <c r="A287" s="3441"/>
      <c r="B287" s="3441"/>
      <c r="C287" s="3336" t="s">
        <v>5219</v>
      </c>
      <c r="D287" s="3335">
        <v>110.06</v>
      </c>
      <c r="E287" s="3354">
        <v>46.39</v>
      </c>
      <c r="L287" s="3345"/>
      <c r="M287" s="3345"/>
      <c r="N287" s="3345"/>
      <c r="O287" s="3345"/>
    </row>
    <row r="288" spans="1:15" s="3159" customFormat="1" ht="12" customHeight="1">
      <c r="A288" s="3441"/>
      <c r="B288" s="3441"/>
      <c r="C288" s="3336" t="s">
        <v>5218</v>
      </c>
      <c r="D288" s="3339">
        <v>114.18</v>
      </c>
      <c r="E288" s="3354">
        <v>48.13</v>
      </c>
      <c r="L288" s="3345"/>
      <c r="M288" s="3345"/>
      <c r="N288" s="3345"/>
      <c r="O288" s="3345"/>
    </row>
    <row r="289" spans="1:15" s="3159" customFormat="1" ht="12" customHeight="1">
      <c r="A289" s="3441"/>
      <c r="B289" s="3441"/>
      <c r="C289" s="3336" t="s">
        <v>5217</v>
      </c>
      <c r="D289" s="3339">
        <v>110.06</v>
      </c>
      <c r="E289" s="3354">
        <v>46.39</v>
      </c>
      <c r="L289" s="3345"/>
      <c r="M289" s="3345"/>
      <c r="N289" s="3345"/>
      <c r="O289" s="3345"/>
    </row>
    <row r="290" spans="1:15" s="3159" customFormat="1" ht="12" customHeight="1">
      <c r="A290" s="3441"/>
      <c r="B290" s="3441"/>
      <c r="C290" s="3336" t="s">
        <v>5216</v>
      </c>
      <c r="D290" s="3339">
        <v>114.18</v>
      </c>
      <c r="E290" s="3354">
        <v>48.13</v>
      </c>
      <c r="L290" s="3345"/>
      <c r="M290" s="3345"/>
      <c r="N290" s="3345"/>
      <c r="O290" s="3345"/>
    </row>
    <row r="291" spans="1:15" s="3159" customFormat="1" ht="12" customHeight="1">
      <c r="A291" s="3441"/>
      <c r="B291" s="3441"/>
      <c r="C291" s="3336" t="s">
        <v>5215</v>
      </c>
      <c r="D291" s="3335">
        <v>110.06</v>
      </c>
      <c r="E291" s="3354">
        <v>46.39</v>
      </c>
      <c r="L291" s="3345"/>
      <c r="M291" s="3345"/>
      <c r="N291" s="3345"/>
      <c r="O291" s="3345"/>
    </row>
    <row r="292" spans="1:15" s="3159" customFormat="1" ht="12" customHeight="1">
      <c r="A292" s="3441"/>
      <c r="B292" s="3441"/>
      <c r="C292" s="3336" t="s">
        <v>5226</v>
      </c>
      <c r="D292" s="3339">
        <v>114.18</v>
      </c>
      <c r="E292" s="3354">
        <v>48.13</v>
      </c>
      <c r="L292" s="3345"/>
      <c r="M292" s="3345"/>
      <c r="N292" s="3345"/>
      <c r="O292" s="3345"/>
    </row>
    <row r="293" spans="1:15" s="3159" customFormat="1" ht="12" customHeight="1">
      <c r="A293" s="3441"/>
      <c r="B293" s="3441"/>
      <c r="C293" s="3336" t="s">
        <v>5225</v>
      </c>
      <c r="D293" s="3339">
        <v>110.06</v>
      </c>
      <c r="E293" s="3354">
        <v>46.39</v>
      </c>
      <c r="L293" s="3345"/>
      <c r="M293" s="3345"/>
      <c r="N293" s="3345"/>
      <c r="O293" s="3345"/>
    </row>
    <row r="294" spans="1:15" s="3159" customFormat="1" ht="12" customHeight="1">
      <c r="A294" s="3441"/>
      <c r="B294" s="3441"/>
      <c r="C294" s="3336" t="s">
        <v>5224</v>
      </c>
      <c r="D294" s="3335">
        <v>114.18</v>
      </c>
      <c r="E294" s="3354">
        <v>48.13</v>
      </c>
      <c r="L294" s="3345"/>
      <c r="M294" s="3345"/>
      <c r="N294" s="3345"/>
      <c r="O294" s="3345"/>
    </row>
    <row r="295" spans="1:15" s="3159" customFormat="1" ht="12" customHeight="1">
      <c r="A295" s="3441"/>
      <c r="B295" s="3442"/>
      <c r="C295" s="3336" t="s">
        <v>5223</v>
      </c>
      <c r="D295" s="3335">
        <v>110.06</v>
      </c>
      <c r="E295" s="3354">
        <v>46.39</v>
      </c>
      <c r="L295" s="3345"/>
      <c r="M295" s="3345"/>
      <c r="N295" s="3345"/>
      <c r="O295" s="3345"/>
    </row>
    <row r="296" spans="1:15" s="3159" customFormat="1" ht="12" customHeight="1">
      <c r="A296" s="3441"/>
      <c r="B296" s="3435" t="s">
        <v>5221</v>
      </c>
      <c r="C296" s="3336" t="s">
        <v>5089</v>
      </c>
      <c r="D296" s="3335">
        <v>109.84</v>
      </c>
      <c r="E296" s="3354">
        <v>46.3</v>
      </c>
      <c r="L296" s="3345"/>
      <c r="M296" s="3345"/>
      <c r="N296" s="3345"/>
      <c r="O296" s="3345"/>
    </row>
    <row r="297" spans="1:15" s="3159" customFormat="1" ht="12" customHeight="1">
      <c r="A297" s="3441"/>
      <c r="B297" s="3435"/>
      <c r="C297" s="3336" t="s">
        <v>5088</v>
      </c>
      <c r="D297" s="3335">
        <v>134.22999999999999</v>
      </c>
      <c r="E297" s="3354">
        <v>56.58</v>
      </c>
      <c r="L297" s="3345"/>
      <c r="M297" s="3345"/>
      <c r="N297" s="3345"/>
      <c r="O297" s="3345"/>
    </row>
    <row r="298" spans="1:15" s="3159" customFormat="1" ht="12" customHeight="1">
      <c r="A298" s="3441"/>
      <c r="B298" s="3435"/>
      <c r="C298" s="3336" t="s">
        <v>4988</v>
      </c>
      <c r="D298" s="3335">
        <v>109.84</v>
      </c>
      <c r="E298" s="3354">
        <v>46.3</v>
      </c>
      <c r="L298" s="3345"/>
      <c r="M298" s="3345"/>
      <c r="N298" s="3345"/>
      <c r="O298" s="3345"/>
    </row>
    <row r="299" spans="1:15" s="3159" customFormat="1" ht="12" customHeight="1">
      <c r="A299" s="3441"/>
      <c r="B299" s="3435"/>
      <c r="C299" s="3336" t="s">
        <v>4987</v>
      </c>
      <c r="D299" s="3335">
        <v>134.22999999999999</v>
      </c>
      <c r="E299" s="3354">
        <v>56.58</v>
      </c>
      <c r="L299" s="3345"/>
      <c r="M299" s="3345"/>
      <c r="N299" s="3345"/>
      <c r="O299" s="3345"/>
    </row>
    <row r="300" spans="1:15" s="3159" customFormat="1" ht="12" customHeight="1">
      <c r="A300" s="3441"/>
      <c r="B300" s="3435"/>
      <c r="C300" s="3336" t="s">
        <v>4887</v>
      </c>
      <c r="D300" s="3335">
        <v>109.86</v>
      </c>
      <c r="E300" s="3354">
        <v>46.31</v>
      </c>
      <c r="L300" s="3345"/>
      <c r="M300" s="3345"/>
      <c r="N300" s="3345"/>
      <c r="O300" s="3345"/>
    </row>
    <row r="301" spans="1:15" s="3159" customFormat="1" ht="12" customHeight="1">
      <c r="A301" s="3441"/>
      <c r="B301" s="3435"/>
      <c r="C301" s="3336" t="s">
        <v>4886</v>
      </c>
      <c r="D301" s="3335">
        <v>134.22999999999999</v>
      </c>
      <c r="E301" s="3354">
        <v>56.58</v>
      </c>
      <c r="L301" s="3345"/>
      <c r="M301" s="3345"/>
      <c r="N301" s="3345"/>
      <c r="O301" s="3345"/>
    </row>
    <row r="302" spans="1:15" s="3159" customFormat="1" ht="12" customHeight="1">
      <c r="A302" s="3441"/>
      <c r="B302" s="3435"/>
      <c r="C302" s="3336" t="s">
        <v>5220</v>
      </c>
      <c r="D302" s="3335">
        <v>109.86</v>
      </c>
      <c r="E302" s="3354">
        <v>46.31</v>
      </c>
      <c r="L302" s="3345"/>
      <c r="M302" s="3345"/>
      <c r="N302" s="3345"/>
      <c r="O302" s="3345"/>
    </row>
    <row r="303" spans="1:15" s="3159" customFormat="1" ht="12" customHeight="1">
      <c r="A303" s="3441"/>
      <c r="B303" s="3435"/>
      <c r="C303" s="3336" t="s">
        <v>5219</v>
      </c>
      <c r="D303" s="3335">
        <v>134.22999999999999</v>
      </c>
      <c r="E303" s="3354">
        <v>56.58</v>
      </c>
      <c r="L303" s="3345"/>
      <c r="M303" s="3345"/>
      <c r="N303" s="3345"/>
      <c r="O303" s="3345"/>
    </row>
    <row r="304" spans="1:15" s="3159" customFormat="1" ht="12" customHeight="1">
      <c r="A304" s="3441"/>
      <c r="B304" s="3435"/>
      <c r="C304" s="3336" t="s">
        <v>5218</v>
      </c>
      <c r="D304" s="3335">
        <v>109.86</v>
      </c>
      <c r="E304" s="3354">
        <v>46.31</v>
      </c>
      <c r="L304" s="3345"/>
      <c r="M304" s="3345"/>
      <c r="N304" s="3345"/>
      <c r="O304" s="3345"/>
    </row>
    <row r="305" spans="1:15" s="3159" customFormat="1" ht="12" customHeight="1">
      <c r="A305" s="3441"/>
      <c r="B305" s="3435"/>
      <c r="C305" s="3336" t="s">
        <v>5217</v>
      </c>
      <c r="D305" s="3335">
        <v>134.22999999999999</v>
      </c>
      <c r="E305" s="3354">
        <v>56.58</v>
      </c>
      <c r="L305" s="3345"/>
      <c r="M305" s="3345"/>
      <c r="N305" s="3345"/>
      <c r="O305" s="3345"/>
    </row>
    <row r="306" spans="1:15" s="3159" customFormat="1" ht="12" customHeight="1">
      <c r="A306" s="3441"/>
      <c r="B306" s="3435"/>
      <c r="C306" s="3336" t="s">
        <v>5216</v>
      </c>
      <c r="D306" s="3335">
        <v>109.86</v>
      </c>
      <c r="E306" s="3354">
        <v>46.31</v>
      </c>
      <c r="L306" s="3345"/>
      <c r="M306" s="3345"/>
      <c r="N306" s="3345"/>
      <c r="O306" s="3345"/>
    </row>
    <row r="307" spans="1:15" s="3159" customFormat="1" ht="12" customHeight="1">
      <c r="A307" s="3441"/>
      <c r="B307" s="3435"/>
      <c r="C307" s="3336" t="s">
        <v>5215</v>
      </c>
      <c r="D307" s="3335">
        <v>134.22999999999999</v>
      </c>
      <c r="E307" s="3354">
        <v>56.58</v>
      </c>
      <c r="L307" s="3345"/>
      <c r="M307" s="3345"/>
      <c r="N307" s="3345"/>
      <c r="O307" s="3345"/>
    </row>
    <row r="308" spans="1:15" s="3159" customFormat="1" ht="12" customHeight="1">
      <c r="A308" s="3441"/>
      <c r="B308" s="3435"/>
      <c r="C308" s="3336" t="s">
        <v>5226</v>
      </c>
      <c r="D308" s="3339">
        <v>109.86</v>
      </c>
      <c r="E308" s="3354">
        <v>46.31</v>
      </c>
      <c r="L308" s="3345"/>
      <c r="M308" s="3345"/>
      <c r="N308" s="3345"/>
      <c r="O308" s="3345"/>
    </row>
    <row r="309" spans="1:15" s="3159" customFormat="1" ht="12" customHeight="1">
      <c r="A309" s="3441"/>
      <c r="B309" s="3435"/>
      <c r="C309" s="3336" t="s">
        <v>5225</v>
      </c>
      <c r="D309" s="3335">
        <v>134.22999999999999</v>
      </c>
      <c r="E309" s="3354">
        <v>56.58</v>
      </c>
      <c r="L309" s="3345"/>
      <c r="M309" s="3345"/>
      <c r="N309" s="3345"/>
      <c r="O309" s="3345"/>
    </row>
    <row r="310" spans="1:15" s="3159" customFormat="1" ht="12" customHeight="1">
      <c r="A310" s="3441"/>
      <c r="B310" s="3435"/>
      <c r="C310" s="3336" t="s">
        <v>5224</v>
      </c>
      <c r="D310" s="3335">
        <v>109.86</v>
      </c>
      <c r="E310" s="3354">
        <v>46.31</v>
      </c>
      <c r="L310" s="3345"/>
      <c r="M310" s="3345"/>
      <c r="N310" s="3345"/>
      <c r="O310" s="3345"/>
    </row>
    <row r="311" spans="1:15" s="3159" customFormat="1" ht="12" customHeight="1">
      <c r="A311" s="3441"/>
      <c r="B311" s="3435"/>
      <c r="C311" s="3336" t="s">
        <v>5223</v>
      </c>
      <c r="D311" s="3335">
        <v>134.22999999999999</v>
      </c>
      <c r="E311" s="3354">
        <v>56.58</v>
      </c>
      <c r="L311" s="3345"/>
      <c r="M311" s="3345"/>
      <c r="N311" s="3345"/>
      <c r="O311" s="3345"/>
    </row>
    <row r="312" spans="1:15" s="3159" customFormat="1" ht="12" customHeight="1">
      <c r="A312" s="3441"/>
      <c r="B312" s="3435" t="s">
        <v>4925</v>
      </c>
      <c r="C312" s="3336" t="s">
        <v>5214</v>
      </c>
      <c r="D312" s="3335">
        <v>5.4</v>
      </c>
      <c r="E312" s="3354">
        <v>2.2799999999999998</v>
      </c>
      <c r="L312" s="3345"/>
      <c r="M312" s="3345"/>
      <c r="N312" s="3345"/>
      <c r="O312" s="3345"/>
    </row>
    <row r="313" spans="1:15" s="3159" customFormat="1" ht="12" customHeight="1">
      <c r="A313" s="3441"/>
      <c r="B313" s="3435"/>
      <c r="C313" s="3336" t="s">
        <v>5087</v>
      </c>
      <c r="D313" s="3335">
        <v>3.23</v>
      </c>
      <c r="E313" s="3354">
        <v>1.36</v>
      </c>
      <c r="F313" s="3338">
        <f>SUM(E280:E311)</f>
        <v>1579.2599999999993</v>
      </c>
      <c r="G313" s="3338">
        <f>SUM(E312:E314)</f>
        <v>5.89</v>
      </c>
      <c r="L313" s="3345"/>
      <c r="M313" s="3345"/>
      <c r="N313" s="3345"/>
      <c r="O313" s="3345"/>
    </row>
    <row r="314" spans="1:15" s="3159" customFormat="1" ht="12" customHeight="1">
      <c r="A314" s="3442"/>
      <c r="B314" s="3435"/>
      <c r="C314" s="3336" t="s">
        <v>5213</v>
      </c>
      <c r="D314" s="3335">
        <v>5.34</v>
      </c>
      <c r="E314" s="3354">
        <v>2.25</v>
      </c>
      <c r="F314" s="3338">
        <f>SUM(D280:D311)</f>
        <v>3746.6000000000008</v>
      </c>
      <c r="G314" s="3338">
        <f>SUM(D312:D314)</f>
        <v>13.97</v>
      </c>
      <c r="L314" s="3345"/>
      <c r="M314" s="3345"/>
      <c r="N314" s="3345"/>
      <c r="O314" s="3345"/>
    </row>
    <row r="315" spans="1:15" s="3159" customFormat="1" ht="12" customHeight="1">
      <c r="A315" s="3440" t="s">
        <v>3472</v>
      </c>
      <c r="B315" s="3435" t="s">
        <v>4925</v>
      </c>
      <c r="C315" s="3336" t="s">
        <v>5214</v>
      </c>
      <c r="D315" s="3335">
        <v>14.41</v>
      </c>
      <c r="E315" s="3354">
        <v>6.07</v>
      </c>
      <c r="L315" s="3345"/>
      <c r="M315" s="3345"/>
      <c r="N315" s="3345"/>
      <c r="O315" s="3345"/>
    </row>
    <row r="316" spans="1:15" s="3159" customFormat="1" ht="12" customHeight="1">
      <c r="A316" s="3441"/>
      <c r="B316" s="3435"/>
      <c r="C316" s="3336" t="s">
        <v>5087</v>
      </c>
      <c r="D316" s="3335">
        <v>16.97</v>
      </c>
      <c r="E316" s="3354">
        <v>7.15</v>
      </c>
      <c r="L316" s="3345"/>
      <c r="M316" s="3345"/>
      <c r="N316" s="3345"/>
      <c r="O316" s="3345"/>
    </row>
    <row r="317" spans="1:15" s="3159" customFormat="1" ht="12" customHeight="1">
      <c r="A317" s="3441"/>
      <c r="B317" s="3435"/>
      <c r="C317" s="3336" t="s">
        <v>5213</v>
      </c>
      <c r="D317" s="3335">
        <v>27.92</v>
      </c>
      <c r="E317" s="3354">
        <v>11.77</v>
      </c>
      <c r="L317" s="3345"/>
      <c r="M317" s="3345"/>
      <c r="N317" s="3345"/>
      <c r="O317" s="3345"/>
    </row>
    <row r="318" spans="1:15" s="3159" customFormat="1" ht="12" customHeight="1">
      <c r="A318" s="3441"/>
      <c r="B318" s="3435"/>
      <c r="C318" s="3336" t="s">
        <v>5212</v>
      </c>
      <c r="D318" s="3335">
        <v>22.82</v>
      </c>
      <c r="E318" s="3354">
        <v>9.6199999999999992</v>
      </c>
      <c r="L318" s="3345"/>
      <c r="M318" s="3345"/>
      <c r="N318" s="3345"/>
      <c r="O318" s="3345"/>
    </row>
    <row r="319" spans="1:15" s="3159" customFormat="1" ht="12" customHeight="1">
      <c r="A319" s="3441"/>
      <c r="B319" s="3435"/>
      <c r="C319" s="3336" t="s">
        <v>5211</v>
      </c>
      <c r="D319" s="3335">
        <v>35.4</v>
      </c>
      <c r="E319" s="3354">
        <v>14.92</v>
      </c>
      <c r="L319" s="3345"/>
      <c r="M319" s="3345"/>
      <c r="N319" s="3345"/>
      <c r="O319" s="3345"/>
    </row>
    <row r="320" spans="1:15" s="3159" customFormat="1" ht="12" customHeight="1">
      <c r="A320" s="3441"/>
      <c r="B320" s="3435"/>
      <c r="C320" s="3336" t="s">
        <v>5210</v>
      </c>
      <c r="D320" s="3335">
        <v>37.07</v>
      </c>
      <c r="E320" s="3354">
        <v>15.63</v>
      </c>
      <c r="L320" s="3345"/>
      <c r="M320" s="3345"/>
      <c r="N320" s="3345"/>
      <c r="O320" s="3345"/>
    </row>
    <row r="321" spans="1:15" s="3159" customFormat="1" ht="12" customHeight="1">
      <c r="A321" s="3441"/>
      <c r="B321" s="3435"/>
      <c r="C321" s="3336" t="s">
        <v>5209</v>
      </c>
      <c r="D321" s="3335">
        <v>29.15</v>
      </c>
      <c r="E321" s="3354">
        <v>12.29</v>
      </c>
      <c r="L321" s="3345"/>
      <c r="M321" s="3345"/>
      <c r="N321" s="3345"/>
      <c r="O321" s="3345"/>
    </row>
    <row r="322" spans="1:15" s="3159" customFormat="1" ht="12" customHeight="1">
      <c r="A322" s="3441"/>
      <c r="B322" s="3435"/>
      <c r="C322" s="3336" t="s">
        <v>5208</v>
      </c>
      <c r="D322" s="3335">
        <v>33.020000000000003</v>
      </c>
      <c r="E322" s="3354">
        <v>13.92</v>
      </c>
      <c r="L322" s="3345"/>
      <c r="M322" s="3345"/>
      <c r="N322" s="3345"/>
      <c r="O322" s="3345"/>
    </row>
    <row r="323" spans="1:15" s="3159" customFormat="1" ht="12" customHeight="1">
      <c r="A323" s="3441"/>
      <c r="B323" s="3435"/>
      <c r="C323" s="3336" t="s">
        <v>5207</v>
      </c>
      <c r="D323" s="3335">
        <v>24.97</v>
      </c>
      <c r="E323" s="3354">
        <v>10.53</v>
      </c>
      <c r="L323" s="3345"/>
      <c r="M323" s="3345"/>
      <c r="N323" s="3345"/>
      <c r="O323" s="3345"/>
    </row>
    <row r="324" spans="1:15" s="3159" customFormat="1" ht="12" customHeight="1">
      <c r="A324" s="3441"/>
      <c r="B324" s="3435"/>
      <c r="C324" s="3336" t="s">
        <v>5206</v>
      </c>
      <c r="D324" s="3335">
        <v>22.29</v>
      </c>
      <c r="E324" s="3354">
        <v>9.4</v>
      </c>
      <c r="L324" s="3345"/>
      <c r="M324" s="3345"/>
      <c r="N324" s="3345"/>
      <c r="O324" s="3345"/>
    </row>
    <row r="325" spans="1:15" s="3159" customFormat="1" ht="12" customHeight="1">
      <c r="A325" s="3441"/>
      <c r="B325" s="3435" t="s">
        <v>5191</v>
      </c>
      <c r="C325" s="3336" t="s">
        <v>5089</v>
      </c>
      <c r="D325" s="3335">
        <v>141.34</v>
      </c>
      <c r="E325" s="3354">
        <v>59.58</v>
      </c>
      <c r="L325" s="3345"/>
      <c r="M325" s="3345"/>
      <c r="N325" s="3345"/>
      <c r="O325" s="3345"/>
    </row>
    <row r="326" spans="1:15" s="3159" customFormat="1" ht="12" customHeight="1">
      <c r="A326" s="3441"/>
      <c r="B326" s="3435"/>
      <c r="C326" s="3336" t="s">
        <v>5088</v>
      </c>
      <c r="D326" s="3335">
        <v>140.32</v>
      </c>
      <c r="E326" s="3354">
        <v>59.15</v>
      </c>
      <c r="L326" s="3345"/>
      <c r="M326" s="3345"/>
      <c r="N326" s="3345"/>
      <c r="O326" s="3345"/>
    </row>
    <row r="327" spans="1:15" s="3159" customFormat="1" ht="12" customHeight="1">
      <c r="A327" s="3441"/>
      <c r="B327" s="3435" t="s">
        <v>5190</v>
      </c>
      <c r="C327" s="3336" t="s">
        <v>4988</v>
      </c>
      <c r="D327" s="3335">
        <v>141.34</v>
      </c>
      <c r="E327" s="3354">
        <v>59.58</v>
      </c>
      <c r="L327" s="3345"/>
      <c r="M327" s="3345"/>
      <c r="N327" s="3345"/>
      <c r="O327" s="3345"/>
    </row>
    <row r="328" spans="1:15" s="3159" customFormat="1" ht="12" customHeight="1">
      <c r="A328" s="3441"/>
      <c r="B328" s="3435"/>
      <c r="C328" s="3336" t="s">
        <v>4987</v>
      </c>
      <c r="D328" s="3335">
        <v>140.32</v>
      </c>
      <c r="E328" s="3354">
        <v>59.15</v>
      </c>
      <c r="L328" s="3345"/>
      <c r="M328" s="3345"/>
      <c r="N328" s="3345"/>
      <c r="O328" s="3345"/>
    </row>
    <row r="329" spans="1:15" s="3159" customFormat="1" ht="12" customHeight="1">
      <c r="A329" s="3441"/>
      <c r="B329" s="3435" t="s">
        <v>5232</v>
      </c>
      <c r="C329" s="3336" t="s">
        <v>4887</v>
      </c>
      <c r="D329" s="3335">
        <v>141.34</v>
      </c>
      <c r="E329" s="3354">
        <v>59.58</v>
      </c>
      <c r="L329" s="3345"/>
      <c r="M329" s="3345"/>
      <c r="N329" s="3345"/>
      <c r="O329" s="3345"/>
    </row>
    <row r="330" spans="1:15" s="3159" customFormat="1" ht="12" customHeight="1">
      <c r="A330" s="3441"/>
      <c r="B330" s="3435"/>
      <c r="C330" s="3336" t="s">
        <v>4886</v>
      </c>
      <c r="D330" s="3335">
        <v>140.32</v>
      </c>
      <c r="E330" s="3354">
        <v>59.15</v>
      </c>
      <c r="L330" s="3345"/>
      <c r="M330" s="3345"/>
      <c r="N330" s="3345"/>
      <c r="O330" s="3345"/>
    </row>
    <row r="331" spans="1:15" s="3159" customFormat="1" ht="12" customHeight="1">
      <c r="A331" s="3441"/>
      <c r="B331" s="3435" t="s">
        <v>5231</v>
      </c>
      <c r="C331" s="3336" t="s">
        <v>5220</v>
      </c>
      <c r="D331" s="3335">
        <v>141.34</v>
      </c>
      <c r="E331" s="3354">
        <v>59.58</v>
      </c>
      <c r="L331" s="3345"/>
      <c r="M331" s="3345"/>
      <c r="N331" s="3345"/>
      <c r="O331" s="3345"/>
    </row>
    <row r="332" spans="1:15" s="3159" customFormat="1" ht="12" customHeight="1">
      <c r="A332" s="3441"/>
      <c r="B332" s="3435"/>
      <c r="C332" s="3336" t="s">
        <v>5219</v>
      </c>
      <c r="D332" s="3339">
        <v>140.32</v>
      </c>
      <c r="E332" s="3354">
        <v>59.15</v>
      </c>
      <c r="L332" s="3345"/>
      <c r="M332" s="3345"/>
      <c r="N332" s="3345"/>
      <c r="O332" s="3345"/>
    </row>
    <row r="333" spans="1:15" s="3159" customFormat="1" ht="12" customHeight="1">
      <c r="A333" s="3441"/>
      <c r="B333" s="3435" t="s">
        <v>5230</v>
      </c>
      <c r="C333" s="3336" t="s">
        <v>5218</v>
      </c>
      <c r="D333" s="3335">
        <v>141.34</v>
      </c>
      <c r="E333" s="3354">
        <v>59.58</v>
      </c>
      <c r="L333" s="3345"/>
      <c r="M333" s="3345"/>
      <c r="N333" s="3345"/>
      <c r="O333" s="3345"/>
    </row>
    <row r="334" spans="1:15" s="3159" customFormat="1" ht="12" customHeight="1">
      <c r="A334" s="3441"/>
      <c r="B334" s="3435"/>
      <c r="C334" s="3336" t="s">
        <v>5217</v>
      </c>
      <c r="D334" s="3335">
        <v>140.32</v>
      </c>
      <c r="E334" s="3354">
        <v>59.15</v>
      </c>
      <c r="L334" s="3345"/>
      <c r="M334" s="3345"/>
      <c r="N334" s="3345"/>
      <c r="O334" s="3345"/>
    </row>
    <row r="335" spans="1:15" s="3159" customFormat="1" ht="12" customHeight="1">
      <c r="A335" s="3441"/>
      <c r="B335" s="3435" t="s">
        <v>5229</v>
      </c>
      <c r="C335" s="3336" t="s">
        <v>5216</v>
      </c>
      <c r="D335" s="3335">
        <v>141.34</v>
      </c>
      <c r="E335" s="3354">
        <v>59.58</v>
      </c>
      <c r="L335" s="3345"/>
      <c r="M335" s="3345"/>
      <c r="N335" s="3345"/>
      <c r="O335" s="3345"/>
    </row>
    <row r="336" spans="1:15" s="3159" customFormat="1" ht="12" customHeight="1">
      <c r="A336" s="3441"/>
      <c r="B336" s="3435"/>
      <c r="C336" s="3336" t="s">
        <v>5215</v>
      </c>
      <c r="D336" s="3339">
        <v>140.32</v>
      </c>
      <c r="E336" s="3354">
        <v>59.15</v>
      </c>
      <c r="L336" s="3345"/>
      <c r="M336" s="3345"/>
      <c r="N336" s="3345"/>
      <c r="O336" s="3345"/>
    </row>
    <row r="337" spans="1:15" s="3159" customFormat="1" ht="12" customHeight="1">
      <c r="A337" s="3441"/>
      <c r="B337" s="3435" t="s">
        <v>5228</v>
      </c>
      <c r="C337" s="3336" t="s">
        <v>5226</v>
      </c>
      <c r="D337" s="3335">
        <v>141.34</v>
      </c>
      <c r="E337" s="3354">
        <v>59.58</v>
      </c>
      <c r="L337" s="3345"/>
      <c r="M337" s="3345"/>
      <c r="N337" s="3345"/>
      <c r="O337" s="3345"/>
    </row>
    <row r="338" spans="1:15" s="3159" customFormat="1" ht="12" customHeight="1">
      <c r="A338" s="3441"/>
      <c r="B338" s="3435"/>
      <c r="C338" s="3336" t="s">
        <v>5225</v>
      </c>
      <c r="D338" s="3339">
        <v>140.32</v>
      </c>
      <c r="E338" s="3354">
        <v>59.15</v>
      </c>
      <c r="L338" s="3345"/>
      <c r="M338" s="3345"/>
      <c r="N338" s="3345"/>
      <c r="O338" s="3345"/>
    </row>
    <row r="339" spans="1:15" s="3159" customFormat="1" ht="12" customHeight="1">
      <c r="A339" s="3441"/>
      <c r="B339" s="3435" t="s">
        <v>5227</v>
      </c>
      <c r="C339" s="3336" t="s">
        <v>5224</v>
      </c>
      <c r="D339" s="3339">
        <v>141.34</v>
      </c>
      <c r="E339" s="3354">
        <v>59.58</v>
      </c>
      <c r="F339" s="3338">
        <f>SUM(E325:E340)</f>
        <v>949.84</v>
      </c>
      <c r="G339" s="3338">
        <f>SUM(E315:E324)</f>
        <v>111.3</v>
      </c>
      <c r="L339" s="3345"/>
      <c r="M339" s="3345"/>
      <c r="N339" s="3345"/>
      <c r="O339" s="3345"/>
    </row>
    <row r="340" spans="1:15" s="3159" customFormat="1" ht="12" customHeight="1">
      <c r="A340" s="3442"/>
      <c r="B340" s="3435"/>
      <c r="C340" s="3336" t="s">
        <v>5223</v>
      </c>
      <c r="D340" s="3339">
        <v>140.32</v>
      </c>
      <c r="E340" s="3354">
        <v>59.15</v>
      </c>
      <c r="F340" s="3338">
        <f>SUM(D325:D340)</f>
        <v>2253.2799999999997</v>
      </c>
      <c r="G340" s="3338">
        <f>SUM(D315:D324)</f>
        <v>264.02000000000004</v>
      </c>
      <c r="L340" s="3345"/>
      <c r="M340" s="3345"/>
      <c r="N340" s="3345"/>
      <c r="O340" s="3345"/>
    </row>
    <row r="341" spans="1:15" s="3159" customFormat="1" ht="12" customHeight="1">
      <c r="A341" s="3435" t="s">
        <v>3473</v>
      </c>
      <c r="B341" s="3435" t="s">
        <v>4925</v>
      </c>
      <c r="C341" s="3336" t="s">
        <v>5214</v>
      </c>
      <c r="D341" s="3335">
        <v>16.100000000000001</v>
      </c>
      <c r="E341" s="3354">
        <v>6.79</v>
      </c>
      <c r="L341" s="3345"/>
      <c r="M341" s="3345"/>
      <c r="N341" s="3345"/>
      <c r="O341" s="3345"/>
    </row>
    <row r="342" spans="1:15" s="3159" customFormat="1" ht="12" customHeight="1">
      <c r="A342" s="3435"/>
      <c r="B342" s="3435"/>
      <c r="C342" s="3336" t="s">
        <v>5087</v>
      </c>
      <c r="D342" s="3335">
        <v>12.84</v>
      </c>
      <c r="E342" s="3354">
        <v>5.41</v>
      </c>
      <c r="L342" s="3345"/>
      <c r="M342" s="3345"/>
      <c r="N342" s="3345"/>
      <c r="O342" s="3345"/>
    </row>
    <row r="343" spans="1:15" s="3159" customFormat="1" ht="12" customHeight="1">
      <c r="A343" s="3435"/>
      <c r="B343" s="3435"/>
      <c r="C343" s="3336" t="s">
        <v>5213</v>
      </c>
      <c r="D343" s="3335">
        <v>32.51</v>
      </c>
      <c r="E343" s="3354">
        <v>13.7</v>
      </c>
      <c r="L343" s="3345"/>
      <c r="M343" s="3345"/>
      <c r="N343" s="3345"/>
      <c r="O343" s="3345"/>
    </row>
    <row r="344" spans="1:15" s="3159" customFormat="1" ht="12" customHeight="1">
      <c r="A344" s="3435"/>
      <c r="B344" s="3435"/>
      <c r="C344" s="3336" t="s">
        <v>5212</v>
      </c>
      <c r="D344" s="3335">
        <v>10.48</v>
      </c>
      <c r="E344" s="3354">
        <v>4.42</v>
      </c>
      <c r="L344" s="3345"/>
      <c r="M344" s="3345"/>
      <c r="N344" s="3345"/>
      <c r="O344" s="3345"/>
    </row>
    <row r="345" spans="1:15" s="3159" customFormat="1" ht="12" customHeight="1">
      <c r="A345" s="3435"/>
      <c r="B345" s="3435"/>
      <c r="C345" s="3336" t="s">
        <v>5211</v>
      </c>
      <c r="D345" s="3335">
        <v>13.83</v>
      </c>
      <c r="E345" s="3354">
        <v>5.83</v>
      </c>
      <c r="L345" s="3345"/>
      <c r="M345" s="3345"/>
      <c r="N345" s="3345"/>
      <c r="O345" s="3345"/>
    </row>
    <row r="346" spans="1:15" s="3159" customFormat="1" ht="12" customHeight="1">
      <c r="A346" s="3435"/>
      <c r="B346" s="3435"/>
      <c r="C346" s="3336" t="s">
        <v>5210</v>
      </c>
      <c r="D346" s="3335">
        <v>25.36</v>
      </c>
      <c r="E346" s="3354">
        <v>10.69</v>
      </c>
      <c r="L346" s="3345"/>
      <c r="M346" s="3345"/>
      <c r="N346" s="3345"/>
      <c r="O346" s="3345"/>
    </row>
    <row r="347" spans="1:15" s="3159" customFormat="1" ht="12" customHeight="1">
      <c r="A347" s="3435"/>
      <c r="B347" s="3435"/>
      <c r="C347" s="3336" t="s">
        <v>5209</v>
      </c>
      <c r="D347" s="3335">
        <v>27.5</v>
      </c>
      <c r="E347" s="3354">
        <v>11.59</v>
      </c>
      <c r="L347" s="3345"/>
      <c r="M347" s="3345"/>
      <c r="N347" s="3345"/>
      <c r="O347" s="3345"/>
    </row>
    <row r="348" spans="1:15" s="3159" customFormat="1" ht="12" customHeight="1">
      <c r="A348" s="3435"/>
      <c r="B348" s="3435"/>
      <c r="C348" s="3336" t="s">
        <v>5208</v>
      </c>
      <c r="D348" s="3335">
        <v>16.27</v>
      </c>
      <c r="E348" s="3354">
        <v>6.86</v>
      </c>
      <c r="L348" s="3345"/>
      <c r="M348" s="3345"/>
      <c r="N348" s="3345"/>
      <c r="O348" s="3345"/>
    </row>
    <row r="349" spans="1:15" s="3159" customFormat="1" ht="12" customHeight="1">
      <c r="A349" s="3435"/>
      <c r="B349" s="3435"/>
      <c r="C349" s="3336" t="s">
        <v>5207</v>
      </c>
      <c r="D349" s="3335">
        <v>16.2</v>
      </c>
      <c r="E349" s="3354">
        <v>6.83</v>
      </c>
      <c r="L349" s="3345"/>
      <c r="M349" s="3345"/>
      <c r="N349" s="3345"/>
      <c r="O349" s="3345"/>
    </row>
    <row r="350" spans="1:15" s="3159" customFormat="1" ht="12" customHeight="1">
      <c r="A350" s="3435"/>
      <c r="B350" s="3435"/>
      <c r="C350" s="3336" t="s">
        <v>5206</v>
      </c>
      <c r="D350" s="3335">
        <v>38.47</v>
      </c>
      <c r="E350" s="3354">
        <v>16.22</v>
      </c>
      <c r="L350" s="3345"/>
      <c r="M350" s="3345"/>
      <c r="N350" s="3345"/>
      <c r="O350" s="3345"/>
    </row>
    <row r="351" spans="1:15" s="3159" customFormat="1" ht="12" customHeight="1">
      <c r="A351" s="3435"/>
      <c r="B351" s="3435"/>
      <c r="C351" s="3336" t="s">
        <v>5205</v>
      </c>
      <c r="D351" s="3335">
        <v>12.63</v>
      </c>
      <c r="E351" s="3354">
        <v>5.32</v>
      </c>
      <c r="L351" s="3345"/>
      <c r="M351" s="3345"/>
      <c r="N351" s="3345"/>
      <c r="O351" s="3345"/>
    </row>
    <row r="352" spans="1:15" s="3159" customFormat="1" ht="12" customHeight="1">
      <c r="A352" s="3435"/>
      <c r="B352" s="3435"/>
      <c r="C352" s="3336" t="s">
        <v>5204</v>
      </c>
      <c r="D352" s="3335">
        <v>16.29</v>
      </c>
      <c r="E352" s="3354">
        <v>6.87</v>
      </c>
      <c r="L352" s="3345"/>
      <c r="M352" s="3345"/>
      <c r="N352" s="3345"/>
      <c r="O352" s="3345"/>
    </row>
    <row r="353" spans="1:15" s="3159" customFormat="1" ht="12" customHeight="1">
      <c r="A353" s="3435"/>
      <c r="B353" s="3435" t="s">
        <v>5191</v>
      </c>
      <c r="C353" s="3336" t="s">
        <v>5089</v>
      </c>
      <c r="D353" s="3335">
        <v>115</v>
      </c>
      <c r="E353" s="3354">
        <v>48.48</v>
      </c>
      <c r="L353" s="3345"/>
      <c r="M353" s="3345"/>
      <c r="N353" s="3345"/>
      <c r="O353" s="3345"/>
    </row>
    <row r="354" spans="1:15" s="3159" customFormat="1" ht="12" customHeight="1">
      <c r="A354" s="3435"/>
      <c r="B354" s="3435"/>
      <c r="C354" s="3336" t="s">
        <v>5088</v>
      </c>
      <c r="D354" s="3335">
        <v>131.58000000000001</v>
      </c>
      <c r="E354" s="3354">
        <v>55.46</v>
      </c>
      <c r="L354" s="3345"/>
      <c r="M354" s="3345"/>
      <c r="N354" s="3345"/>
      <c r="O354" s="3345"/>
    </row>
    <row r="355" spans="1:15" s="3159" customFormat="1" ht="12" customHeight="1">
      <c r="A355" s="3435"/>
      <c r="B355" s="3435" t="s">
        <v>5190</v>
      </c>
      <c r="C355" s="3336" t="s">
        <v>4988</v>
      </c>
      <c r="D355" s="3335">
        <v>115</v>
      </c>
      <c r="E355" s="3354">
        <v>48.48</v>
      </c>
      <c r="L355" s="3345"/>
      <c r="M355" s="3345"/>
      <c r="N355" s="3345"/>
      <c r="O355" s="3345"/>
    </row>
    <row r="356" spans="1:15" s="3159" customFormat="1" ht="12" customHeight="1">
      <c r="A356" s="3435"/>
      <c r="B356" s="3435"/>
      <c r="C356" s="3336" t="s">
        <v>4987</v>
      </c>
      <c r="D356" s="3335">
        <v>131.58000000000001</v>
      </c>
      <c r="E356" s="3354">
        <v>55.46</v>
      </c>
      <c r="L356" s="3345"/>
      <c r="M356" s="3345"/>
      <c r="N356" s="3345"/>
      <c r="O356" s="3345"/>
    </row>
    <row r="357" spans="1:15" s="3159" customFormat="1" ht="12" customHeight="1">
      <c r="A357" s="3435"/>
      <c r="B357" s="3435" t="s">
        <v>5232</v>
      </c>
      <c r="C357" s="3336" t="s">
        <v>4887</v>
      </c>
      <c r="D357" s="3335">
        <v>115</v>
      </c>
      <c r="E357" s="3354">
        <v>48.48</v>
      </c>
      <c r="L357" s="3345"/>
      <c r="M357" s="3345"/>
      <c r="N357" s="3345"/>
      <c r="O357" s="3345"/>
    </row>
    <row r="358" spans="1:15" s="3159" customFormat="1" ht="12" customHeight="1">
      <c r="A358" s="3435"/>
      <c r="B358" s="3435"/>
      <c r="C358" s="3336" t="s">
        <v>4886</v>
      </c>
      <c r="D358" s="3335">
        <v>131.58000000000001</v>
      </c>
      <c r="E358" s="3354">
        <v>55.46</v>
      </c>
      <c r="L358" s="3345"/>
      <c r="M358" s="3345"/>
      <c r="N358" s="3345"/>
      <c r="O358" s="3345"/>
    </row>
    <row r="359" spans="1:15" s="3159" customFormat="1" ht="12" customHeight="1">
      <c r="A359" s="3435"/>
      <c r="B359" s="3435" t="s">
        <v>5231</v>
      </c>
      <c r="C359" s="3336" t="s">
        <v>5220</v>
      </c>
      <c r="D359" s="3335">
        <v>115</v>
      </c>
      <c r="E359" s="3354">
        <v>48.48</v>
      </c>
      <c r="L359" s="3345"/>
      <c r="M359" s="3345"/>
      <c r="N359" s="3345"/>
      <c r="O359" s="3345"/>
    </row>
    <row r="360" spans="1:15" s="3159" customFormat="1" ht="12" customHeight="1">
      <c r="A360" s="3435"/>
      <c r="B360" s="3435"/>
      <c r="C360" s="3336" t="s">
        <v>5219</v>
      </c>
      <c r="D360" s="3339">
        <v>131.58000000000001</v>
      </c>
      <c r="E360" s="3354">
        <v>55.46</v>
      </c>
      <c r="L360" s="3345"/>
      <c r="M360" s="3345"/>
      <c r="N360" s="3345"/>
      <c r="O360" s="3345"/>
    </row>
    <row r="361" spans="1:15" s="3159" customFormat="1" ht="12" customHeight="1">
      <c r="A361" s="3435"/>
      <c r="B361" s="3435" t="s">
        <v>5230</v>
      </c>
      <c r="C361" s="3336" t="s">
        <v>5218</v>
      </c>
      <c r="D361" s="3335">
        <v>115</v>
      </c>
      <c r="E361" s="3354">
        <v>48.48</v>
      </c>
      <c r="L361" s="3345"/>
      <c r="M361" s="3345"/>
      <c r="N361" s="3345"/>
      <c r="O361" s="3345"/>
    </row>
    <row r="362" spans="1:15" s="3159" customFormat="1" ht="12" customHeight="1">
      <c r="A362" s="3435"/>
      <c r="B362" s="3435"/>
      <c r="C362" s="3336" t="s">
        <v>5217</v>
      </c>
      <c r="D362" s="3339">
        <v>131.58000000000001</v>
      </c>
      <c r="E362" s="3354">
        <v>55.46</v>
      </c>
      <c r="L362" s="3345"/>
      <c r="M362" s="3345"/>
      <c r="N362" s="3345"/>
      <c r="O362" s="3345"/>
    </row>
    <row r="363" spans="1:15" s="3159" customFormat="1" ht="12" customHeight="1">
      <c r="A363" s="3435"/>
      <c r="B363" s="3435" t="s">
        <v>5229</v>
      </c>
      <c r="C363" s="3336" t="s">
        <v>5216</v>
      </c>
      <c r="D363" s="3339">
        <v>115</v>
      </c>
      <c r="E363" s="3354">
        <v>48.48</v>
      </c>
      <c r="L363" s="3345"/>
      <c r="M363" s="3345"/>
      <c r="N363" s="3345"/>
      <c r="O363" s="3345"/>
    </row>
    <row r="364" spans="1:15" s="3159" customFormat="1" ht="12" customHeight="1">
      <c r="A364" s="3435"/>
      <c r="B364" s="3435"/>
      <c r="C364" s="3336" t="s">
        <v>5215</v>
      </c>
      <c r="D364" s="3339">
        <v>131.58000000000001</v>
      </c>
      <c r="E364" s="3354">
        <v>55.46</v>
      </c>
      <c r="L364" s="3345"/>
      <c r="M364" s="3345"/>
      <c r="N364" s="3345"/>
      <c r="O364" s="3345"/>
    </row>
    <row r="365" spans="1:15" s="3159" customFormat="1" ht="12" customHeight="1">
      <c r="A365" s="3435"/>
      <c r="B365" s="3435" t="s">
        <v>5228</v>
      </c>
      <c r="C365" s="3336" t="s">
        <v>5226</v>
      </c>
      <c r="D365" s="3335">
        <v>115</v>
      </c>
      <c r="E365" s="3354">
        <v>48.48</v>
      </c>
      <c r="L365" s="3345"/>
      <c r="M365" s="3345"/>
      <c r="N365" s="3345"/>
      <c r="O365" s="3345"/>
    </row>
    <row r="366" spans="1:15" s="3159" customFormat="1" ht="12" customHeight="1">
      <c r="A366" s="3435"/>
      <c r="B366" s="3435"/>
      <c r="C366" s="3336" t="s">
        <v>5225</v>
      </c>
      <c r="D366" s="3335">
        <v>131.58000000000001</v>
      </c>
      <c r="E366" s="3354">
        <v>55.46</v>
      </c>
      <c r="L366" s="3345"/>
      <c r="M366" s="3345"/>
      <c r="N366" s="3345"/>
      <c r="O366" s="3345"/>
    </row>
    <row r="367" spans="1:15" s="3159" customFormat="1" ht="12" customHeight="1">
      <c r="A367" s="3435"/>
      <c r="B367" s="3435" t="s">
        <v>5227</v>
      </c>
      <c r="C367" s="3336" t="s">
        <v>5224</v>
      </c>
      <c r="D367" s="3335">
        <v>115</v>
      </c>
      <c r="E367" s="3354">
        <v>48.48</v>
      </c>
      <c r="F367" s="3338">
        <f>SUM(E353:E368)</f>
        <v>831.52000000000021</v>
      </c>
      <c r="G367" s="3338">
        <f>SUM(E341:E352)</f>
        <v>100.53</v>
      </c>
      <c r="L367" s="3345"/>
      <c r="M367" s="3345"/>
      <c r="N367" s="3345"/>
      <c r="O367" s="3345"/>
    </row>
    <row r="368" spans="1:15" s="3159" customFormat="1" ht="12" customHeight="1">
      <c r="A368" s="3435"/>
      <c r="B368" s="3435"/>
      <c r="C368" s="3336" t="s">
        <v>5223</v>
      </c>
      <c r="D368" s="3335">
        <v>131.58000000000001</v>
      </c>
      <c r="E368" s="3354">
        <v>55.46</v>
      </c>
      <c r="F368" s="3338">
        <f>SUM(D353:D368)</f>
        <v>1972.6399999999999</v>
      </c>
      <c r="G368" s="3338">
        <f>SUM(D341:D352)</f>
        <v>238.48</v>
      </c>
      <c r="L368" s="3345"/>
      <c r="M368" s="3345"/>
      <c r="N368" s="3345"/>
      <c r="O368" s="3345"/>
    </row>
    <row r="369" spans="1:15" s="3159" customFormat="1" ht="12" customHeight="1">
      <c r="A369" s="3440" t="s">
        <v>3474</v>
      </c>
      <c r="B369" s="3435" t="s">
        <v>5222</v>
      </c>
      <c r="C369" s="3336" t="s">
        <v>5089</v>
      </c>
      <c r="D369" s="3335">
        <v>129.09</v>
      </c>
      <c r="E369" s="3354">
        <v>54.41</v>
      </c>
      <c r="L369" s="3345"/>
      <c r="M369" s="3345"/>
      <c r="N369" s="3345"/>
      <c r="O369" s="3345"/>
    </row>
    <row r="370" spans="1:15" s="3159" customFormat="1" ht="12" customHeight="1">
      <c r="A370" s="3441"/>
      <c r="B370" s="3435"/>
      <c r="C370" s="3336" t="s">
        <v>5088</v>
      </c>
      <c r="D370" s="3335">
        <v>128.75</v>
      </c>
      <c r="E370" s="3354">
        <v>54.27</v>
      </c>
      <c r="L370" s="3345"/>
      <c r="M370" s="3345"/>
      <c r="N370" s="3345"/>
      <c r="O370" s="3345"/>
    </row>
    <row r="371" spans="1:15" s="3159" customFormat="1" ht="12" customHeight="1">
      <c r="A371" s="3441"/>
      <c r="B371" s="3435"/>
      <c r="C371" s="3336" t="s">
        <v>4988</v>
      </c>
      <c r="D371" s="3335">
        <v>129.09</v>
      </c>
      <c r="E371" s="3354">
        <v>54.41</v>
      </c>
      <c r="L371" s="3345"/>
      <c r="M371" s="3345"/>
      <c r="N371" s="3345"/>
      <c r="O371" s="3345"/>
    </row>
    <row r="372" spans="1:15" s="3159" customFormat="1" ht="12" customHeight="1">
      <c r="A372" s="3441"/>
      <c r="B372" s="3435"/>
      <c r="C372" s="3336" t="s">
        <v>4987</v>
      </c>
      <c r="D372" s="3335">
        <v>128.75</v>
      </c>
      <c r="E372" s="3354">
        <v>54.27</v>
      </c>
      <c r="L372" s="3345"/>
      <c r="M372" s="3345"/>
      <c r="N372" s="3345"/>
      <c r="O372" s="3345"/>
    </row>
    <row r="373" spans="1:15" s="3159" customFormat="1" ht="12" customHeight="1">
      <c r="A373" s="3441"/>
      <c r="B373" s="3435"/>
      <c r="C373" s="3336" t="s">
        <v>4887</v>
      </c>
      <c r="D373" s="3339">
        <v>129.09</v>
      </c>
      <c r="E373" s="3354">
        <v>54.41</v>
      </c>
      <c r="L373" s="3345"/>
      <c r="M373" s="3345"/>
      <c r="N373" s="3345"/>
      <c r="O373" s="3345"/>
    </row>
    <row r="374" spans="1:15" s="3159" customFormat="1" ht="12" customHeight="1">
      <c r="A374" s="3441"/>
      <c r="B374" s="3435"/>
      <c r="C374" s="3336" t="s">
        <v>4886</v>
      </c>
      <c r="D374" s="3339">
        <v>128.75</v>
      </c>
      <c r="E374" s="3354">
        <v>54.27</v>
      </c>
      <c r="L374" s="3345"/>
      <c r="M374" s="3345"/>
      <c r="N374" s="3345"/>
      <c r="O374" s="3345"/>
    </row>
    <row r="375" spans="1:15" s="3159" customFormat="1" ht="12" customHeight="1">
      <c r="A375" s="3441"/>
      <c r="B375" s="3435"/>
      <c r="C375" s="3336" t="s">
        <v>5220</v>
      </c>
      <c r="D375" s="3339">
        <v>129.09</v>
      </c>
      <c r="E375" s="3354">
        <v>54.41</v>
      </c>
      <c r="L375" s="3345"/>
      <c r="M375" s="3345"/>
      <c r="N375" s="3345"/>
      <c r="O375" s="3345"/>
    </row>
    <row r="376" spans="1:15" s="3159" customFormat="1" ht="12" customHeight="1">
      <c r="A376" s="3441"/>
      <c r="B376" s="3435"/>
      <c r="C376" s="3336" t="s">
        <v>5219</v>
      </c>
      <c r="D376" s="3335">
        <v>128.75</v>
      </c>
      <c r="E376" s="3354">
        <v>54.27</v>
      </c>
      <c r="L376" s="3345"/>
      <c r="M376" s="3345"/>
      <c r="N376" s="3345"/>
      <c r="O376" s="3345"/>
    </row>
    <row r="377" spans="1:15" s="3159" customFormat="1" ht="12" customHeight="1">
      <c r="A377" s="3441"/>
      <c r="B377" s="3435"/>
      <c r="C377" s="3336" t="s">
        <v>5218</v>
      </c>
      <c r="D377" s="3339">
        <v>129.09</v>
      </c>
      <c r="E377" s="3354">
        <v>54.41</v>
      </c>
      <c r="L377" s="3345"/>
      <c r="M377" s="3345"/>
      <c r="N377" s="3345"/>
      <c r="O377" s="3345"/>
    </row>
    <row r="378" spans="1:15" s="3159" customFormat="1" ht="12" customHeight="1">
      <c r="A378" s="3441"/>
      <c r="B378" s="3435"/>
      <c r="C378" s="3336" t="s">
        <v>5217</v>
      </c>
      <c r="D378" s="3339">
        <v>128.75</v>
      </c>
      <c r="E378" s="3354">
        <v>54.27</v>
      </c>
      <c r="L378" s="3345"/>
      <c r="M378" s="3345"/>
      <c r="N378" s="3345"/>
      <c r="O378" s="3345"/>
    </row>
    <row r="379" spans="1:15" s="3159" customFormat="1" ht="12" customHeight="1">
      <c r="A379" s="3441"/>
      <c r="B379" s="3435"/>
      <c r="C379" s="3336" t="s">
        <v>5216</v>
      </c>
      <c r="D379" s="3339">
        <v>129.09</v>
      </c>
      <c r="E379" s="3354">
        <v>54.41</v>
      </c>
      <c r="L379" s="3345"/>
      <c r="M379" s="3345"/>
      <c r="N379" s="3345"/>
      <c r="O379" s="3345"/>
    </row>
    <row r="380" spans="1:15" s="3159" customFormat="1" ht="12" customHeight="1">
      <c r="A380" s="3441"/>
      <c r="B380" s="3435"/>
      <c r="C380" s="3336" t="s">
        <v>5215</v>
      </c>
      <c r="D380" s="3339">
        <v>128.75</v>
      </c>
      <c r="E380" s="3354">
        <v>54.27</v>
      </c>
      <c r="L380" s="3345"/>
      <c r="M380" s="3345"/>
      <c r="N380" s="3345"/>
      <c r="O380" s="3345"/>
    </row>
    <row r="381" spans="1:15" s="3159" customFormat="1" ht="12" customHeight="1">
      <c r="A381" s="3441"/>
      <c r="B381" s="3435"/>
      <c r="C381" s="3336" t="s">
        <v>5226</v>
      </c>
      <c r="D381" s="3339">
        <v>129.09</v>
      </c>
      <c r="E381" s="3354">
        <v>54.41</v>
      </c>
      <c r="L381" s="3345"/>
      <c r="M381" s="3345"/>
      <c r="N381" s="3345"/>
      <c r="O381" s="3345"/>
    </row>
    <row r="382" spans="1:15" s="3159" customFormat="1" ht="12" customHeight="1">
      <c r="A382" s="3441"/>
      <c r="B382" s="3435"/>
      <c r="C382" s="3336" t="s">
        <v>5225</v>
      </c>
      <c r="D382" s="3339">
        <v>128.75</v>
      </c>
      <c r="E382" s="3354">
        <v>54.27</v>
      </c>
      <c r="L382" s="3345"/>
      <c r="M382" s="3345"/>
      <c r="N382" s="3345"/>
      <c r="O382" s="3345"/>
    </row>
    <row r="383" spans="1:15" s="3159" customFormat="1" ht="12" customHeight="1">
      <c r="A383" s="3441"/>
      <c r="B383" s="3435"/>
      <c r="C383" s="3336" t="s">
        <v>5224</v>
      </c>
      <c r="D383" s="3335">
        <v>129.09</v>
      </c>
      <c r="E383" s="3354">
        <v>54.41</v>
      </c>
      <c r="L383" s="3345"/>
      <c r="M383" s="3345"/>
      <c r="N383" s="3345"/>
      <c r="O383" s="3345"/>
    </row>
    <row r="384" spans="1:15" s="3159" customFormat="1" ht="12" customHeight="1">
      <c r="A384" s="3441"/>
      <c r="B384" s="3435"/>
      <c r="C384" s="3336" t="s">
        <v>5223</v>
      </c>
      <c r="D384" s="3335">
        <v>128.75</v>
      </c>
      <c r="E384" s="3354">
        <v>54.27</v>
      </c>
      <c r="L384" s="3345"/>
      <c r="M384" s="3345"/>
      <c r="N384" s="3345"/>
      <c r="O384" s="3345"/>
    </row>
    <row r="385" spans="1:15" s="3159" customFormat="1" ht="12" customHeight="1">
      <c r="A385" s="3441"/>
      <c r="B385" s="3440" t="s">
        <v>5221</v>
      </c>
      <c r="C385" s="3336" t="s">
        <v>5089</v>
      </c>
      <c r="D385" s="3335">
        <v>128.75</v>
      </c>
      <c r="E385" s="3354">
        <v>54.27</v>
      </c>
      <c r="L385" s="3345"/>
      <c r="M385" s="3345"/>
      <c r="N385" s="3345"/>
      <c r="O385" s="3345"/>
    </row>
    <row r="386" spans="1:15" s="3159" customFormat="1" ht="12" customHeight="1">
      <c r="A386" s="3441"/>
      <c r="B386" s="3441"/>
      <c r="C386" s="3336" t="s">
        <v>5088</v>
      </c>
      <c r="D386" s="3335">
        <v>129.09</v>
      </c>
      <c r="E386" s="3354">
        <v>54.41</v>
      </c>
      <c r="L386" s="3345"/>
      <c r="M386" s="3345"/>
      <c r="N386" s="3345"/>
      <c r="O386" s="3345"/>
    </row>
    <row r="387" spans="1:15" s="3159" customFormat="1" ht="12" customHeight="1">
      <c r="A387" s="3441"/>
      <c r="B387" s="3441"/>
      <c r="C387" s="3336" t="s">
        <v>4988</v>
      </c>
      <c r="D387" s="3335">
        <v>128.75</v>
      </c>
      <c r="E387" s="3354">
        <v>54.27</v>
      </c>
      <c r="L387" s="3345"/>
      <c r="M387" s="3345"/>
      <c r="N387" s="3345"/>
      <c r="O387" s="3345"/>
    </row>
    <row r="388" spans="1:15" s="3159" customFormat="1" ht="12" customHeight="1">
      <c r="A388" s="3441"/>
      <c r="B388" s="3441"/>
      <c r="C388" s="3336" t="s">
        <v>4987</v>
      </c>
      <c r="D388" s="3335">
        <v>129.09</v>
      </c>
      <c r="E388" s="3354">
        <v>54.41</v>
      </c>
      <c r="L388" s="3345"/>
      <c r="M388" s="3345"/>
      <c r="N388" s="3345"/>
      <c r="O388" s="3345"/>
    </row>
    <row r="389" spans="1:15" s="3159" customFormat="1" ht="12" customHeight="1">
      <c r="A389" s="3441"/>
      <c r="B389" s="3441"/>
      <c r="C389" s="3336" t="s">
        <v>4887</v>
      </c>
      <c r="D389" s="3339">
        <v>128.75</v>
      </c>
      <c r="E389" s="3354">
        <v>54.27</v>
      </c>
      <c r="L389" s="3345"/>
      <c r="M389" s="3345"/>
      <c r="N389" s="3345"/>
      <c r="O389" s="3345"/>
    </row>
    <row r="390" spans="1:15" s="3159" customFormat="1" ht="12" customHeight="1">
      <c r="A390" s="3441"/>
      <c r="B390" s="3441"/>
      <c r="C390" s="3336" t="s">
        <v>4886</v>
      </c>
      <c r="D390" s="3339">
        <v>129.09</v>
      </c>
      <c r="E390" s="3354">
        <v>54.41</v>
      </c>
      <c r="L390" s="3345"/>
      <c r="M390" s="3345"/>
      <c r="N390" s="3345"/>
      <c r="O390" s="3345"/>
    </row>
    <row r="391" spans="1:15" s="3159" customFormat="1" ht="12" customHeight="1">
      <c r="A391" s="3441"/>
      <c r="B391" s="3441"/>
      <c r="C391" s="3336" t="s">
        <v>5220</v>
      </c>
      <c r="D391" s="3339">
        <v>128.75</v>
      </c>
      <c r="E391" s="3354">
        <v>54.27</v>
      </c>
      <c r="L391" s="3345"/>
      <c r="M391" s="3345"/>
      <c r="N391" s="3345"/>
      <c r="O391" s="3345"/>
    </row>
    <row r="392" spans="1:15" s="3159" customFormat="1" ht="12" customHeight="1">
      <c r="A392" s="3441"/>
      <c r="B392" s="3441"/>
      <c r="C392" s="3336" t="s">
        <v>5219</v>
      </c>
      <c r="D392" s="3339">
        <v>129.09</v>
      </c>
      <c r="E392" s="3354">
        <v>54.41</v>
      </c>
      <c r="L392" s="3345"/>
      <c r="M392" s="3345"/>
      <c r="N392" s="3345"/>
      <c r="O392" s="3345"/>
    </row>
    <row r="393" spans="1:15" s="3159" customFormat="1" ht="12" customHeight="1">
      <c r="A393" s="3441"/>
      <c r="B393" s="3441"/>
      <c r="C393" s="3336" t="s">
        <v>5218</v>
      </c>
      <c r="D393" s="3339">
        <v>128.75</v>
      </c>
      <c r="E393" s="3354">
        <v>54.27</v>
      </c>
      <c r="L393" s="3345"/>
      <c r="M393" s="3345"/>
      <c r="N393" s="3345"/>
      <c r="O393" s="3345"/>
    </row>
    <row r="394" spans="1:15" s="3159" customFormat="1" ht="12" customHeight="1">
      <c r="A394" s="3441"/>
      <c r="B394" s="3441"/>
      <c r="C394" s="3336" t="s">
        <v>5217</v>
      </c>
      <c r="D394" s="3335">
        <v>129.09</v>
      </c>
      <c r="E394" s="3354">
        <v>54.41</v>
      </c>
      <c r="L394" s="3345"/>
      <c r="M394" s="3345"/>
      <c r="N394" s="3345"/>
      <c r="O394" s="3345"/>
    </row>
    <row r="395" spans="1:15" s="3159" customFormat="1" ht="12" customHeight="1">
      <c r="A395" s="3441"/>
      <c r="B395" s="3441"/>
      <c r="C395" s="3336" t="s">
        <v>5216</v>
      </c>
      <c r="D395" s="3339">
        <v>128.75</v>
      </c>
      <c r="E395" s="3354">
        <v>54.27</v>
      </c>
      <c r="L395" s="3345"/>
      <c r="M395" s="3345"/>
      <c r="N395" s="3345"/>
      <c r="O395" s="3345"/>
    </row>
    <row r="396" spans="1:15" s="3159" customFormat="1" ht="12" customHeight="1">
      <c r="A396" s="3441"/>
      <c r="B396" s="3441"/>
      <c r="C396" s="3336" t="s">
        <v>5215</v>
      </c>
      <c r="D396" s="3339">
        <v>129.09</v>
      </c>
      <c r="E396" s="3354">
        <v>54.41</v>
      </c>
      <c r="L396" s="3345"/>
      <c r="M396" s="3345"/>
      <c r="N396" s="3345"/>
      <c r="O396" s="3345"/>
    </row>
    <row r="397" spans="1:15" s="3159" customFormat="1" ht="12" customHeight="1">
      <c r="A397" s="3441"/>
      <c r="B397" s="3441"/>
      <c r="C397" s="3336" t="s">
        <v>5226</v>
      </c>
      <c r="D397" s="3339">
        <v>128.75</v>
      </c>
      <c r="E397" s="3354">
        <v>54.27</v>
      </c>
      <c r="L397" s="3345"/>
      <c r="M397" s="3345"/>
      <c r="N397" s="3345"/>
      <c r="O397" s="3345"/>
    </row>
    <row r="398" spans="1:15" s="3159" customFormat="1" ht="12" customHeight="1">
      <c r="A398" s="3441"/>
      <c r="B398" s="3441"/>
      <c r="C398" s="3336" t="s">
        <v>5225</v>
      </c>
      <c r="D398" s="3339">
        <v>129.09</v>
      </c>
      <c r="E398" s="3354">
        <v>54.41</v>
      </c>
      <c r="L398" s="3345"/>
      <c r="M398" s="3345"/>
      <c r="N398" s="3345"/>
      <c r="O398" s="3345"/>
    </row>
    <row r="399" spans="1:15" s="3159" customFormat="1" ht="12" customHeight="1">
      <c r="A399" s="3441"/>
      <c r="B399" s="3441"/>
      <c r="C399" s="3336" t="s">
        <v>5224</v>
      </c>
      <c r="D399" s="3335">
        <v>128.75</v>
      </c>
      <c r="E399" s="3354">
        <v>54.27</v>
      </c>
      <c r="L399" s="3345"/>
      <c r="M399" s="3345"/>
      <c r="N399" s="3345"/>
      <c r="O399" s="3345"/>
    </row>
    <row r="400" spans="1:15" s="3159" customFormat="1" ht="12" customHeight="1">
      <c r="A400" s="3441"/>
      <c r="B400" s="3442"/>
      <c r="C400" s="3336" t="s">
        <v>5223</v>
      </c>
      <c r="D400" s="3335">
        <v>129.09</v>
      </c>
      <c r="E400" s="3354">
        <v>54.41</v>
      </c>
      <c r="L400" s="3345"/>
      <c r="M400" s="3345"/>
      <c r="N400" s="3345"/>
      <c r="O400" s="3345"/>
    </row>
    <row r="401" spans="1:15" s="3159" customFormat="1" ht="12" customHeight="1">
      <c r="A401" s="3441"/>
      <c r="B401" s="3435" t="s">
        <v>4925</v>
      </c>
      <c r="C401" s="3336" t="s">
        <v>5214</v>
      </c>
      <c r="D401" s="3335">
        <v>40.450000000000003</v>
      </c>
      <c r="E401" s="3354">
        <v>17.05</v>
      </c>
      <c r="L401" s="3345"/>
      <c r="M401" s="3345"/>
      <c r="N401" s="3345"/>
      <c r="O401" s="3345"/>
    </row>
    <row r="402" spans="1:15" s="3159" customFormat="1" ht="12" customHeight="1">
      <c r="A402" s="3441"/>
      <c r="B402" s="3435"/>
      <c r="C402" s="3336" t="s">
        <v>5087</v>
      </c>
      <c r="D402" s="3335">
        <v>17.73</v>
      </c>
      <c r="E402" s="3354">
        <v>7.47</v>
      </c>
      <c r="L402" s="3345"/>
      <c r="M402" s="3345"/>
      <c r="N402" s="3345"/>
      <c r="O402" s="3345"/>
    </row>
    <row r="403" spans="1:15" s="3159" customFormat="1" ht="12" customHeight="1">
      <c r="A403" s="3441"/>
      <c r="B403" s="3435"/>
      <c r="C403" s="3336" t="s">
        <v>5213</v>
      </c>
      <c r="D403" s="3335">
        <v>20.85</v>
      </c>
      <c r="E403" s="3354">
        <v>8.7899999999999991</v>
      </c>
      <c r="L403" s="3345"/>
      <c r="M403" s="3345"/>
      <c r="N403" s="3345"/>
      <c r="O403" s="3345"/>
    </row>
    <row r="404" spans="1:15" s="3159" customFormat="1" ht="12" customHeight="1">
      <c r="A404" s="3441"/>
      <c r="B404" s="3435"/>
      <c r="C404" s="3336" t="s">
        <v>5212</v>
      </c>
      <c r="D404" s="3335">
        <v>24.86</v>
      </c>
      <c r="E404" s="3354">
        <v>10.48</v>
      </c>
      <c r="L404" s="3345"/>
      <c r="M404" s="3345"/>
      <c r="N404" s="3345"/>
      <c r="O404" s="3345"/>
    </row>
    <row r="405" spans="1:15" s="3159" customFormat="1" ht="12" customHeight="1">
      <c r="A405" s="3441"/>
      <c r="B405" s="3435"/>
      <c r="C405" s="3336" t="s">
        <v>5211</v>
      </c>
      <c r="D405" s="3335">
        <v>22.38</v>
      </c>
      <c r="E405" s="3354">
        <v>9.43</v>
      </c>
      <c r="L405" s="3345"/>
      <c r="M405" s="3345"/>
      <c r="N405" s="3345"/>
      <c r="O405" s="3345"/>
    </row>
    <row r="406" spans="1:15" s="3159" customFormat="1" ht="12" customHeight="1">
      <c r="A406" s="3441"/>
      <c r="B406" s="3435"/>
      <c r="C406" s="3336" t="s">
        <v>5210</v>
      </c>
      <c r="D406" s="3335">
        <v>22.38</v>
      </c>
      <c r="E406" s="3354">
        <v>9.43</v>
      </c>
      <c r="L406" s="3345"/>
      <c r="M406" s="3345"/>
      <c r="N406" s="3345"/>
      <c r="O406" s="3345"/>
    </row>
    <row r="407" spans="1:15" s="3159" customFormat="1" ht="12" customHeight="1">
      <c r="A407" s="3441"/>
      <c r="B407" s="3435"/>
      <c r="C407" s="3336" t="s">
        <v>5209</v>
      </c>
      <c r="D407" s="3335">
        <v>24.86</v>
      </c>
      <c r="E407" s="3354">
        <v>10.48</v>
      </c>
      <c r="L407" s="3345"/>
      <c r="M407" s="3345"/>
      <c r="N407" s="3345"/>
      <c r="O407" s="3345"/>
    </row>
    <row r="408" spans="1:15" s="3159" customFormat="1" ht="12" customHeight="1">
      <c r="A408" s="3441"/>
      <c r="B408" s="3435"/>
      <c r="C408" s="3336" t="s">
        <v>5208</v>
      </c>
      <c r="D408" s="3335">
        <v>20.85</v>
      </c>
      <c r="E408" s="3354">
        <v>8.7899999999999991</v>
      </c>
      <c r="L408" s="3345"/>
      <c r="M408" s="3345"/>
      <c r="N408" s="3345"/>
      <c r="O408" s="3345"/>
    </row>
    <row r="409" spans="1:15" s="3159" customFormat="1" ht="12" customHeight="1">
      <c r="A409" s="3441"/>
      <c r="B409" s="3435"/>
      <c r="C409" s="3336" t="s">
        <v>5207</v>
      </c>
      <c r="D409" s="3335">
        <v>17.73</v>
      </c>
      <c r="E409" s="3354">
        <v>7.47</v>
      </c>
      <c r="L409" s="3345"/>
      <c r="M409" s="3345"/>
      <c r="N409" s="3345"/>
      <c r="O409" s="3345"/>
    </row>
    <row r="410" spans="1:15" s="3159" customFormat="1" ht="12" customHeight="1">
      <c r="A410" s="3441"/>
      <c r="B410" s="3435"/>
      <c r="C410" s="3336" t="s">
        <v>5206</v>
      </c>
      <c r="D410" s="3335">
        <v>17.73</v>
      </c>
      <c r="E410" s="3354">
        <v>7.47</v>
      </c>
      <c r="L410" s="3345"/>
      <c r="M410" s="3345"/>
      <c r="N410" s="3345"/>
      <c r="O410" s="3345"/>
    </row>
    <row r="411" spans="1:15" s="3159" customFormat="1" ht="12" customHeight="1">
      <c r="A411" s="3441"/>
      <c r="B411" s="3435"/>
      <c r="C411" s="3336" t="s">
        <v>5205</v>
      </c>
      <c r="D411" s="3335">
        <v>20.85</v>
      </c>
      <c r="E411" s="3354">
        <v>8.7899999999999991</v>
      </c>
      <c r="L411" s="3345"/>
      <c r="M411" s="3345"/>
      <c r="N411" s="3345"/>
      <c r="O411" s="3345"/>
    </row>
    <row r="412" spans="1:15" s="3159" customFormat="1" ht="12" customHeight="1">
      <c r="A412" s="3441"/>
      <c r="B412" s="3435"/>
      <c r="C412" s="3336" t="s">
        <v>5204</v>
      </c>
      <c r="D412" s="3335">
        <v>17.829999999999998</v>
      </c>
      <c r="E412" s="3354">
        <v>7.52</v>
      </c>
      <c r="L412" s="3345"/>
      <c r="M412" s="3345"/>
      <c r="N412" s="3345"/>
      <c r="O412" s="3345"/>
    </row>
    <row r="413" spans="1:15" s="3159" customFormat="1" ht="12" customHeight="1">
      <c r="A413" s="3441"/>
      <c r="B413" s="3435"/>
      <c r="C413" s="3336" t="s">
        <v>5203</v>
      </c>
      <c r="D413" s="3335">
        <v>17</v>
      </c>
      <c r="E413" s="3354">
        <v>7.17</v>
      </c>
      <c r="L413" s="3345"/>
      <c r="M413" s="3345"/>
      <c r="N413" s="3345"/>
      <c r="O413" s="3345"/>
    </row>
    <row r="414" spans="1:15" s="3159" customFormat="1" ht="12" customHeight="1">
      <c r="A414" s="3441"/>
      <c r="B414" s="3435"/>
      <c r="C414" s="3336" t="s">
        <v>5202</v>
      </c>
      <c r="D414" s="3335">
        <v>20.399999999999999</v>
      </c>
      <c r="E414" s="3354">
        <v>8.6</v>
      </c>
      <c r="L414" s="3345"/>
      <c r="M414" s="3345"/>
      <c r="N414" s="3345"/>
      <c r="O414" s="3345"/>
    </row>
    <row r="415" spans="1:15" s="3159" customFormat="1" ht="12" customHeight="1">
      <c r="A415" s="3441"/>
      <c r="B415" s="3435"/>
      <c r="C415" s="3336" t="s">
        <v>5201</v>
      </c>
      <c r="D415" s="3335">
        <v>21.68</v>
      </c>
      <c r="E415" s="3354">
        <v>9.14</v>
      </c>
      <c r="F415" s="3338">
        <f>SUM(E369:E400)</f>
        <v>1738.88</v>
      </c>
      <c r="G415" s="3338">
        <f>SUM(E401:E416)</f>
        <v>143.66</v>
      </c>
      <c r="L415" s="3345"/>
      <c r="M415" s="3345"/>
      <c r="N415" s="3345"/>
      <c r="O415" s="3345"/>
    </row>
    <row r="416" spans="1:15" s="3159" customFormat="1" ht="12" customHeight="1">
      <c r="A416" s="3442"/>
      <c r="B416" s="3435"/>
      <c r="C416" s="3336" t="s">
        <v>5200</v>
      </c>
      <c r="D416" s="3335">
        <v>13.23</v>
      </c>
      <c r="E416" s="3354">
        <v>5.58</v>
      </c>
      <c r="F416" s="3338">
        <f>SUM(D369:D400)</f>
        <v>4125.4400000000005</v>
      </c>
      <c r="G416" s="3338">
        <f>SUM(D401:D416)</f>
        <v>340.80999999999995</v>
      </c>
      <c r="L416" s="3345"/>
      <c r="M416" s="3345"/>
      <c r="N416" s="3345"/>
      <c r="O416" s="3345"/>
    </row>
    <row r="417" spans="1:15" s="3159" customFormat="1" ht="12" customHeight="1">
      <c r="A417" s="3435" t="s">
        <v>3475</v>
      </c>
      <c r="B417" s="3435" t="s">
        <v>5222</v>
      </c>
      <c r="C417" s="3336" t="s">
        <v>5089</v>
      </c>
      <c r="D417" s="3335">
        <v>129.69</v>
      </c>
      <c r="E417" s="3354">
        <v>54.67</v>
      </c>
      <c r="H417" s="3338"/>
      <c r="L417" s="3345"/>
      <c r="M417" s="3345"/>
      <c r="N417" s="3345"/>
      <c r="O417" s="3345"/>
    </row>
    <row r="418" spans="1:15" s="3159" customFormat="1" ht="12" customHeight="1">
      <c r="A418" s="3435"/>
      <c r="B418" s="3435"/>
      <c r="C418" s="3336" t="s">
        <v>5088</v>
      </c>
      <c r="D418" s="3335">
        <v>129.34</v>
      </c>
      <c r="E418" s="3354">
        <v>54.52</v>
      </c>
      <c r="L418" s="3345"/>
      <c r="M418" s="3345"/>
      <c r="N418" s="3345"/>
      <c r="O418" s="3345"/>
    </row>
    <row r="419" spans="1:15" s="3159" customFormat="1" ht="12" customHeight="1">
      <c r="A419" s="3435"/>
      <c r="B419" s="3435"/>
      <c r="C419" s="3336" t="s">
        <v>4988</v>
      </c>
      <c r="D419" s="3335">
        <v>129.69</v>
      </c>
      <c r="E419" s="3354">
        <v>54.67</v>
      </c>
      <c r="L419" s="3345"/>
      <c r="M419" s="3345"/>
      <c r="N419" s="3345"/>
      <c r="O419" s="3345"/>
    </row>
    <row r="420" spans="1:15" s="3159" customFormat="1" ht="12" customHeight="1">
      <c r="A420" s="3435"/>
      <c r="B420" s="3435"/>
      <c r="C420" s="3336" t="s">
        <v>4987</v>
      </c>
      <c r="D420" s="3335">
        <v>129.34</v>
      </c>
      <c r="E420" s="3354">
        <v>54.52</v>
      </c>
      <c r="L420" s="3345"/>
      <c r="M420" s="3345"/>
      <c r="N420" s="3345"/>
      <c r="O420" s="3345"/>
    </row>
    <row r="421" spans="1:15" s="3159" customFormat="1" ht="12" customHeight="1">
      <c r="A421" s="3435"/>
      <c r="B421" s="3435"/>
      <c r="C421" s="3336" t="s">
        <v>4887</v>
      </c>
      <c r="D421" s="3339">
        <v>129.69</v>
      </c>
      <c r="E421" s="3354">
        <v>54.67</v>
      </c>
      <c r="L421" s="3345"/>
      <c r="M421" s="3345"/>
      <c r="N421" s="3345"/>
      <c r="O421" s="3345"/>
    </row>
    <row r="422" spans="1:15" s="3159" customFormat="1" ht="12" customHeight="1">
      <c r="A422" s="3435"/>
      <c r="B422" s="3435"/>
      <c r="C422" s="3336" t="s">
        <v>4886</v>
      </c>
      <c r="D422" s="3339">
        <v>129.34</v>
      </c>
      <c r="E422" s="3354">
        <v>54.52</v>
      </c>
      <c r="L422" s="3345"/>
      <c r="M422" s="3345"/>
      <c r="N422" s="3345"/>
      <c r="O422" s="3345"/>
    </row>
    <row r="423" spans="1:15" s="3159" customFormat="1" ht="12" customHeight="1">
      <c r="A423" s="3435"/>
      <c r="B423" s="3435"/>
      <c r="C423" s="3336" t="s">
        <v>5220</v>
      </c>
      <c r="D423" s="3339">
        <v>129.69</v>
      </c>
      <c r="E423" s="3354">
        <v>54.67</v>
      </c>
      <c r="L423" s="3345"/>
      <c r="M423" s="3345"/>
      <c r="N423" s="3345"/>
      <c r="O423" s="3345"/>
    </row>
    <row r="424" spans="1:15" s="3159" customFormat="1" ht="12" customHeight="1">
      <c r="A424" s="3435"/>
      <c r="B424" s="3435"/>
      <c r="C424" s="3336" t="s">
        <v>5219</v>
      </c>
      <c r="D424" s="3335">
        <v>129.34</v>
      </c>
      <c r="E424" s="3354">
        <v>54.52</v>
      </c>
      <c r="L424" s="3345"/>
      <c r="M424" s="3345"/>
      <c r="N424" s="3345"/>
      <c r="O424" s="3345"/>
    </row>
    <row r="425" spans="1:15" s="3159" customFormat="1" ht="12" customHeight="1">
      <c r="A425" s="3435"/>
      <c r="B425" s="3435"/>
      <c r="C425" s="3336" t="s">
        <v>5218</v>
      </c>
      <c r="D425" s="3339">
        <v>129.69</v>
      </c>
      <c r="E425" s="3354">
        <v>54.67</v>
      </c>
      <c r="L425" s="3345"/>
      <c r="M425" s="3345"/>
      <c r="N425" s="3345"/>
      <c r="O425" s="3345"/>
    </row>
    <row r="426" spans="1:15" s="3159" customFormat="1" ht="12" customHeight="1">
      <c r="A426" s="3435"/>
      <c r="B426" s="3435"/>
      <c r="C426" s="3336" t="s">
        <v>5217</v>
      </c>
      <c r="D426" s="3339">
        <v>129.34</v>
      </c>
      <c r="E426" s="3354">
        <v>54.52</v>
      </c>
      <c r="L426" s="3345"/>
      <c r="M426" s="3345"/>
      <c r="N426" s="3345"/>
      <c r="O426" s="3345"/>
    </row>
    <row r="427" spans="1:15" s="3159" customFormat="1" ht="12" customHeight="1">
      <c r="A427" s="3435"/>
      <c r="B427" s="3435"/>
      <c r="C427" s="3336" t="s">
        <v>5216</v>
      </c>
      <c r="D427" s="3335">
        <v>129.69</v>
      </c>
      <c r="E427" s="3354">
        <v>54.67</v>
      </c>
      <c r="L427" s="3345"/>
      <c r="M427" s="3345"/>
      <c r="N427" s="3345"/>
      <c r="O427" s="3345"/>
    </row>
    <row r="428" spans="1:15" s="3159" customFormat="1" ht="12" customHeight="1">
      <c r="A428" s="3435"/>
      <c r="B428" s="3435"/>
      <c r="C428" s="3336" t="s">
        <v>5215</v>
      </c>
      <c r="D428" s="3335">
        <v>129.34</v>
      </c>
      <c r="E428" s="3354">
        <v>54.52</v>
      </c>
      <c r="L428" s="3345"/>
      <c r="M428" s="3345"/>
      <c r="N428" s="3345"/>
      <c r="O428" s="3345"/>
    </row>
    <row r="429" spans="1:15" s="3159" customFormat="1" ht="12" customHeight="1">
      <c r="A429" s="3435"/>
      <c r="B429" s="3435" t="s">
        <v>5221</v>
      </c>
      <c r="C429" s="3336" t="s">
        <v>5089</v>
      </c>
      <c r="D429" s="3335">
        <v>129.34</v>
      </c>
      <c r="E429" s="3354">
        <v>54.52</v>
      </c>
      <c r="L429" s="3345"/>
      <c r="M429" s="3345"/>
      <c r="N429" s="3345"/>
      <c r="O429" s="3345"/>
    </row>
    <row r="430" spans="1:15" s="3159" customFormat="1" ht="12" customHeight="1">
      <c r="A430" s="3435"/>
      <c r="B430" s="3435"/>
      <c r="C430" s="3336" t="s">
        <v>5088</v>
      </c>
      <c r="D430" s="3335">
        <v>129.69</v>
      </c>
      <c r="E430" s="3354">
        <v>54.67</v>
      </c>
      <c r="L430" s="3345"/>
      <c r="M430" s="3345"/>
      <c r="N430" s="3345"/>
      <c r="O430" s="3345"/>
    </row>
    <row r="431" spans="1:15" s="3159" customFormat="1" ht="12" customHeight="1">
      <c r="A431" s="3435"/>
      <c r="B431" s="3435"/>
      <c r="C431" s="3336" t="s">
        <v>4988</v>
      </c>
      <c r="D431" s="3335">
        <v>129.34</v>
      </c>
      <c r="E431" s="3354">
        <v>54.52</v>
      </c>
      <c r="L431" s="3345"/>
      <c r="M431" s="3345"/>
      <c r="N431" s="3345"/>
      <c r="O431" s="3345"/>
    </row>
    <row r="432" spans="1:15" s="3159" customFormat="1" ht="12" customHeight="1">
      <c r="A432" s="3435"/>
      <c r="B432" s="3435"/>
      <c r="C432" s="3336" t="s">
        <v>4987</v>
      </c>
      <c r="D432" s="3335">
        <v>129.69</v>
      </c>
      <c r="E432" s="3354">
        <v>54.67</v>
      </c>
      <c r="L432" s="3345"/>
      <c r="M432" s="3345"/>
      <c r="N432" s="3345"/>
      <c r="O432" s="3345"/>
    </row>
    <row r="433" spans="1:15" s="3159" customFormat="1" ht="12" customHeight="1">
      <c r="A433" s="3435"/>
      <c r="B433" s="3435"/>
      <c r="C433" s="3336" t="s">
        <v>4887</v>
      </c>
      <c r="D433" s="3339">
        <v>129.34</v>
      </c>
      <c r="E433" s="3354">
        <v>54.52</v>
      </c>
      <c r="L433" s="3345"/>
      <c r="M433" s="3345"/>
      <c r="N433" s="3345"/>
      <c r="O433" s="3345"/>
    </row>
    <row r="434" spans="1:15" s="3159" customFormat="1" ht="12" customHeight="1">
      <c r="A434" s="3435"/>
      <c r="B434" s="3435"/>
      <c r="C434" s="3336" t="s">
        <v>4886</v>
      </c>
      <c r="D434" s="3339">
        <v>129.69</v>
      </c>
      <c r="E434" s="3354">
        <v>54.67</v>
      </c>
      <c r="L434" s="3345"/>
      <c r="M434" s="3345"/>
      <c r="N434" s="3345"/>
      <c r="O434" s="3345"/>
    </row>
    <row r="435" spans="1:15" s="3159" customFormat="1" ht="12" customHeight="1">
      <c r="A435" s="3435"/>
      <c r="B435" s="3435"/>
      <c r="C435" s="3336" t="s">
        <v>5220</v>
      </c>
      <c r="D435" s="3339">
        <v>129.34</v>
      </c>
      <c r="E435" s="3354">
        <v>54.52</v>
      </c>
      <c r="L435" s="3345"/>
      <c r="M435" s="3345"/>
      <c r="N435" s="3345"/>
      <c r="O435" s="3345"/>
    </row>
    <row r="436" spans="1:15" s="3159" customFormat="1" ht="12" customHeight="1">
      <c r="A436" s="3435"/>
      <c r="B436" s="3435"/>
      <c r="C436" s="3336" t="s">
        <v>5219</v>
      </c>
      <c r="D436" s="3339">
        <v>129.69</v>
      </c>
      <c r="E436" s="3354">
        <v>54.67</v>
      </c>
      <c r="L436" s="3345"/>
      <c r="M436" s="3345"/>
      <c r="N436" s="3345"/>
      <c r="O436" s="3345"/>
    </row>
    <row r="437" spans="1:15" s="3159" customFormat="1" ht="12" customHeight="1">
      <c r="A437" s="3435"/>
      <c r="B437" s="3435"/>
      <c r="C437" s="3336" t="s">
        <v>5218</v>
      </c>
      <c r="D437" s="3339">
        <v>129.34</v>
      </c>
      <c r="E437" s="3354">
        <v>54.52</v>
      </c>
      <c r="L437" s="3345"/>
      <c r="M437" s="3345"/>
      <c r="N437" s="3345"/>
      <c r="O437" s="3345"/>
    </row>
    <row r="438" spans="1:15" s="3159" customFormat="1" ht="12" customHeight="1">
      <c r="A438" s="3435"/>
      <c r="B438" s="3435"/>
      <c r="C438" s="3336" t="s">
        <v>5217</v>
      </c>
      <c r="D438" s="3339">
        <v>129.69</v>
      </c>
      <c r="E438" s="3354">
        <v>54.67</v>
      </c>
      <c r="L438" s="3345"/>
      <c r="M438" s="3345"/>
      <c r="N438" s="3345"/>
      <c r="O438" s="3345"/>
    </row>
    <row r="439" spans="1:15" s="3159" customFormat="1" ht="12" customHeight="1">
      <c r="A439" s="3435"/>
      <c r="B439" s="3435"/>
      <c r="C439" s="3336" t="s">
        <v>5216</v>
      </c>
      <c r="D439" s="3335">
        <v>129.34</v>
      </c>
      <c r="E439" s="3354">
        <v>54.52</v>
      </c>
      <c r="L439" s="3345"/>
      <c r="M439" s="3345"/>
      <c r="N439" s="3345"/>
      <c r="O439" s="3345"/>
    </row>
    <row r="440" spans="1:15" s="3159" customFormat="1" ht="12" customHeight="1">
      <c r="A440" s="3435"/>
      <c r="B440" s="3435"/>
      <c r="C440" s="3336" t="s">
        <v>5215</v>
      </c>
      <c r="D440" s="3335">
        <v>129.69</v>
      </c>
      <c r="E440" s="3354">
        <v>54.67</v>
      </c>
      <c r="L440" s="3345"/>
      <c r="M440" s="3345"/>
      <c r="N440" s="3345"/>
      <c r="O440" s="3345"/>
    </row>
    <row r="441" spans="1:15" s="3159" customFormat="1" ht="12" customHeight="1">
      <c r="A441" s="3435"/>
      <c r="B441" s="3435" t="s">
        <v>4925</v>
      </c>
      <c r="C441" s="3336" t="s">
        <v>5214</v>
      </c>
      <c r="D441" s="3335">
        <v>20.73</v>
      </c>
      <c r="E441" s="3354">
        <v>8.74</v>
      </c>
      <c r="L441" s="3345"/>
      <c r="M441" s="3345"/>
      <c r="N441" s="3345"/>
      <c r="O441" s="3345"/>
    </row>
    <row r="442" spans="1:15" s="3159" customFormat="1" ht="12" customHeight="1">
      <c r="A442" s="3435"/>
      <c r="B442" s="3435"/>
      <c r="C442" s="3336" t="s">
        <v>5087</v>
      </c>
      <c r="D442" s="3335">
        <v>21.07</v>
      </c>
      <c r="E442" s="3354">
        <v>8.8800000000000008</v>
      </c>
      <c r="L442" s="3345"/>
      <c r="M442" s="3345"/>
      <c r="N442" s="3345"/>
      <c r="O442" s="3345"/>
    </row>
    <row r="443" spans="1:15" s="3159" customFormat="1" ht="12" customHeight="1">
      <c r="A443" s="3435"/>
      <c r="B443" s="3435"/>
      <c r="C443" s="3336" t="s">
        <v>5213</v>
      </c>
      <c r="D443" s="3335">
        <v>24.69</v>
      </c>
      <c r="E443" s="3354">
        <v>10.41</v>
      </c>
      <c r="L443" s="3345"/>
      <c r="M443" s="3345"/>
      <c r="N443" s="3345"/>
      <c r="O443" s="3345"/>
    </row>
    <row r="444" spans="1:15" s="3159" customFormat="1" ht="12" customHeight="1">
      <c r="A444" s="3435"/>
      <c r="B444" s="3435"/>
      <c r="C444" s="3336" t="s">
        <v>5212</v>
      </c>
      <c r="D444" s="3335">
        <v>18.27</v>
      </c>
      <c r="E444" s="3354">
        <v>7.7</v>
      </c>
      <c r="L444" s="3345"/>
      <c r="M444" s="3345"/>
      <c r="N444" s="3345"/>
      <c r="O444" s="3345"/>
    </row>
    <row r="445" spans="1:15" s="3159" customFormat="1" ht="12" customHeight="1">
      <c r="A445" s="3435"/>
      <c r="B445" s="3435"/>
      <c r="C445" s="3336" t="s">
        <v>5211</v>
      </c>
      <c r="D445" s="3335">
        <v>15.97</v>
      </c>
      <c r="E445" s="3354">
        <v>6.73</v>
      </c>
      <c r="L445" s="3345"/>
      <c r="M445" s="3345"/>
      <c r="N445" s="3345"/>
      <c r="O445" s="3345"/>
    </row>
    <row r="446" spans="1:15" s="3159" customFormat="1" ht="12" customHeight="1">
      <c r="A446" s="3435"/>
      <c r="B446" s="3435"/>
      <c r="C446" s="3336" t="s">
        <v>5210</v>
      </c>
      <c r="D446" s="3335">
        <v>15.23</v>
      </c>
      <c r="E446" s="3354">
        <v>6.42</v>
      </c>
      <c r="L446" s="3345"/>
      <c r="M446" s="3345"/>
      <c r="N446" s="3345"/>
      <c r="O446" s="3345"/>
    </row>
    <row r="447" spans="1:15" s="3159" customFormat="1" ht="12" customHeight="1">
      <c r="A447" s="3435"/>
      <c r="B447" s="3435"/>
      <c r="C447" s="3336" t="s">
        <v>5209</v>
      </c>
      <c r="D447" s="3335">
        <v>15.87</v>
      </c>
      <c r="E447" s="3354">
        <v>6.69</v>
      </c>
      <c r="L447" s="3345"/>
      <c r="M447" s="3345"/>
      <c r="N447" s="3345"/>
      <c r="O447" s="3345"/>
    </row>
    <row r="448" spans="1:15" s="3159" customFormat="1" ht="12" customHeight="1">
      <c r="A448" s="3435"/>
      <c r="B448" s="3435"/>
      <c r="C448" s="3336" t="s">
        <v>5208</v>
      </c>
      <c r="D448" s="3335">
        <v>18.68</v>
      </c>
      <c r="E448" s="3354">
        <v>7.87</v>
      </c>
      <c r="L448" s="3345"/>
      <c r="M448" s="3345"/>
      <c r="N448" s="3345"/>
      <c r="O448" s="3345"/>
    </row>
    <row r="449" spans="1:15" s="3159" customFormat="1" ht="12" customHeight="1">
      <c r="A449" s="3435"/>
      <c r="B449" s="3435"/>
      <c r="C449" s="3336" t="s">
        <v>5207</v>
      </c>
      <c r="D449" s="3335">
        <v>18.68</v>
      </c>
      <c r="E449" s="3354">
        <v>7.87</v>
      </c>
      <c r="L449" s="3345"/>
      <c r="M449" s="3345"/>
      <c r="N449" s="3345"/>
      <c r="O449" s="3345"/>
    </row>
    <row r="450" spans="1:15" s="3159" customFormat="1" ht="12" customHeight="1">
      <c r="A450" s="3435"/>
      <c r="B450" s="3435"/>
      <c r="C450" s="3336" t="s">
        <v>5206</v>
      </c>
      <c r="D450" s="3335">
        <v>15.87</v>
      </c>
      <c r="E450" s="3354">
        <v>6.69</v>
      </c>
      <c r="L450" s="3345"/>
      <c r="M450" s="3345"/>
      <c r="N450" s="3345"/>
      <c r="O450" s="3345"/>
    </row>
    <row r="451" spans="1:15" s="3159" customFormat="1" ht="12" customHeight="1">
      <c r="A451" s="3435" t="s">
        <v>3475</v>
      </c>
      <c r="B451" s="3435" t="s">
        <v>4925</v>
      </c>
      <c r="C451" s="3336" t="s">
        <v>5205</v>
      </c>
      <c r="D451" s="3335">
        <v>20.04</v>
      </c>
      <c r="E451" s="3354">
        <v>8.4499999999999993</v>
      </c>
      <c r="L451" s="3345"/>
      <c r="M451" s="3345"/>
      <c r="N451" s="3345"/>
      <c r="O451" s="3345"/>
    </row>
    <row r="452" spans="1:15" s="3159" customFormat="1" ht="12" customHeight="1">
      <c r="A452" s="3435"/>
      <c r="B452" s="3435"/>
      <c r="C452" s="3336" t="s">
        <v>5204</v>
      </c>
      <c r="D452" s="3335">
        <v>22.27</v>
      </c>
      <c r="E452" s="3354">
        <v>9.39</v>
      </c>
      <c r="L452" s="3345"/>
      <c r="M452" s="3345"/>
      <c r="N452" s="3345"/>
      <c r="O452" s="3345"/>
    </row>
    <row r="453" spans="1:15" s="3159" customFormat="1" ht="12" customHeight="1">
      <c r="A453" s="3435"/>
      <c r="B453" s="3435"/>
      <c r="C453" s="3336" t="s">
        <v>5203</v>
      </c>
      <c r="D453" s="3335">
        <v>22.27</v>
      </c>
      <c r="E453" s="3354">
        <v>9.39</v>
      </c>
      <c r="L453" s="3345"/>
      <c r="M453" s="3345"/>
      <c r="N453" s="3345"/>
      <c r="O453" s="3345"/>
    </row>
    <row r="454" spans="1:15" s="3159" customFormat="1" ht="12" customHeight="1">
      <c r="A454" s="3435"/>
      <c r="B454" s="3435"/>
      <c r="C454" s="3336" t="s">
        <v>5202</v>
      </c>
      <c r="D454" s="3335">
        <v>20.04</v>
      </c>
      <c r="E454" s="3354">
        <v>8.4499999999999993</v>
      </c>
      <c r="L454" s="3345"/>
      <c r="M454" s="3345"/>
      <c r="N454" s="3345"/>
      <c r="O454" s="3345"/>
    </row>
    <row r="455" spans="1:15" s="3159" customFormat="1" ht="12" customHeight="1">
      <c r="A455" s="3435"/>
      <c r="B455" s="3435"/>
      <c r="C455" s="3336" t="s">
        <v>5201</v>
      </c>
      <c r="D455" s="3335">
        <v>15.87</v>
      </c>
      <c r="E455" s="3354">
        <v>6.69</v>
      </c>
      <c r="L455" s="3345"/>
      <c r="M455" s="3345"/>
      <c r="N455" s="3345"/>
      <c r="O455" s="3345"/>
    </row>
    <row r="456" spans="1:15" s="3159" customFormat="1" ht="12" customHeight="1">
      <c r="A456" s="3435"/>
      <c r="B456" s="3435"/>
      <c r="C456" s="3336" t="s">
        <v>5200</v>
      </c>
      <c r="D456" s="3335">
        <v>18.68</v>
      </c>
      <c r="E456" s="3354">
        <v>7.87</v>
      </c>
      <c r="L456" s="3345"/>
      <c r="M456" s="3345"/>
      <c r="N456" s="3345"/>
      <c r="O456" s="3345"/>
    </row>
    <row r="457" spans="1:15" s="3159" customFormat="1" ht="12" customHeight="1">
      <c r="A457" s="3435"/>
      <c r="B457" s="3435"/>
      <c r="C457" s="3336" t="s">
        <v>5199</v>
      </c>
      <c r="D457" s="3335">
        <v>18.68</v>
      </c>
      <c r="E457" s="3354">
        <v>7.87</v>
      </c>
      <c r="L457" s="3345"/>
      <c r="M457" s="3345"/>
      <c r="N457" s="3345"/>
      <c r="O457" s="3345"/>
    </row>
    <row r="458" spans="1:15" s="3159" customFormat="1" ht="12" customHeight="1">
      <c r="A458" s="3435"/>
      <c r="B458" s="3435"/>
      <c r="C458" s="3336" t="s">
        <v>5198</v>
      </c>
      <c r="D458" s="3335">
        <v>15.87</v>
      </c>
      <c r="E458" s="3354">
        <v>6.69</v>
      </c>
      <c r="L458" s="3345"/>
      <c r="M458" s="3345"/>
      <c r="N458" s="3345"/>
      <c r="O458" s="3345"/>
    </row>
    <row r="459" spans="1:15" s="3159" customFormat="1" ht="12" customHeight="1">
      <c r="A459" s="3435"/>
      <c r="B459" s="3435"/>
      <c r="C459" s="3336" t="s">
        <v>5197</v>
      </c>
      <c r="D459" s="3335">
        <v>15.23</v>
      </c>
      <c r="E459" s="3354">
        <v>6.42</v>
      </c>
      <c r="L459" s="3345"/>
      <c r="M459" s="3345"/>
      <c r="N459" s="3345"/>
      <c r="O459" s="3345"/>
    </row>
    <row r="460" spans="1:15" s="3159" customFormat="1" ht="12" customHeight="1">
      <c r="A460" s="3435"/>
      <c r="B460" s="3435"/>
      <c r="C460" s="3336" t="s">
        <v>5196</v>
      </c>
      <c r="D460" s="3335">
        <v>15.97</v>
      </c>
      <c r="E460" s="3354">
        <v>6.73</v>
      </c>
      <c r="L460" s="3345"/>
      <c r="M460" s="3345"/>
      <c r="N460" s="3345"/>
      <c r="O460" s="3345"/>
    </row>
    <row r="461" spans="1:15" s="3159" customFormat="1" ht="12" customHeight="1">
      <c r="A461" s="3435"/>
      <c r="B461" s="3435"/>
      <c r="C461" s="3336" t="s">
        <v>5195</v>
      </c>
      <c r="D461" s="3335">
        <v>18.27</v>
      </c>
      <c r="E461" s="3354">
        <v>7.7</v>
      </c>
      <c r="L461" s="3345"/>
      <c r="M461" s="3345"/>
      <c r="N461" s="3345"/>
      <c r="O461" s="3345"/>
    </row>
    <row r="462" spans="1:15" s="3159" customFormat="1" ht="12" customHeight="1">
      <c r="A462" s="3435"/>
      <c r="B462" s="3435"/>
      <c r="C462" s="3336" t="s">
        <v>5194</v>
      </c>
      <c r="D462" s="3335">
        <v>19.420000000000002</v>
      </c>
      <c r="E462" s="3354">
        <v>8.19</v>
      </c>
      <c r="F462" s="3338">
        <f>SUM(E417:E440)</f>
        <v>1310.28</v>
      </c>
      <c r="G462" s="3338">
        <f>SUM(E441:E463)</f>
        <v>176.83999999999997</v>
      </c>
      <c r="L462" s="3345"/>
      <c r="M462" s="3345"/>
      <c r="N462" s="3345"/>
      <c r="O462" s="3345"/>
    </row>
    <row r="463" spans="1:15" s="3159" customFormat="1" ht="12" customHeight="1">
      <c r="A463" s="3435"/>
      <c r="B463" s="3435"/>
      <c r="C463" s="3336" t="s">
        <v>5193</v>
      </c>
      <c r="D463" s="3335">
        <v>11.85</v>
      </c>
      <c r="E463" s="3354">
        <v>5</v>
      </c>
      <c r="F463" s="3338">
        <f>SUM(D417:D440)</f>
        <v>3108.3600000000006</v>
      </c>
      <c r="G463" s="3338">
        <f>SUM(D441:D463)</f>
        <v>419.5200000000001</v>
      </c>
      <c r="L463" s="3345"/>
      <c r="M463" s="3345"/>
      <c r="N463" s="3345"/>
      <c r="O463" s="3345"/>
    </row>
    <row r="464" spans="1:15" s="3159" customFormat="1" ht="12" customHeight="1">
      <c r="A464" s="3438" t="s">
        <v>5192</v>
      </c>
      <c r="B464" s="3438" t="s">
        <v>5191</v>
      </c>
      <c r="C464" s="3356" t="s">
        <v>5089</v>
      </c>
      <c r="D464" s="3357">
        <v>160.78</v>
      </c>
      <c r="E464" s="3358">
        <v>72.56</v>
      </c>
      <c r="L464" s="3345"/>
      <c r="M464" s="3345"/>
      <c r="N464" s="3345"/>
      <c r="O464" s="3345"/>
    </row>
    <row r="465" spans="1:15" s="3159" customFormat="1" ht="12" customHeight="1">
      <c r="A465" s="3438"/>
      <c r="B465" s="3438"/>
      <c r="C465" s="3356" t="s">
        <v>5088</v>
      </c>
      <c r="D465" s="3357">
        <v>45.33</v>
      </c>
      <c r="E465" s="3358">
        <v>20.46</v>
      </c>
      <c r="F465" s="3338">
        <f>E464+E465+E466</f>
        <v>139.99</v>
      </c>
      <c r="L465" s="3345"/>
      <c r="M465" s="3345"/>
      <c r="N465" s="3345"/>
      <c r="O465" s="3345"/>
    </row>
    <row r="466" spans="1:15" s="3159" customFormat="1" ht="12" customHeight="1">
      <c r="A466" s="3438"/>
      <c r="B466" s="3355" t="s">
        <v>5190</v>
      </c>
      <c r="C466" s="3356" t="s">
        <v>4988</v>
      </c>
      <c r="D466" s="3357">
        <v>104.07</v>
      </c>
      <c r="E466" s="3358">
        <v>46.97</v>
      </c>
      <c r="F466" s="3338">
        <f>D464+D465+D466</f>
        <v>310.18</v>
      </c>
      <c r="L466" s="3345"/>
      <c r="M466" s="3345"/>
      <c r="N466" s="3345"/>
      <c r="O466" s="3345"/>
    </row>
    <row r="467" spans="1:15" s="3159" customFormat="1" ht="12" customHeight="1">
      <c r="A467" s="3435" t="s">
        <v>4866</v>
      </c>
      <c r="B467" s="3435" t="s">
        <v>4925</v>
      </c>
      <c r="C467" s="3336" t="s">
        <v>5189</v>
      </c>
      <c r="D467" s="3335">
        <v>32.92</v>
      </c>
      <c r="E467" s="3354">
        <v>13.88</v>
      </c>
      <c r="L467" s="3345"/>
      <c r="M467" s="3345"/>
      <c r="N467" s="3345"/>
      <c r="O467" s="3345"/>
    </row>
    <row r="468" spans="1:15" s="3159" customFormat="1" ht="12" customHeight="1">
      <c r="A468" s="3435"/>
      <c r="B468" s="3435"/>
      <c r="C468" s="3336" t="s">
        <v>5188</v>
      </c>
      <c r="D468" s="3335">
        <v>32.92</v>
      </c>
      <c r="E468" s="3354">
        <v>13.88</v>
      </c>
      <c r="G468" s="3338"/>
      <c r="L468" s="3345"/>
      <c r="M468" s="3345"/>
      <c r="N468" s="3345"/>
      <c r="O468" s="3345"/>
    </row>
    <row r="469" spans="1:15" s="3159" customFormat="1" ht="12" customHeight="1">
      <c r="A469" s="3435"/>
      <c r="B469" s="3435"/>
      <c r="C469" s="3336" t="s">
        <v>5187</v>
      </c>
      <c r="D469" s="3335">
        <v>32.92</v>
      </c>
      <c r="E469" s="3354">
        <v>13.88</v>
      </c>
      <c r="L469" s="3345"/>
      <c r="M469" s="3345"/>
      <c r="N469" s="3345"/>
      <c r="O469" s="3345"/>
    </row>
    <row r="470" spans="1:15" s="3159" customFormat="1" ht="12" customHeight="1">
      <c r="A470" s="3435"/>
      <c r="B470" s="3435"/>
      <c r="C470" s="3336" t="s">
        <v>5186</v>
      </c>
      <c r="D470" s="3335">
        <v>32.92</v>
      </c>
      <c r="E470" s="3354">
        <v>13.88</v>
      </c>
      <c r="L470" s="3345"/>
      <c r="M470" s="3345"/>
      <c r="N470" s="3345"/>
      <c r="O470" s="3345"/>
    </row>
    <row r="471" spans="1:15" s="3159" customFormat="1" ht="12" customHeight="1">
      <c r="A471" s="3435"/>
      <c r="B471" s="3435"/>
      <c r="C471" s="3336" t="s">
        <v>5185</v>
      </c>
      <c r="D471" s="3335">
        <v>32.92</v>
      </c>
      <c r="E471" s="3354">
        <v>13.88</v>
      </c>
      <c r="L471" s="3345"/>
      <c r="M471" s="3345"/>
      <c r="N471" s="3345"/>
      <c r="O471" s="3345"/>
    </row>
    <row r="472" spans="1:15" s="3159" customFormat="1" ht="12" customHeight="1">
      <c r="A472" s="3435"/>
      <c r="B472" s="3435"/>
      <c r="C472" s="3336" t="s">
        <v>5184</v>
      </c>
      <c r="D472" s="3335">
        <v>32.92</v>
      </c>
      <c r="E472" s="3354">
        <v>13.88</v>
      </c>
      <c r="L472" s="3345"/>
      <c r="M472" s="3345"/>
      <c r="N472" s="3345"/>
      <c r="O472" s="3345"/>
    </row>
    <row r="473" spans="1:15" s="3159" customFormat="1" ht="12" customHeight="1">
      <c r="A473" s="3435"/>
      <c r="B473" s="3435"/>
      <c r="C473" s="3336" t="s">
        <v>5183</v>
      </c>
      <c r="D473" s="3335">
        <v>32.92</v>
      </c>
      <c r="E473" s="3354">
        <v>13.88</v>
      </c>
      <c r="L473" s="3345"/>
      <c r="M473" s="3345"/>
      <c r="N473" s="3345"/>
      <c r="O473" s="3345"/>
    </row>
    <row r="474" spans="1:15" s="3159" customFormat="1" ht="12" customHeight="1">
      <c r="A474" s="3435"/>
      <c r="B474" s="3435"/>
      <c r="C474" s="3336" t="s">
        <v>5182</v>
      </c>
      <c r="D474" s="3335">
        <v>32.92</v>
      </c>
      <c r="E474" s="3354">
        <v>13.88</v>
      </c>
      <c r="L474" s="3345"/>
      <c r="M474" s="3345"/>
      <c r="N474" s="3345"/>
      <c r="O474" s="3345"/>
    </row>
    <row r="475" spans="1:15" s="3159" customFormat="1" ht="12" customHeight="1">
      <c r="A475" s="3435"/>
      <c r="B475" s="3435"/>
      <c r="C475" s="3336" t="s">
        <v>5181</v>
      </c>
      <c r="D475" s="3335">
        <v>32.92</v>
      </c>
      <c r="E475" s="3354">
        <v>13.88</v>
      </c>
      <c r="L475" s="3345"/>
      <c r="M475" s="3345"/>
      <c r="N475" s="3345"/>
      <c r="O475" s="3345"/>
    </row>
    <row r="476" spans="1:15" s="3159" customFormat="1" ht="12" customHeight="1">
      <c r="A476" s="3435"/>
      <c r="B476" s="3435"/>
      <c r="C476" s="3336" t="s">
        <v>5180</v>
      </c>
      <c r="D476" s="3335">
        <v>32.92</v>
      </c>
      <c r="E476" s="3354">
        <v>13.88</v>
      </c>
      <c r="L476" s="3345"/>
      <c r="M476" s="3345"/>
      <c r="N476" s="3345"/>
      <c r="O476" s="3345"/>
    </row>
    <row r="477" spans="1:15" s="3159" customFormat="1" ht="12" customHeight="1">
      <c r="A477" s="3435"/>
      <c r="B477" s="3435"/>
      <c r="C477" s="3336" t="s">
        <v>5179</v>
      </c>
      <c r="D477" s="3335">
        <v>32.92</v>
      </c>
      <c r="E477" s="3354">
        <v>13.88</v>
      </c>
      <c r="L477" s="3345"/>
      <c r="M477" s="3345"/>
      <c r="N477" s="3345"/>
      <c r="O477" s="3345"/>
    </row>
    <row r="478" spans="1:15" s="3159" customFormat="1" ht="12" customHeight="1">
      <c r="A478" s="3435"/>
      <c r="B478" s="3435"/>
      <c r="C478" s="3336" t="s">
        <v>5178</v>
      </c>
      <c r="D478" s="3335">
        <v>32.92</v>
      </c>
      <c r="E478" s="3354">
        <v>13.88</v>
      </c>
      <c r="L478" s="3345"/>
      <c r="M478" s="3345"/>
      <c r="N478" s="3345"/>
      <c r="O478" s="3345"/>
    </row>
    <row r="479" spans="1:15" s="3159" customFormat="1" ht="12" customHeight="1">
      <c r="A479" s="3435"/>
      <c r="B479" s="3435"/>
      <c r="C479" s="3336" t="s">
        <v>5177</v>
      </c>
      <c r="D479" s="3335">
        <v>32.92</v>
      </c>
      <c r="E479" s="3354">
        <v>13.88</v>
      </c>
      <c r="L479" s="3345"/>
      <c r="M479" s="3345"/>
      <c r="N479" s="3345"/>
      <c r="O479" s="3345"/>
    </row>
    <row r="480" spans="1:15" s="3159" customFormat="1" ht="12" customHeight="1">
      <c r="A480" s="3435"/>
      <c r="B480" s="3435"/>
      <c r="C480" s="3336" t="s">
        <v>5176</v>
      </c>
      <c r="D480" s="3335">
        <v>32.92</v>
      </c>
      <c r="E480" s="3354">
        <v>13.88</v>
      </c>
      <c r="L480" s="3345"/>
      <c r="M480" s="3345"/>
      <c r="N480" s="3345"/>
      <c r="O480" s="3345"/>
    </row>
    <row r="481" spans="1:15" s="3159" customFormat="1" ht="12" customHeight="1">
      <c r="A481" s="3435"/>
      <c r="B481" s="3435"/>
      <c r="C481" s="3336" t="s">
        <v>5175</v>
      </c>
      <c r="D481" s="3335">
        <v>32.92</v>
      </c>
      <c r="E481" s="3354">
        <v>13.88</v>
      </c>
      <c r="L481" s="3345"/>
      <c r="M481" s="3345"/>
      <c r="N481" s="3345"/>
      <c r="O481" s="3345"/>
    </row>
    <row r="482" spans="1:15" s="3159" customFormat="1" ht="12" customHeight="1">
      <c r="A482" s="3435"/>
      <c r="B482" s="3435"/>
      <c r="C482" s="3336" t="s">
        <v>5174</v>
      </c>
      <c r="D482" s="3335">
        <v>32.92</v>
      </c>
      <c r="E482" s="3354">
        <v>13.88</v>
      </c>
      <c r="L482" s="3345"/>
      <c r="M482" s="3345"/>
      <c r="N482" s="3345"/>
      <c r="O482" s="3345"/>
    </row>
    <row r="483" spans="1:15" s="3159" customFormat="1" ht="12" customHeight="1">
      <c r="A483" s="3435"/>
      <c r="B483" s="3435"/>
      <c r="C483" s="3336" t="s">
        <v>5173</v>
      </c>
      <c r="D483" s="3335">
        <v>32.92</v>
      </c>
      <c r="E483" s="3354">
        <v>13.88</v>
      </c>
      <c r="L483" s="3345"/>
      <c r="M483" s="3345"/>
      <c r="N483" s="3345"/>
      <c r="O483" s="3345"/>
    </row>
    <row r="484" spans="1:15" s="3159" customFormat="1" ht="12" customHeight="1">
      <c r="A484" s="3435"/>
      <c r="B484" s="3435"/>
      <c r="C484" s="3336" t="s">
        <v>5172</v>
      </c>
      <c r="D484" s="3335">
        <v>32.92</v>
      </c>
      <c r="E484" s="3354">
        <v>13.88</v>
      </c>
      <c r="L484" s="3345"/>
      <c r="M484" s="3345"/>
      <c r="N484" s="3345"/>
      <c r="O484" s="3345"/>
    </row>
    <row r="485" spans="1:15" s="3159" customFormat="1" ht="12" customHeight="1">
      <c r="A485" s="3435"/>
      <c r="B485" s="3435"/>
      <c r="C485" s="3336" t="s">
        <v>5171</v>
      </c>
      <c r="D485" s="3335">
        <v>32.92</v>
      </c>
      <c r="E485" s="3354">
        <v>13.88</v>
      </c>
      <c r="L485" s="3345"/>
      <c r="M485" s="3345"/>
      <c r="N485" s="3345"/>
      <c r="O485" s="3345"/>
    </row>
    <row r="486" spans="1:15" s="3159" customFormat="1" ht="12" customHeight="1">
      <c r="A486" s="3435"/>
      <c r="B486" s="3435"/>
      <c r="C486" s="3336" t="s">
        <v>5170</v>
      </c>
      <c r="D486" s="3335">
        <v>32.92</v>
      </c>
      <c r="E486" s="3354">
        <v>13.88</v>
      </c>
      <c r="L486" s="3345"/>
      <c r="M486" s="3345"/>
      <c r="N486" s="3345"/>
      <c r="O486" s="3345"/>
    </row>
    <row r="487" spans="1:15" s="3159" customFormat="1" ht="12" customHeight="1">
      <c r="A487" s="3435"/>
      <c r="B487" s="3435"/>
      <c r="C487" s="3336" t="s">
        <v>5169</v>
      </c>
      <c r="D487" s="3335">
        <v>32.92</v>
      </c>
      <c r="E487" s="3354">
        <v>13.88</v>
      </c>
      <c r="L487" s="3345"/>
      <c r="M487" s="3345"/>
      <c r="N487" s="3345"/>
      <c r="O487" s="3345"/>
    </row>
    <row r="488" spans="1:15" s="3159" customFormat="1" ht="12" customHeight="1">
      <c r="A488" s="3435"/>
      <c r="B488" s="3435"/>
      <c r="C488" s="3336" t="s">
        <v>5168</v>
      </c>
      <c r="D488" s="3335">
        <v>49.38</v>
      </c>
      <c r="E488" s="3354">
        <v>20.81</v>
      </c>
      <c r="L488" s="3345"/>
      <c r="M488" s="3345"/>
      <c r="N488" s="3345"/>
      <c r="O488" s="3345"/>
    </row>
    <row r="489" spans="1:15" s="3159" customFormat="1" ht="12" customHeight="1">
      <c r="A489" s="3435"/>
      <c r="B489" s="3435"/>
      <c r="C489" s="3336" t="s">
        <v>5167</v>
      </c>
      <c r="D489" s="3335">
        <v>32.92</v>
      </c>
      <c r="E489" s="3354">
        <v>13.88</v>
      </c>
      <c r="L489" s="3345"/>
      <c r="M489" s="3345"/>
      <c r="N489" s="3345"/>
      <c r="O489" s="3345"/>
    </row>
    <row r="490" spans="1:15" s="3159" customFormat="1" ht="12" customHeight="1">
      <c r="A490" s="3435"/>
      <c r="B490" s="3435"/>
      <c r="C490" s="3336" t="s">
        <v>5166</v>
      </c>
      <c r="D490" s="3335">
        <v>32.92</v>
      </c>
      <c r="E490" s="3354">
        <v>13.88</v>
      </c>
      <c r="L490" s="3345"/>
      <c r="M490" s="3345"/>
      <c r="N490" s="3345"/>
      <c r="O490" s="3345"/>
    </row>
    <row r="491" spans="1:15" s="3159" customFormat="1" ht="12" customHeight="1">
      <c r="A491" s="3435"/>
      <c r="B491" s="3435"/>
      <c r="C491" s="3336" t="s">
        <v>5165</v>
      </c>
      <c r="D491" s="3335">
        <v>32.92</v>
      </c>
      <c r="E491" s="3354">
        <v>13.88</v>
      </c>
      <c r="L491" s="3345"/>
      <c r="M491" s="3345"/>
      <c r="N491" s="3345"/>
      <c r="O491" s="3345"/>
    </row>
    <row r="492" spans="1:15" s="3159" customFormat="1" ht="12" customHeight="1">
      <c r="A492" s="3435"/>
      <c r="B492" s="3435"/>
      <c r="C492" s="3336" t="s">
        <v>5164</v>
      </c>
      <c r="D492" s="3335">
        <v>32.92</v>
      </c>
      <c r="E492" s="3354">
        <v>13.88</v>
      </c>
      <c r="L492" s="3345"/>
      <c r="M492" s="3345"/>
      <c r="N492" s="3345"/>
      <c r="O492" s="3345"/>
    </row>
    <row r="493" spans="1:15" s="3159" customFormat="1" ht="12" customHeight="1">
      <c r="A493" s="3435"/>
      <c r="B493" s="3435"/>
      <c r="C493" s="3336" t="s">
        <v>5163</v>
      </c>
      <c r="D493" s="3335">
        <v>32.92</v>
      </c>
      <c r="E493" s="3354">
        <v>13.88</v>
      </c>
      <c r="L493" s="3345"/>
      <c r="M493" s="3345"/>
      <c r="N493" s="3345"/>
      <c r="O493" s="3345"/>
    </row>
    <row r="494" spans="1:15" s="3159" customFormat="1" ht="12" customHeight="1">
      <c r="A494" s="3435"/>
      <c r="B494" s="3435"/>
      <c r="C494" s="3336" t="s">
        <v>5162</v>
      </c>
      <c r="D494" s="3335">
        <v>32.92</v>
      </c>
      <c r="E494" s="3354">
        <v>13.88</v>
      </c>
      <c r="L494" s="3345"/>
      <c r="M494" s="3345"/>
      <c r="N494" s="3345"/>
      <c r="O494" s="3345"/>
    </row>
    <row r="495" spans="1:15" s="3159" customFormat="1" ht="12" customHeight="1">
      <c r="A495" s="3435"/>
      <c r="B495" s="3435"/>
      <c r="C495" s="3336" t="s">
        <v>5161</v>
      </c>
      <c r="D495" s="3335">
        <v>32.92</v>
      </c>
      <c r="E495" s="3354">
        <v>13.88</v>
      </c>
      <c r="L495" s="3345"/>
      <c r="M495" s="3345"/>
      <c r="N495" s="3345"/>
      <c r="O495" s="3345"/>
    </row>
    <row r="496" spans="1:15" s="3159" customFormat="1" ht="12" customHeight="1">
      <c r="A496" s="3435"/>
      <c r="B496" s="3435"/>
      <c r="C496" s="3336" t="s">
        <v>5160</v>
      </c>
      <c r="D496" s="3335">
        <v>32.92</v>
      </c>
      <c r="E496" s="3354">
        <v>13.88</v>
      </c>
      <c r="L496" s="3345"/>
      <c r="M496" s="3345"/>
      <c r="N496" s="3345"/>
      <c r="O496" s="3345"/>
    </row>
    <row r="497" spans="1:15" s="3159" customFormat="1" ht="12" customHeight="1">
      <c r="A497" s="3435"/>
      <c r="B497" s="3435"/>
      <c r="C497" s="3336" t="s">
        <v>5159</v>
      </c>
      <c r="D497" s="3335">
        <v>32.92</v>
      </c>
      <c r="E497" s="3354">
        <v>13.88</v>
      </c>
      <c r="L497" s="3345"/>
      <c r="M497" s="3345"/>
      <c r="N497" s="3345"/>
      <c r="O497" s="3345"/>
    </row>
    <row r="498" spans="1:15" s="3159" customFormat="1" ht="12" customHeight="1">
      <c r="A498" s="3435"/>
      <c r="B498" s="3435"/>
      <c r="C498" s="3336" t="s">
        <v>5158</v>
      </c>
      <c r="D498" s="3335">
        <v>32.92</v>
      </c>
      <c r="E498" s="3354">
        <v>13.88</v>
      </c>
      <c r="L498" s="3345"/>
      <c r="M498" s="3345"/>
      <c r="N498" s="3345"/>
      <c r="O498" s="3345"/>
    </row>
    <row r="499" spans="1:15" s="3159" customFormat="1" ht="12" customHeight="1">
      <c r="A499" s="3435"/>
      <c r="B499" s="3435"/>
      <c r="C499" s="3336" t="s">
        <v>5157</v>
      </c>
      <c r="D499" s="3335">
        <v>32.92</v>
      </c>
      <c r="E499" s="3354">
        <v>13.88</v>
      </c>
      <c r="L499" s="3345"/>
      <c r="M499" s="3345"/>
      <c r="N499" s="3345"/>
      <c r="O499" s="3345"/>
    </row>
    <row r="500" spans="1:15" s="3159" customFormat="1" ht="12" customHeight="1">
      <c r="A500" s="3435"/>
      <c r="B500" s="3435"/>
      <c r="C500" s="3336" t="s">
        <v>5156</v>
      </c>
      <c r="D500" s="3335">
        <v>32.92</v>
      </c>
      <c r="E500" s="3354">
        <v>13.88</v>
      </c>
      <c r="L500" s="3345"/>
      <c r="M500" s="3345"/>
      <c r="N500" s="3345"/>
      <c r="O500" s="3345"/>
    </row>
    <row r="501" spans="1:15" s="3159" customFormat="1" ht="12" customHeight="1">
      <c r="A501" s="3435"/>
      <c r="B501" s="3435"/>
      <c r="C501" s="3336" t="s">
        <v>5155</v>
      </c>
      <c r="D501" s="3335">
        <v>32.92</v>
      </c>
      <c r="E501" s="3354">
        <v>13.88</v>
      </c>
      <c r="L501" s="3345"/>
      <c r="M501" s="3345"/>
      <c r="N501" s="3345"/>
      <c r="O501" s="3345"/>
    </row>
    <row r="502" spans="1:15" s="3159" customFormat="1" ht="12" customHeight="1">
      <c r="A502" s="3435"/>
      <c r="B502" s="3435"/>
      <c r="C502" s="3336" t="s">
        <v>5154</v>
      </c>
      <c r="D502" s="3335">
        <v>32.92</v>
      </c>
      <c r="E502" s="3354">
        <v>13.88</v>
      </c>
      <c r="L502" s="3345"/>
      <c r="M502" s="3345"/>
      <c r="N502" s="3345"/>
      <c r="O502" s="3345"/>
    </row>
    <row r="503" spans="1:15" s="3159" customFormat="1" ht="12" customHeight="1">
      <c r="A503" s="3435"/>
      <c r="B503" s="3435"/>
      <c r="C503" s="3336" t="s">
        <v>5153</v>
      </c>
      <c r="D503" s="3335">
        <v>32.92</v>
      </c>
      <c r="E503" s="3354">
        <v>13.88</v>
      </c>
      <c r="L503" s="3345"/>
      <c r="M503" s="3345"/>
      <c r="N503" s="3345"/>
      <c r="O503" s="3345"/>
    </row>
    <row r="504" spans="1:15" s="3159" customFormat="1" ht="12" customHeight="1">
      <c r="A504" s="3435"/>
      <c r="B504" s="3435"/>
      <c r="C504" s="3336" t="s">
        <v>5152</v>
      </c>
      <c r="D504" s="3335">
        <v>32.92</v>
      </c>
      <c r="E504" s="3354">
        <v>13.88</v>
      </c>
      <c r="L504" s="3345"/>
      <c r="M504" s="3345"/>
      <c r="N504" s="3345"/>
      <c r="O504" s="3345"/>
    </row>
    <row r="505" spans="1:15" s="3159" customFormat="1" ht="12" customHeight="1">
      <c r="A505" s="3435"/>
      <c r="B505" s="3435"/>
      <c r="C505" s="3336" t="s">
        <v>5151</v>
      </c>
      <c r="D505" s="3335">
        <v>32.92</v>
      </c>
      <c r="E505" s="3354">
        <v>13.88</v>
      </c>
      <c r="L505" s="3345"/>
      <c r="M505" s="3345"/>
      <c r="N505" s="3345"/>
      <c r="O505" s="3345"/>
    </row>
    <row r="506" spans="1:15" s="3159" customFormat="1" ht="12" customHeight="1">
      <c r="A506" s="3435"/>
      <c r="B506" s="3435"/>
      <c r="C506" s="3336" t="s">
        <v>5150</v>
      </c>
      <c r="D506" s="3335">
        <v>31.68</v>
      </c>
      <c r="E506" s="3354">
        <v>13.35</v>
      </c>
      <c r="L506" s="3345"/>
      <c r="M506" s="3345"/>
      <c r="N506" s="3345"/>
      <c r="O506" s="3345"/>
    </row>
    <row r="507" spans="1:15" s="3159" customFormat="1" ht="12" customHeight="1">
      <c r="A507" s="3435" t="s">
        <v>4866</v>
      </c>
      <c r="B507" s="3435" t="s">
        <v>4925</v>
      </c>
      <c r="C507" s="3336" t="s">
        <v>5149</v>
      </c>
      <c r="D507" s="3335">
        <v>31.68</v>
      </c>
      <c r="E507" s="3354">
        <v>13.35</v>
      </c>
      <c r="L507" s="3345"/>
      <c r="M507" s="3345"/>
      <c r="N507" s="3345"/>
      <c r="O507" s="3345"/>
    </row>
    <row r="508" spans="1:15" s="3159" customFormat="1" ht="12" customHeight="1">
      <c r="A508" s="3435"/>
      <c r="B508" s="3435"/>
      <c r="C508" s="3336" t="s">
        <v>5148</v>
      </c>
      <c r="D508" s="3335">
        <v>31.68</v>
      </c>
      <c r="E508" s="3354">
        <v>13.35</v>
      </c>
      <c r="L508" s="3345"/>
      <c r="M508" s="3345"/>
      <c r="N508" s="3345"/>
      <c r="O508" s="3345"/>
    </row>
    <row r="509" spans="1:15" s="3159" customFormat="1" ht="12" customHeight="1">
      <c r="A509" s="3435"/>
      <c r="B509" s="3435"/>
      <c r="C509" s="3336" t="s">
        <v>5147</v>
      </c>
      <c r="D509" s="3335">
        <v>31.68</v>
      </c>
      <c r="E509" s="3354">
        <v>13.35</v>
      </c>
      <c r="L509" s="3345"/>
      <c r="M509" s="3345"/>
      <c r="N509" s="3345"/>
      <c r="O509" s="3345"/>
    </row>
    <row r="510" spans="1:15" s="3159" customFormat="1" ht="12" customHeight="1">
      <c r="A510" s="3435"/>
      <c r="B510" s="3435"/>
      <c r="C510" s="3336" t="s">
        <v>5146</v>
      </c>
      <c r="D510" s="3335">
        <v>31.68</v>
      </c>
      <c r="E510" s="3354">
        <v>13.35</v>
      </c>
      <c r="L510" s="3345"/>
      <c r="M510" s="3345"/>
      <c r="N510" s="3345"/>
      <c r="O510" s="3345"/>
    </row>
    <row r="511" spans="1:15" s="3159" customFormat="1" ht="12" customHeight="1">
      <c r="A511" s="3435"/>
      <c r="B511" s="3435"/>
      <c r="C511" s="3336" t="s">
        <v>5145</v>
      </c>
      <c r="D511" s="3335">
        <v>31.68</v>
      </c>
      <c r="E511" s="3354">
        <v>13.35</v>
      </c>
      <c r="L511" s="3345"/>
      <c r="M511" s="3345"/>
      <c r="N511" s="3345"/>
      <c r="O511" s="3345"/>
    </row>
    <row r="512" spans="1:15" s="3159" customFormat="1" ht="12" customHeight="1">
      <c r="A512" s="3435"/>
      <c r="B512" s="3435"/>
      <c r="C512" s="3336" t="s">
        <v>5144</v>
      </c>
      <c r="D512" s="3335">
        <v>31.68</v>
      </c>
      <c r="E512" s="3354">
        <v>13.35</v>
      </c>
      <c r="L512" s="3345"/>
      <c r="M512" s="3345"/>
      <c r="N512" s="3345"/>
      <c r="O512" s="3345"/>
    </row>
    <row r="513" spans="1:15" s="3159" customFormat="1" ht="12" customHeight="1">
      <c r="A513" s="3435"/>
      <c r="B513" s="3435"/>
      <c r="C513" s="3336" t="s">
        <v>5143</v>
      </c>
      <c r="D513" s="3335">
        <v>31.68</v>
      </c>
      <c r="E513" s="3354">
        <v>13.35</v>
      </c>
      <c r="L513" s="3345"/>
      <c r="M513" s="3345"/>
      <c r="N513" s="3345"/>
      <c r="O513" s="3345"/>
    </row>
    <row r="514" spans="1:15" s="3159" customFormat="1" ht="12" customHeight="1">
      <c r="A514" s="3435"/>
      <c r="B514" s="3435"/>
      <c r="C514" s="3336" t="s">
        <v>5142</v>
      </c>
      <c r="D514" s="3335">
        <v>31.68</v>
      </c>
      <c r="E514" s="3354">
        <v>13.35</v>
      </c>
      <c r="L514" s="3345"/>
      <c r="M514" s="3345"/>
      <c r="N514" s="3345"/>
      <c r="O514" s="3345"/>
    </row>
    <row r="515" spans="1:15" s="3159" customFormat="1" ht="12" customHeight="1">
      <c r="A515" s="3435"/>
      <c r="B515" s="3435"/>
      <c r="C515" s="3336" t="s">
        <v>5141</v>
      </c>
      <c r="D515" s="3335">
        <v>31.68</v>
      </c>
      <c r="E515" s="3354">
        <v>13.35</v>
      </c>
      <c r="L515" s="3345"/>
      <c r="M515" s="3345"/>
      <c r="N515" s="3345"/>
      <c r="O515" s="3345"/>
    </row>
    <row r="516" spans="1:15" s="3159" customFormat="1" ht="12" customHeight="1">
      <c r="A516" s="3435"/>
      <c r="B516" s="3435"/>
      <c r="C516" s="3336" t="s">
        <v>5140</v>
      </c>
      <c r="D516" s="3335">
        <v>31.68</v>
      </c>
      <c r="E516" s="3354">
        <v>13.35</v>
      </c>
      <c r="L516" s="3345"/>
      <c r="M516" s="3345"/>
      <c r="N516" s="3345"/>
      <c r="O516" s="3345"/>
    </row>
    <row r="517" spans="1:15" s="3159" customFormat="1" ht="12" customHeight="1">
      <c r="A517" s="3435"/>
      <c r="B517" s="3435"/>
      <c r="C517" s="3336" t="s">
        <v>5139</v>
      </c>
      <c r="D517" s="3335">
        <v>31.68</v>
      </c>
      <c r="E517" s="3354">
        <v>13.35</v>
      </c>
      <c r="L517" s="3345"/>
      <c r="M517" s="3345"/>
      <c r="N517" s="3345"/>
      <c r="O517" s="3345"/>
    </row>
    <row r="518" spans="1:15" s="3159" customFormat="1" ht="12" customHeight="1">
      <c r="A518" s="3435"/>
      <c r="B518" s="3435"/>
      <c r="C518" s="3336" t="s">
        <v>5138</v>
      </c>
      <c r="D518" s="3335">
        <v>31.68</v>
      </c>
      <c r="E518" s="3354">
        <v>13.35</v>
      </c>
      <c r="L518" s="3345"/>
      <c r="M518" s="3345"/>
      <c r="N518" s="3345"/>
      <c r="O518" s="3345"/>
    </row>
    <row r="519" spans="1:15" s="3159" customFormat="1" ht="12" customHeight="1">
      <c r="A519" s="3435"/>
      <c r="B519" s="3435"/>
      <c r="C519" s="3336" t="s">
        <v>5137</v>
      </c>
      <c r="D519" s="3335">
        <v>31.68</v>
      </c>
      <c r="E519" s="3354">
        <v>13.35</v>
      </c>
      <c r="L519" s="3345"/>
      <c r="M519" s="3345"/>
      <c r="N519" s="3345"/>
      <c r="O519" s="3345"/>
    </row>
    <row r="520" spans="1:15" s="3159" customFormat="1" ht="12" customHeight="1">
      <c r="A520" s="3435"/>
      <c r="B520" s="3435"/>
      <c r="C520" s="3336" t="s">
        <v>5136</v>
      </c>
      <c r="D520" s="3335">
        <v>31.68</v>
      </c>
      <c r="E520" s="3354">
        <v>13.35</v>
      </c>
      <c r="L520" s="3345"/>
      <c r="M520" s="3345"/>
      <c r="N520" s="3345"/>
      <c r="O520" s="3345"/>
    </row>
    <row r="521" spans="1:15" s="3159" customFormat="1" ht="12" customHeight="1">
      <c r="A521" s="3435"/>
      <c r="B521" s="3435"/>
      <c r="C521" s="3336" t="s">
        <v>5135</v>
      </c>
      <c r="D521" s="3335">
        <v>31.68</v>
      </c>
      <c r="E521" s="3354">
        <v>13.35</v>
      </c>
      <c r="L521" s="3345"/>
      <c r="M521" s="3345"/>
      <c r="N521" s="3345"/>
      <c r="O521" s="3345"/>
    </row>
    <row r="522" spans="1:15" s="3159" customFormat="1" ht="12" customHeight="1">
      <c r="A522" s="3435"/>
      <c r="B522" s="3435"/>
      <c r="C522" s="3336" t="s">
        <v>5134</v>
      </c>
      <c r="D522" s="3335">
        <v>31.68</v>
      </c>
      <c r="E522" s="3354">
        <v>13.35</v>
      </c>
      <c r="L522" s="3345"/>
      <c r="M522" s="3345"/>
      <c r="N522" s="3345"/>
      <c r="O522" s="3345"/>
    </row>
    <row r="523" spans="1:15" s="3159" customFormat="1" ht="12" customHeight="1">
      <c r="A523" s="3435"/>
      <c r="B523" s="3435"/>
      <c r="C523" s="3336" t="s">
        <v>5133</v>
      </c>
      <c r="D523" s="3335">
        <v>31.68</v>
      </c>
      <c r="E523" s="3354">
        <v>13.35</v>
      </c>
      <c r="L523" s="3345"/>
      <c r="M523" s="3345"/>
      <c r="N523" s="3345"/>
      <c r="O523" s="3345"/>
    </row>
    <row r="524" spans="1:15" s="3159" customFormat="1" ht="12" customHeight="1">
      <c r="A524" s="3435"/>
      <c r="B524" s="3435"/>
      <c r="C524" s="3336" t="s">
        <v>5132</v>
      </c>
      <c r="D524" s="3335">
        <v>37.270000000000003</v>
      </c>
      <c r="E524" s="3354">
        <v>15.71</v>
      </c>
      <c r="L524" s="3345"/>
      <c r="M524" s="3345"/>
      <c r="N524" s="3345"/>
      <c r="O524" s="3345"/>
    </row>
    <row r="525" spans="1:15" s="3159" customFormat="1" ht="12" customHeight="1">
      <c r="A525" s="3435"/>
      <c r="B525" s="3435"/>
      <c r="C525" s="3336" t="s">
        <v>5131</v>
      </c>
      <c r="D525" s="3335">
        <v>31.68</v>
      </c>
      <c r="E525" s="3354">
        <v>13.35</v>
      </c>
      <c r="L525" s="3345"/>
      <c r="M525" s="3345"/>
      <c r="N525" s="3345"/>
      <c r="O525" s="3345"/>
    </row>
    <row r="526" spans="1:15" s="3159" customFormat="1" ht="12" customHeight="1">
      <c r="A526" s="3435"/>
      <c r="B526" s="3435"/>
      <c r="C526" s="3336" t="s">
        <v>5130</v>
      </c>
      <c r="D526" s="3335">
        <v>31.68</v>
      </c>
      <c r="E526" s="3354">
        <v>13.35</v>
      </c>
      <c r="L526" s="3345"/>
      <c r="M526" s="3345"/>
      <c r="N526" s="3345"/>
      <c r="O526" s="3345"/>
    </row>
    <row r="527" spans="1:15" s="3159" customFormat="1" ht="12" customHeight="1">
      <c r="A527" s="3435"/>
      <c r="B527" s="3435"/>
      <c r="C527" s="3336" t="s">
        <v>5129</v>
      </c>
      <c r="D527" s="3335">
        <v>31.68</v>
      </c>
      <c r="E527" s="3354">
        <v>13.35</v>
      </c>
      <c r="L527" s="3345"/>
      <c r="M527" s="3345"/>
      <c r="N527" s="3345"/>
      <c r="O527" s="3345"/>
    </row>
    <row r="528" spans="1:15" s="3159" customFormat="1" ht="12" customHeight="1">
      <c r="A528" s="3435"/>
      <c r="B528" s="3435"/>
      <c r="C528" s="3336" t="s">
        <v>5128</v>
      </c>
      <c r="D528" s="3335">
        <v>31.68</v>
      </c>
      <c r="E528" s="3354">
        <v>13.35</v>
      </c>
      <c r="L528" s="3345"/>
      <c r="M528" s="3345"/>
      <c r="N528" s="3345"/>
      <c r="O528" s="3345"/>
    </row>
    <row r="529" spans="1:15" s="3159" customFormat="1" ht="12" customHeight="1">
      <c r="A529" s="3435"/>
      <c r="B529" s="3435"/>
      <c r="C529" s="3336" t="s">
        <v>5127</v>
      </c>
      <c r="D529" s="3335">
        <v>31.68</v>
      </c>
      <c r="E529" s="3354">
        <v>13.35</v>
      </c>
      <c r="L529" s="3345"/>
      <c r="M529" s="3345"/>
      <c r="N529" s="3345"/>
      <c r="O529" s="3345"/>
    </row>
    <row r="530" spans="1:15" s="3159" customFormat="1" ht="12" customHeight="1">
      <c r="A530" s="3435"/>
      <c r="B530" s="3435"/>
      <c r="C530" s="3336" t="s">
        <v>5126</v>
      </c>
      <c r="D530" s="3335">
        <v>31.68</v>
      </c>
      <c r="E530" s="3354">
        <v>13.35</v>
      </c>
      <c r="L530" s="3345"/>
      <c r="M530" s="3345"/>
      <c r="N530" s="3345"/>
      <c r="O530" s="3345"/>
    </row>
    <row r="531" spans="1:15" s="3159" customFormat="1" ht="12" customHeight="1">
      <c r="A531" s="3435"/>
      <c r="B531" s="3435"/>
      <c r="C531" s="3336" t="s">
        <v>5125</v>
      </c>
      <c r="D531" s="3335">
        <v>31.68</v>
      </c>
      <c r="E531" s="3354">
        <v>13.35</v>
      </c>
      <c r="L531" s="3345"/>
      <c r="M531" s="3345"/>
      <c r="N531" s="3345"/>
      <c r="O531" s="3345"/>
    </row>
    <row r="532" spans="1:15" s="3159" customFormat="1" ht="12" customHeight="1">
      <c r="A532" s="3435"/>
      <c r="B532" s="3435"/>
      <c r="C532" s="3336" t="s">
        <v>5124</v>
      </c>
      <c r="D532" s="3335">
        <v>31.68</v>
      </c>
      <c r="E532" s="3354">
        <v>13.35</v>
      </c>
      <c r="L532" s="3345"/>
      <c r="M532" s="3345"/>
      <c r="N532" s="3345"/>
      <c r="O532" s="3345"/>
    </row>
    <row r="533" spans="1:15" s="3159" customFormat="1" ht="12" customHeight="1">
      <c r="A533" s="3435"/>
      <c r="B533" s="3435"/>
      <c r="C533" s="3336" t="s">
        <v>5123</v>
      </c>
      <c r="D533" s="3335">
        <v>31.68</v>
      </c>
      <c r="E533" s="3354">
        <v>13.35</v>
      </c>
      <c r="L533" s="3345"/>
      <c r="M533" s="3345"/>
      <c r="N533" s="3345"/>
      <c r="O533" s="3345"/>
    </row>
    <row r="534" spans="1:15" s="3159" customFormat="1" ht="12" customHeight="1">
      <c r="A534" s="3435"/>
      <c r="B534" s="3435"/>
      <c r="C534" s="3336" t="s">
        <v>5122</v>
      </c>
      <c r="D534" s="3335">
        <v>31.68</v>
      </c>
      <c r="E534" s="3354">
        <v>13.35</v>
      </c>
      <c r="L534" s="3345"/>
      <c r="M534" s="3345"/>
      <c r="N534" s="3345"/>
      <c r="O534" s="3345"/>
    </row>
    <row r="535" spans="1:15" s="3159" customFormat="1" ht="12" customHeight="1">
      <c r="A535" s="3435"/>
      <c r="B535" s="3435"/>
      <c r="C535" s="3336" t="s">
        <v>5121</v>
      </c>
      <c r="D535" s="3335">
        <v>31.68</v>
      </c>
      <c r="E535" s="3354">
        <v>13.35</v>
      </c>
      <c r="L535" s="3345"/>
      <c r="M535" s="3345"/>
      <c r="N535" s="3345"/>
      <c r="O535" s="3345"/>
    </row>
    <row r="536" spans="1:15" s="3159" customFormat="1" ht="12" customHeight="1">
      <c r="A536" s="3435"/>
      <c r="B536" s="3435"/>
      <c r="C536" s="3336" t="s">
        <v>5120</v>
      </c>
      <c r="D536" s="3335">
        <v>31.68</v>
      </c>
      <c r="E536" s="3354">
        <v>13.35</v>
      </c>
      <c r="L536" s="3345"/>
      <c r="M536" s="3345"/>
      <c r="N536" s="3345"/>
      <c r="O536" s="3345"/>
    </row>
    <row r="537" spans="1:15" s="3159" customFormat="1" ht="12" customHeight="1">
      <c r="A537" s="3435"/>
      <c r="B537" s="3435"/>
      <c r="C537" s="3336" t="s">
        <v>5119</v>
      </c>
      <c r="D537" s="3335">
        <v>31.68</v>
      </c>
      <c r="E537" s="3354">
        <v>13.35</v>
      </c>
      <c r="L537" s="3345"/>
      <c r="M537" s="3345"/>
      <c r="N537" s="3345"/>
      <c r="O537" s="3345"/>
    </row>
    <row r="538" spans="1:15" s="3159" customFormat="1" ht="12" customHeight="1">
      <c r="A538" s="3435"/>
      <c r="B538" s="3435"/>
      <c r="C538" s="3336" t="s">
        <v>5118</v>
      </c>
      <c r="D538" s="3335">
        <v>31.68</v>
      </c>
      <c r="E538" s="3354">
        <v>13.35</v>
      </c>
      <c r="L538" s="3345"/>
      <c r="M538" s="3345"/>
      <c r="N538" s="3345"/>
      <c r="O538" s="3345"/>
    </row>
    <row r="539" spans="1:15" s="3159" customFormat="1" ht="12" customHeight="1">
      <c r="A539" s="3435"/>
      <c r="B539" s="3435"/>
      <c r="C539" s="3336" t="s">
        <v>5117</v>
      </c>
      <c r="D539" s="3335">
        <v>31.68</v>
      </c>
      <c r="E539" s="3354">
        <v>13.35</v>
      </c>
      <c r="L539" s="3345"/>
      <c r="M539" s="3345"/>
      <c r="N539" s="3345"/>
      <c r="O539" s="3345"/>
    </row>
    <row r="540" spans="1:15" s="3159" customFormat="1" ht="12" customHeight="1">
      <c r="A540" s="3435"/>
      <c r="B540" s="3435"/>
      <c r="C540" s="3336" t="s">
        <v>5116</v>
      </c>
      <c r="D540" s="3335">
        <v>31.68</v>
      </c>
      <c r="E540" s="3354">
        <v>13.35</v>
      </c>
      <c r="L540" s="3345"/>
      <c r="M540" s="3345"/>
      <c r="N540" s="3345"/>
      <c r="O540" s="3345"/>
    </row>
    <row r="541" spans="1:15" s="3159" customFormat="1" ht="12" customHeight="1">
      <c r="A541" s="3435"/>
      <c r="B541" s="3435"/>
      <c r="C541" s="3336" t="s">
        <v>5115</v>
      </c>
      <c r="D541" s="3335">
        <v>31.68</v>
      </c>
      <c r="E541" s="3354">
        <v>13.35</v>
      </c>
      <c r="L541" s="3345"/>
      <c r="M541" s="3345"/>
      <c r="N541" s="3345"/>
      <c r="O541" s="3345"/>
    </row>
    <row r="542" spans="1:15" s="3159" customFormat="1" ht="12" customHeight="1">
      <c r="A542" s="3435"/>
      <c r="B542" s="3435"/>
      <c r="C542" s="3336" t="s">
        <v>5114</v>
      </c>
      <c r="D542" s="3335">
        <v>31.68</v>
      </c>
      <c r="E542" s="3354">
        <v>13.35</v>
      </c>
      <c r="L542" s="3345"/>
      <c r="M542" s="3345"/>
      <c r="N542" s="3345"/>
      <c r="O542" s="3345"/>
    </row>
    <row r="543" spans="1:15" s="3159" customFormat="1" ht="12" customHeight="1">
      <c r="A543" s="3435"/>
      <c r="B543" s="3435"/>
      <c r="C543" s="3336" t="s">
        <v>5113</v>
      </c>
      <c r="D543" s="3335">
        <v>32.92</v>
      </c>
      <c r="E543" s="3354">
        <v>13.88</v>
      </c>
      <c r="L543" s="3345"/>
      <c r="M543" s="3345"/>
      <c r="N543" s="3345"/>
      <c r="O543" s="3345"/>
    </row>
    <row r="544" spans="1:15" s="3159" customFormat="1" ht="12" customHeight="1">
      <c r="A544" s="3435"/>
      <c r="B544" s="3435"/>
      <c r="C544" s="3336" t="s">
        <v>5112</v>
      </c>
      <c r="D544" s="3335">
        <v>32.92</v>
      </c>
      <c r="E544" s="3354">
        <v>13.88</v>
      </c>
      <c r="L544" s="3345"/>
      <c r="M544" s="3345"/>
      <c r="N544" s="3345"/>
      <c r="O544" s="3345"/>
    </row>
    <row r="545" spans="1:15" s="3159" customFormat="1" ht="12" customHeight="1">
      <c r="A545" s="3435"/>
      <c r="B545" s="3435"/>
      <c r="C545" s="3336" t="s">
        <v>5111</v>
      </c>
      <c r="D545" s="3335">
        <v>32.92</v>
      </c>
      <c r="E545" s="3354">
        <v>13.88</v>
      </c>
      <c r="L545" s="3345"/>
      <c r="M545" s="3345"/>
      <c r="N545" s="3345"/>
      <c r="O545" s="3345"/>
    </row>
    <row r="546" spans="1:15" s="3159" customFormat="1" ht="12" customHeight="1">
      <c r="A546" s="3435"/>
      <c r="B546" s="3435"/>
      <c r="C546" s="3336" t="s">
        <v>5110</v>
      </c>
      <c r="D546" s="3335">
        <v>32.92</v>
      </c>
      <c r="E546" s="3354">
        <v>13.88</v>
      </c>
      <c r="L546" s="3345"/>
      <c r="M546" s="3345"/>
      <c r="N546" s="3345"/>
      <c r="O546" s="3345"/>
    </row>
    <row r="547" spans="1:15" s="3159" customFormat="1" ht="12" customHeight="1">
      <c r="A547" s="3435"/>
      <c r="B547" s="3435"/>
      <c r="C547" s="3336" t="s">
        <v>5109</v>
      </c>
      <c r="D547" s="3335">
        <v>32.92</v>
      </c>
      <c r="E547" s="3354">
        <v>13.88</v>
      </c>
      <c r="L547" s="3345"/>
      <c r="M547" s="3345"/>
      <c r="N547" s="3345"/>
      <c r="O547" s="3345"/>
    </row>
    <row r="548" spans="1:15" s="3159" customFormat="1" ht="12" customHeight="1">
      <c r="A548" s="3435"/>
      <c r="B548" s="3435"/>
      <c r="C548" s="3336" t="s">
        <v>5108</v>
      </c>
      <c r="D548" s="3335">
        <v>32.92</v>
      </c>
      <c r="E548" s="3354">
        <v>13.88</v>
      </c>
      <c r="L548" s="3345"/>
      <c r="M548" s="3345"/>
      <c r="N548" s="3345"/>
      <c r="O548" s="3345"/>
    </row>
    <row r="549" spans="1:15" s="3159" customFormat="1" ht="12" customHeight="1">
      <c r="A549" s="3435"/>
      <c r="B549" s="3435"/>
      <c r="C549" s="3336" t="s">
        <v>5107</v>
      </c>
      <c r="D549" s="3335">
        <v>32.92</v>
      </c>
      <c r="E549" s="3354">
        <v>13.88</v>
      </c>
      <c r="L549" s="3345"/>
      <c r="M549" s="3345"/>
      <c r="N549" s="3345"/>
      <c r="O549" s="3345"/>
    </row>
    <row r="550" spans="1:15" s="3159" customFormat="1" ht="12" customHeight="1">
      <c r="A550" s="3435"/>
      <c r="B550" s="3435"/>
      <c r="C550" s="3336" t="s">
        <v>5106</v>
      </c>
      <c r="D550" s="3335">
        <v>32.92</v>
      </c>
      <c r="E550" s="3354">
        <v>13.88</v>
      </c>
      <c r="L550" s="3345"/>
      <c r="M550" s="3345"/>
      <c r="N550" s="3345"/>
      <c r="O550" s="3345"/>
    </row>
    <row r="551" spans="1:15" s="3159" customFormat="1" ht="12" customHeight="1">
      <c r="A551" s="3435"/>
      <c r="B551" s="3435"/>
      <c r="C551" s="3336" t="s">
        <v>5105</v>
      </c>
      <c r="D551" s="3335">
        <v>32.92</v>
      </c>
      <c r="E551" s="3354">
        <v>13.88</v>
      </c>
      <c r="L551" s="3345"/>
      <c r="M551" s="3345"/>
      <c r="N551" s="3345"/>
      <c r="O551" s="3345"/>
    </row>
    <row r="552" spans="1:15" s="3159" customFormat="1" ht="12" customHeight="1">
      <c r="A552" s="3435"/>
      <c r="B552" s="3435"/>
      <c r="C552" s="3336" t="s">
        <v>5104</v>
      </c>
      <c r="D552" s="3335">
        <v>32.92</v>
      </c>
      <c r="E552" s="3354">
        <v>13.88</v>
      </c>
      <c r="L552" s="3345"/>
      <c r="M552" s="3345"/>
      <c r="N552" s="3345"/>
      <c r="O552" s="3345"/>
    </row>
    <row r="553" spans="1:15" s="3159" customFormat="1" ht="12" customHeight="1">
      <c r="A553" s="3435"/>
      <c r="B553" s="3435"/>
      <c r="C553" s="3336" t="s">
        <v>5103</v>
      </c>
      <c r="D553" s="3335">
        <v>31.68</v>
      </c>
      <c r="E553" s="3354">
        <v>13.35</v>
      </c>
      <c r="L553" s="3345"/>
      <c r="M553" s="3345"/>
      <c r="N553" s="3345"/>
      <c r="O553" s="3345"/>
    </row>
    <row r="554" spans="1:15" s="3159" customFormat="1" ht="12" customHeight="1">
      <c r="A554" s="3435"/>
      <c r="B554" s="3435"/>
      <c r="C554" s="3336" t="s">
        <v>5102</v>
      </c>
      <c r="D554" s="3335">
        <v>31.68</v>
      </c>
      <c r="E554" s="3354">
        <v>13.35</v>
      </c>
      <c r="L554" s="3345"/>
      <c r="M554" s="3345"/>
      <c r="N554" s="3345"/>
      <c r="O554" s="3345"/>
    </row>
    <row r="555" spans="1:15" s="3159" customFormat="1" ht="12" customHeight="1">
      <c r="A555" s="3435"/>
      <c r="B555" s="3435"/>
      <c r="C555" s="3336" t="s">
        <v>5101</v>
      </c>
      <c r="D555" s="3335">
        <v>31.68</v>
      </c>
      <c r="E555" s="3354">
        <v>13.35</v>
      </c>
      <c r="L555" s="3345"/>
      <c r="M555" s="3345"/>
      <c r="N555" s="3345"/>
      <c r="O555" s="3345"/>
    </row>
    <row r="556" spans="1:15" s="3159" customFormat="1" ht="12" customHeight="1">
      <c r="A556" s="3435"/>
      <c r="B556" s="3435"/>
      <c r="C556" s="3336" t="s">
        <v>5100</v>
      </c>
      <c r="D556" s="3335">
        <v>31.68</v>
      </c>
      <c r="E556" s="3354">
        <v>13.35</v>
      </c>
      <c r="L556" s="3345"/>
      <c r="M556" s="3345"/>
      <c r="N556" s="3345"/>
      <c r="O556" s="3345"/>
    </row>
    <row r="557" spans="1:15" s="3159" customFormat="1" ht="12" customHeight="1">
      <c r="A557" s="3435"/>
      <c r="B557" s="3435"/>
      <c r="C557" s="3336" t="s">
        <v>5099</v>
      </c>
      <c r="D557" s="3335">
        <v>31.68</v>
      </c>
      <c r="E557" s="3354">
        <v>13.35</v>
      </c>
      <c r="L557" s="3345"/>
      <c r="M557" s="3345"/>
      <c r="N557" s="3345"/>
      <c r="O557" s="3345"/>
    </row>
    <row r="558" spans="1:15" s="3159" customFormat="1" ht="12" customHeight="1">
      <c r="A558" s="3435"/>
      <c r="B558" s="3435"/>
      <c r="C558" s="3336" t="s">
        <v>5098</v>
      </c>
      <c r="D558" s="3335">
        <v>31.68</v>
      </c>
      <c r="E558" s="3354">
        <v>13.35</v>
      </c>
      <c r="L558" s="3345"/>
      <c r="M558" s="3345"/>
      <c r="N558" s="3345"/>
      <c r="O558" s="3345"/>
    </row>
    <row r="559" spans="1:15" s="3159" customFormat="1" ht="12" customHeight="1">
      <c r="A559" s="3435"/>
      <c r="B559" s="3435"/>
      <c r="C559" s="3336" t="s">
        <v>5097</v>
      </c>
      <c r="D559" s="3335">
        <v>31.68</v>
      </c>
      <c r="E559" s="3354">
        <v>13.35</v>
      </c>
      <c r="L559" s="3345"/>
      <c r="M559" s="3345"/>
      <c r="N559" s="3345"/>
      <c r="O559" s="3345"/>
    </row>
    <row r="560" spans="1:15" s="3159" customFormat="1" ht="12" customHeight="1">
      <c r="A560" s="3435"/>
      <c r="B560" s="3435"/>
      <c r="C560" s="3336" t="s">
        <v>5096</v>
      </c>
      <c r="D560" s="3335">
        <v>31.68</v>
      </c>
      <c r="E560" s="3354">
        <v>13.35</v>
      </c>
      <c r="L560" s="3345"/>
      <c r="M560" s="3345"/>
      <c r="N560" s="3345"/>
      <c r="O560" s="3345"/>
    </row>
    <row r="561" spans="1:15" s="3159" customFormat="1" ht="12" customHeight="1">
      <c r="A561" s="3435"/>
      <c r="B561" s="3435"/>
      <c r="C561" s="3336" t="s">
        <v>5095</v>
      </c>
      <c r="D561" s="3335">
        <v>31.68</v>
      </c>
      <c r="E561" s="3354">
        <v>13.35</v>
      </c>
      <c r="L561" s="3345"/>
      <c r="M561" s="3345"/>
      <c r="N561" s="3345"/>
      <c r="O561" s="3345"/>
    </row>
    <row r="562" spans="1:15" s="3159" customFormat="1" ht="12" customHeight="1">
      <c r="A562" s="3435"/>
      <c r="B562" s="3435"/>
      <c r="C562" s="3336" t="s">
        <v>5094</v>
      </c>
      <c r="D562" s="3335">
        <v>31.68</v>
      </c>
      <c r="E562" s="3354">
        <v>13.35</v>
      </c>
      <c r="L562" s="3345"/>
      <c r="M562" s="3345"/>
      <c r="N562" s="3345"/>
      <c r="O562" s="3345"/>
    </row>
    <row r="563" spans="1:15" s="3159" customFormat="1" ht="12" customHeight="1">
      <c r="A563" s="3435" t="s">
        <v>4866</v>
      </c>
      <c r="B563" s="3435" t="s">
        <v>4925</v>
      </c>
      <c r="C563" s="3336" t="s">
        <v>5093</v>
      </c>
      <c r="D563" s="3335">
        <v>31.68</v>
      </c>
      <c r="E563" s="3354">
        <v>13.35</v>
      </c>
      <c r="L563" s="3345"/>
      <c r="M563" s="3345"/>
      <c r="N563" s="3345"/>
      <c r="O563" s="3345"/>
    </row>
    <row r="564" spans="1:15" s="3159" customFormat="1" ht="12" customHeight="1">
      <c r="A564" s="3435"/>
      <c r="B564" s="3435"/>
      <c r="C564" s="3336" t="s">
        <v>5092</v>
      </c>
      <c r="D564" s="3335">
        <v>31.68</v>
      </c>
      <c r="E564" s="3354">
        <v>13.35</v>
      </c>
      <c r="L564" s="3345"/>
      <c r="M564" s="3345"/>
      <c r="N564" s="3345"/>
      <c r="O564" s="3345"/>
    </row>
    <row r="565" spans="1:15" s="3159" customFormat="1" ht="12" customHeight="1">
      <c r="A565" s="3435"/>
      <c r="B565" s="3435"/>
      <c r="C565" s="3336" t="s">
        <v>5091</v>
      </c>
      <c r="D565" s="3335">
        <v>31.68</v>
      </c>
      <c r="E565" s="3354">
        <v>13.35</v>
      </c>
      <c r="L565" s="3345"/>
      <c r="M565" s="3345"/>
      <c r="N565" s="3345"/>
      <c r="O565" s="3345"/>
    </row>
    <row r="566" spans="1:15" s="3159" customFormat="1" ht="12" customHeight="1">
      <c r="A566" s="3435"/>
      <c r="B566" s="3435"/>
      <c r="C566" s="3336" t="s">
        <v>5090</v>
      </c>
      <c r="D566" s="3335">
        <v>31.68</v>
      </c>
      <c r="E566" s="3354">
        <v>13.35</v>
      </c>
      <c r="L566" s="3345"/>
      <c r="M566" s="3345"/>
      <c r="N566" s="3345"/>
      <c r="O566" s="3345"/>
    </row>
    <row r="567" spans="1:15" s="3159" customFormat="1" ht="12" customHeight="1">
      <c r="A567" s="3435"/>
      <c r="B567" s="3435"/>
      <c r="C567" s="3336" t="s">
        <v>5089</v>
      </c>
      <c r="D567" s="3335">
        <v>31.68</v>
      </c>
      <c r="E567" s="3354">
        <v>13.35</v>
      </c>
      <c r="L567" s="3345"/>
      <c r="M567" s="3345"/>
      <c r="N567" s="3345"/>
      <c r="O567" s="3345"/>
    </row>
    <row r="568" spans="1:15" s="3159" customFormat="1" ht="12" customHeight="1">
      <c r="A568" s="3435"/>
      <c r="B568" s="3435"/>
      <c r="C568" s="3336" t="s">
        <v>5088</v>
      </c>
      <c r="D568" s="3335">
        <v>31.68</v>
      </c>
      <c r="E568" s="3354">
        <v>13.35</v>
      </c>
      <c r="L568" s="3345"/>
      <c r="M568" s="3345"/>
      <c r="N568" s="3345"/>
      <c r="O568" s="3345"/>
    </row>
    <row r="569" spans="1:15" s="3159" customFormat="1" ht="12" customHeight="1">
      <c r="A569" s="3435"/>
      <c r="B569" s="3435"/>
      <c r="C569" s="3336" t="s">
        <v>5087</v>
      </c>
      <c r="D569" s="3335">
        <v>86.07</v>
      </c>
      <c r="E569" s="3354">
        <v>36.28</v>
      </c>
      <c r="L569" s="3345"/>
      <c r="M569" s="3345"/>
      <c r="N569" s="3345"/>
      <c r="O569" s="3345"/>
    </row>
    <row r="570" spans="1:15" s="3159" customFormat="1" ht="12" customHeight="1">
      <c r="A570" s="3435"/>
      <c r="B570" s="3435"/>
      <c r="C570" s="3336" t="s">
        <v>5086</v>
      </c>
      <c r="D570" s="3335">
        <v>31.68</v>
      </c>
      <c r="E570" s="3354">
        <v>13.35</v>
      </c>
      <c r="L570" s="3345"/>
      <c r="M570" s="3345"/>
      <c r="N570" s="3345"/>
      <c r="O570" s="3345"/>
    </row>
    <row r="571" spans="1:15" s="3159" customFormat="1" ht="12" customHeight="1">
      <c r="A571" s="3435"/>
      <c r="B571" s="3435"/>
      <c r="C571" s="3336" t="s">
        <v>5085</v>
      </c>
      <c r="D571" s="3335">
        <v>31.68</v>
      </c>
      <c r="E571" s="3354">
        <v>13.35</v>
      </c>
      <c r="L571" s="3345"/>
      <c r="M571" s="3345"/>
      <c r="N571" s="3345"/>
      <c r="O571" s="3345"/>
    </row>
    <row r="572" spans="1:15" s="3159" customFormat="1" ht="12" customHeight="1">
      <c r="A572" s="3435"/>
      <c r="B572" s="3435"/>
      <c r="C572" s="3336" t="s">
        <v>5084</v>
      </c>
      <c r="D572" s="3335">
        <v>31.68</v>
      </c>
      <c r="E572" s="3354">
        <v>13.35</v>
      </c>
      <c r="L572" s="3345"/>
      <c r="M572" s="3345"/>
      <c r="N572" s="3345"/>
      <c r="O572" s="3345"/>
    </row>
    <row r="573" spans="1:15" s="3159" customFormat="1" ht="12" customHeight="1">
      <c r="A573" s="3435"/>
      <c r="B573" s="3435"/>
      <c r="C573" s="3336" t="s">
        <v>5083</v>
      </c>
      <c r="D573" s="3335">
        <v>31.68</v>
      </c>
      <c r="E573" s="3354">
        <v>13.35</v>
      </c>
      <c r="L573" s="3345"/>
      <c r="M573" s="3345"/>
      <c r="N573" s="3345"/>
      <c r="O573" s="3345"/>
    </row>
    <row r="574" spans="1:15" s="3159" customFormat="1" ht="12" customHeight="1">
      <c r="A574" s="3435"/>
      <c r="B574" s="3435"/>
      <c r="C574" s="3336" t="s">
        <v>5082</v>
      </c>
      <c r="D574" s="3335">
        <v>31.68</v>
      </c>
      <c r="E574" s="3354">
        <v>13.35</v>
      </c>
      <c r="L574" s="3345"/>
      <c r="M574" s="3345"/>
      <c r="N574" s="3345"/>
      <c r="O574" s="3345"/>
    </row>
    <row r="575" spans="1:15" s="3159" customFormat="1" ht="12" customHeight="1">
      <c r="A575" s="3435"/>
      <c r="B575" s="3435"/>
      <c r="C575" s="3336" t="s">
        <v>5081</v>
      </c>
      <c r="D575" s="3335">
        <v>31.68</v>
      </c>
      <c r="E575" s="3354">
        <v>13.35</v>
      </c>
      <c r="L575" s="3345"/>
      <c r="M575" s="3345"/>
      <c r="N575" s="3345"/>
      <c r="O575" s="3345"/>
    </row>
    <row r="576" spans="1:15" s="3159" customFormat="1" ht="12" customHeight="1">
      <c r="A576" s="3435"/>
      <c r="B576" s="3435"/>
      <c r="C576" s="3336" t="s">
        <v>5080</v>
      </c>
      <c r="D576" s="3335">
        <v>31.68</v>
      </c>
      <c r="E576" s="3354">
        <v>13.35</v>
      </c>
      <c r="L576" s="3345"/>
      <c r="M576" s="3345"/>
      <c r="N576" s="3345"/>
      <c r="O576" s="3345"/>
    </row>
    <row r="577" spans="1:15" s="3159" customFormat="1" ht="12" customHeight="1">
      <c r="A577" s="3435"/>
      <c r="B577" s="3435"/>
      <c r="C577" s="3336" t="s">
        <v>5079</v>
      </c>
      <c r="D577" s="3335">
        <v>31.68</v>
      </c>
      <c r="E577" s="3354">
        <v>13.35</v>
      </c>
      <c r="L577" s="3345"/>
      <c r="M577" s="3345"/>
      <c r="N577" s="3345"/>
      <c r="O577" s="3345"/>
    </row>
    <row r="578" spans="1:15" s="3159" customFormat="1" ht="12" customHeight="1">
      <c r="A578" s="3435"/>
      <c r="B578" s="3435"/>
      <c r="C578" s="3336" t="s">
        <v>5078</v>
      </c>
      <c r="D578" s="3335">
        <v>31.68</v>
      </c>
      <c r="E578" s="3354">
        <v>13.35</v>
      </c>
      <c r="L578" s="3345"/>
      <c r="M578" s="3345"/>
      <c r="N578" s="3345"/>
      <c r="O578" s="3345"/>
    </row>
    <row r="579" spans="1:15" s="3159" customFormat="1" ht="12" customHeight="1">
      <c r="A579" s="3435"/>
      <c r="B579" s="3435"/>
      <c r="C579" s="3336" t="s">
        <v>5077</v>
      </c>
      <c r="D579" s="3335">
        <v>31.68</v>
      </c>
      <c r="E579" s="3354">
        <v>13.35</v>
      </c>
      <c r="L579" s="3345"/>
      <c r="M579" s="3345"/>
      <c r="N579" s="3345"/>
      <c r="O579" s="3345"/>
    </row>
    <row r="580" spans="1:15" s="3159" customFormat="1" ht="12" customHeight="1">
      <c r="A580" s="3435"/>
      <c r="B580" s="3435"/>
      <c r="C580" s="3336" t="s">
        <v>5076</v>
      </c>
      <c r="D580" s="3335">
        <v>31.68</v>
      </c>
      <c r="E580" s="3354">
        <v>13.35</v>
      </c>
      <c r="L580" s="3345"/>
      <c r="M580" s="3345"/>
      <c r="N580" s="3345"/>
      <c r="O580" s="3345"/>
    </row>
    <row r="581" spans="1:15" s="3159" customFormat="1" ht="12" customHeight="1">
      <c r="A581" s="3435"/>
      <c r="B581" s="3435"/>
      <c r="C581" s="3336" t="s">
        <v>5075</v>
      </c>
      <c r="D581" s="3335">
        <v>31.68</v>
      </c>
      <c r="E581" s="3354">
        <v>13.35</v>
      </c>
      <c r="L581" s="3345"/>
      <c r="M581" s="3345"/>
      <c r="N581" s="3345"/>
      <c r="O581" s="3345"/>
    </row>
    <row r="582" spans="1:15" s="3159" customFormat="1" ht="12" customHeight="1">
      <c r="A582" s="3435"/>
      <c r="B582" s="3435"/>
      <c r="C582" s="3336" t="s">
        <v>5074</v>
      </c>
      <c r="D582" s="3335">
        <v>31.68</v>
      </c>
      <c r="E582" s="3354">
        <v>13.35</v>
      </c>
      <c r="L582" s="3345"/>
      <c r="M582" s="3345"/>
      <c r="N582" s="3345"/>
      <c r="O582" s="3345"/>
    </row>
    <row r="583" spans="1:15" s="3159" customFormat="1" ht="12" customHeight="1">
      <c r="A583" s="3435"/>
      <c r="B583" s="3435"/>
      <c r="C583" s="3336" t="s">
        <v>5073</v>
      </c>
      <c r="D583" s="3335">
        <v>31.68</v>
      </c>
      <c r="E583" s="3354">
        <v>13.35</v>
      </c>
      <c r="L583" s="3345"/>
      <c r="M583" s="3345"/>
      <c r="N583" s="3345"/>
      <c r="O583" s="3345"/>
    </row>
    <row r="584" spans="1:15" s="3159" customFormat="1" ht="12" customHeight="1">
      <c r="A584" s="3435"/>
      <c r="B584" s="3435"/>
      <c r="C584" s="3336" t="s">
        <v>5072</v>
      </c>
      <c r="D584" s="3335">
        <v>31.68</v>
      </c>
      <c r="E584" s="3354">
        <v>13.35</v>
      </c>
      <c r="L584" s="3345"/>
      <c r="M584" s="3345"/>
      <c r="N584" s="3345"/>
      <c r="O584" s="3345"/>
    </row>
    <row r="585" spans="1:15" s="3159" customFormat="1" ht="12" customHeight="1">
      <c r="A585" s="3435"/>
      <c r="B585" s="3435"/>
      <c r="C585" s="3336" t="s">
        <v>5071</v>
      </c>
      <c r="D585" s="3335">
        <v>31.68</v>
      </c>
      <c r="E585" s="3354">
        <v>13.35</v>
      </c>
      <c r="L585" s="3345"/>
      <c r="M585" s="3345"/>
      <c r="N585" s="3345"/>
      <c r="O585" s="3345"/>
    </row>
    <row r="586" spans="1:15" s="3159" customFormat="1" ht="12" customHeight="1">
      <c r="A586" s="3435"/>
      <c r="B586" s="3435"/>
      <c r="C586" s="3336" t="s">
        <v>5070</v>
      </c>
      <c r="D586" s="3335">
        <v>31.68</v>
      </c>
      <c r="E586" s="3354">
        <v>13.35</v>
      </c>
      <c r="L586" s="3345"/>
      <c r="M586" s="3345"/>
      <c r="N586" s="3345"/>
      <c r="O586" s="3345"/>
    </row>
    <row r="587" spans="1:15" s="3159" customFormat="1" ht="12" customHeight="1">
      <c r="A587" s="3435"/>
      <c r="B587" s="3435"/>
      <c r="C587" s="3336" t="s">
        <v>5069</v>
      </c>
      <c r="D587" s="3335">
        <v>31.68</v>
      </c>
      <c r="E587" s="3354">
        <v>13.35</v>
      </c>
      <c r="L587" s="3345"/>
      <c r="M587" s="3345"/>
      <c r="N587" s="3345"/>
      <c r="O587" s="3345"/>
    </row>
    <row r="588" spans="1:15" s="3159" customFormat="1" ht="12" customHeight="1">
      <c r="A588" s="3435"/>
      <c r="B588" s="3435"/>
      <c r="C588" s="3336" t="s">
        <v>5068</v>
      </c>
      <c r="D588" s="3335">
        <v>31.68</v>
      </c>
      <c r="E588" s="3354">
        <v>13.35</v>
      </c>
      <c r="L588" s="3345"/>
      <c r="M588" s="3345"/>
      <c r="N588" s="3345"/>
      <c r="O588" s="3345"/>
    </row>
    <row r="589" spans="1:15" s="3159" customFormat="1" ht="12" customHeight="1">
      <c r="A589" s="3435"/>
      <c r="B589" s="3435"/>
      <c r="C589" s="3336" t="s">
        <v>5067</v>
      </c>
      <c r="D589" s="3335">
        <v>31.68</v>
      </c>
      <c r="E589" s="3354">
        <v>13.35</v>
      </c>
      <c r="L589" s="3345"/>
      <c r="M589" s="3345"/>
      <c r="N589" s="3345"/>
      <c r="O589" s="3345"/>
    </row>
    <row r="590" spans="1:15" s="3159" customFormat="1" ht="12" customHeight="1">
      <c r="A590" s="3435"/>
      <c r="B590" s="3435"/>
      <c r="C590" s="3336" t="s">
        <v>5066</v>
      </c>
      <c r="D590" s="3335">
        <v>31.68</v>
      </c>
      <c r="E590" s="3354">
        <v>13.35</v>
      </c>
      <c r="L590" s="3345"/>
      <c r="M590" s="3345"/>
      <c r="N590" s="3345"/>
      <c r="O590" s="3345"/>
    </row>
    <row r="591" spans="1:15" s="3159" customFormat="1" ht="12" customHeight="1">
      <c r="A591" s="3435"/>
      <c r="B591" s="3435"/>
      <c r="C591" s="3336" t="s">
        <v>5065</v>
      </c>
      <c r="D591" s="3335">
        <v>31.68</v>
      </c>
      <c r="E591" s="3354">
        <v>13.35</v>
      </c>
      <c r="L591" s="3345"/>
      <c r="M591" s="3345"/>
      <c r="N591" s="3345"/>
      <c r="O591" s="3345"/>
    </row>
    <row r="592" spans="1:15" s="3159" customFormat="1" ht="12" customHeight="1">
      <c r="A592" s="3435"/>
      <c r="B592" s="3435"/>
      <c r="C592" s="3336" t="s">
        <v>5064</v>
      </c>
      <c r="D592" s="3335">
        <v>31.68</v>
      </c>
      <c r="E592" s="3354">
        <v>13.35</v>
      </c>
      <c r="L592" s="3345"/>
      <c r="M592" s="3345"/>
      <c r="N592" s="3345"/>
      <c r="O592" s="3345"/>
    </row>
    <row r="593" spans="1:15" s="3159" customFormat="1" ht="12" customHeight="1">
      <c r="A593" s="3435"/>
      <c r="B593" s="3435"/>
      <c r="C593" s="3336" t="s">
        <v>5063</v>
      </c>
      <c r="D593" s="3335">
        <v>31.68</v>
      </c>
      <c r="E593" s="3354">
        <v>13.35</v>
      </c>
      <c r="L593" s="3345"/>
      <c r="M593" s="3345"/>
      <c r="N593" s="3345"/>
      <c r="O593" s="3345"/>
    </row>
    <row r="594" spans="1:15" s="3159" customFormat="1" ht="12" customHeight="1">
      <c r="A594" s="3435"/>
      <c r="B594" s="3435"/>
      <c r="C594" s="3336" t="s">
        <v>5062</v>
      </c>
      <c r="D594" s="3335">
        <v>31.68</v>
      </c>
      <c r="E594" s="3354">
        <v>13.35</v>
      </c>
      <c r="L594" s="3345"/>
      <c r="M594" s="3345"/>
      <c r="N594" s="3345"/>
      <c r="O594" s="3345"/>
    </row>
    <row r="595" spans="1:15" s="3159" customFormat="1" ht="12" customHeight="1">
      <c r="A595" s="3435"/>
      <c r="B595" s="3435"/>
      <c r="C595" s="3336" t="s">
        <v>5061</v>
      </c>
      <c r="D595" s="3335">
        <v>31.68</v>
      </c>
      <c r="E595" s="3354">
        <v>13.35</v>
      </c>
      <c r="L595" s="3345"/>
      <c r="M595" s="3345"/>
      <c r="N595" s="3345"/>
      <c r="O595" s="3345"/>
    </row>
    <row r="596" spans="1:15" s="3159" customFormat="1" ht="12" customHeight="1">
      <c r="A596" s="3435"/>
      <c r="B596" s="3435"/>
      <c r="C596" s="3336" t="s">
        <v>5060</v>
      </c>
      <c r="D596" s="3335">
        <v>31.68</v>
      </c>
      <c r="E596" s="3354">
        <v>13.35</v>
      </c>
      <c r="L596" s="3345"/>
      <c r="M596" s="3345"/>
      <c r="N596" s="3345"/>
      <c r="O596" s="3345"/>
    </row>
    <row r="597" spans="1:15" s="3159" customFormat="1" ht="12" customHeight="1">
      <c r="A597" s="3435"/>
      <c r="B597" s="3435"/>
      <c r="C597" s="3336" t="s">
        <v>5059</v>
      </c>
      <c r="D597" s="3335">
        <v>31.68</v>
      </c>
      <c r="E597" s="3354">
        <v>13.35</v>
      </c>
      <c r="L597" s="3345"/>
      <c r="M597" s="3345"/>
      <c r="N597" s="3345"/>
      <c r="O597" s="3345"/>
    </row>
    <row r="598" spans="1:15" s="3159" customFormat="1" ht="12" customHeight="1">
      <c r="A598" s="3435"/>
      <c r="B598" s="3435"/>
      <c r="C598" s="3336" t="s">
        <v>5058</v>
      </c>
      <c r="D598" s="3335">
        <v>31.68</v>
      </c>
      <c r="E598" s="3354">
        <v>13.35</v>
      </c>
      <c r="L598" s="3345"/>
      <c r="M598" s="3345"/>
      <c r="N598" s="3345"/>
      <c r="O598" s="3345"/>
    </row>
    <row r="599" spans="1:15" s="3159" customFormat="1" ht="12" customHeight="1">
      <c r="A599" s="3435"/>
      <c r="B599" s="3435"/>
      <c r="C599" s="3336" t="s">
        <v>5057</v>
      </c>
      <c r="D599" s="3335">
        <v>31.68</v>
      </c>
      <c r="E599" s="3354">
        <v>13.35</v>
      </c>
      <c r="L599" s="3345"/>
      <c r="M599" s="3345"/>
      <c r="N599" s="3345"/>
      <c r="O599" s="3345"/>
    </row>
    <row r="600" spans="1:15" s="3159" customFormat="1" ht="12" customHeight="1">
      <c r="A600" s="3435"/>
      <c r="B600" s="3435"/>
      <c r="C600" s="3336" t="s">
        <v>5056</v>
      </c>
      <c r="D600" s="3335">
        <v>31.68</v>
      </c>
      <c r="E600" s="3354">
        <v>13.35</v>
      </c>
      <c r="L600" s="3345"/>
      <c r="M600" s="3345"/>
      <c r="N600" s="3345"/>
      <c r="O600" s="3345"/>
    </row>
    <row r="601" spans="1:15" s="3159" customFormat="1" ht="12" customHeight="1">
      <c r="A601" s="3435"/>
      <c r="B601" s="3435"/>
      <c r="C601" s="3336" t="s">
        <v>5055</v>
      </c>
      <c r="D601" s="3335">
        <v>31.68</v>
      </c>
      <c r="E601" s="3354">
        <v>13.35</v>
      </c>
      <c r="L601" s="3345"/>
      <c r="M601" s="3345"/>
      <c r="N601" s="3345"/>
      <c r="O601" s="3345"/>
    </row>
    <row r="602" spans="1:15" s="3159" customFormat="1" ht="12" customHeight="1">
      <c r="A602" s="3435"/>
      <c r="B602" s="3435"/>
      <c r="C602" s="3336" t="s">
        <v>5054</v>
      </c>
      <c r="D602" s="3335">
        <v>31.68</v>
      </c>
      <c r="E602" s="3354">
        <v>13.35</v>
      </c>
      <c r="L602" s="3345"/>
      <c r="M602" s="3345"/>
      <c r="N602" s="3345"/>
      <c r="O602" s="3345"/>
    </row>
    <row r="603" spans="1:15" s="3159" customFormat="1" ht="12" customHeight="1">
      <c r="A603" s="3435"/>
      <c r="B603" s="3435"/>
      <c r="C603" s="3336" t="s">
        <v>5053</v>
      </c>
      <c r="D603" s="3335">
        <v>31.68</v>
      </c>
      <c r="E603" s="3354">
        <v>13.35</v>
      </c>
      <c r="L603" s="3345"/>
      <c r="M603" s="3345"/>
      <c r="N603" s="3345"/>
      <c r="O603" s="3345"/>
    </row>
    <row r="604" spans="1:15" s="3159" customFormat="1" ht="12" customHeight="1">
      <c r="A604" s="3435"/>
      <c r="B604" s="3435"/>
      <c r="C604" s="3336" t="s">
        <v>5052</v>
      </c>
      <c r="D604" s="3335">
        <v>31.68</v>
      </c>
      <c r="E604" s="3354">
        <v>13.35</v>
      </c>
      <c r="L604" s="3345"/>
      <c r="M604" s="3345"/>
      <c r="N604" s="3345"/>
      <c r="O604" s="3345"/>
    </row>
    <row r="605" spans="1:15" s="3159" customFormat="1" ht="12" customHeight="1">
      <c r="A605" s="3435"/>
      <c r="B605" s="3435"/>
      <c r="C605" s="3336" t="s">
        <v>5051</v>
      </c>
      <c r="D605" s="3335">
        <v>31.68</v>
      </c>
      <c r="E605" s="3354">
        <v>13.35</v>
      </c>
      <c r="L605" s="3345"/>
      <c r="M605" s="3345"/>
      <c r="N605" s="3345"/>
      <c r="O605" s="3345"/>
    </row>
    <row r="606" spans="1:15" s="3159" customFormat="1" ht="12" customHeight="1">
      <c r="A606" s="3435"/>
      <c r="B606" s="3435"/>
      <c r="C606" s="3336" t="s">
        <v>5050</v>
      </c>
      <c r="D606" s="3335">
        <v>31.68</v>
      </c>
      <c r="E606" s="3354">
        <v>13.35</v>
      </c>
      <c r="L606" s="3345"/>
      <c r="M606" s="3345"/>
      <c r="N606" s="3345"/>
      <c r="O606" s="3345"/>
    </row>
    <row r="607" spans="1:15" s="3159" customFormat="1" ht="12" customHeight="1">
      <c r="A607" s="3435"/>
      <c r="B607" s="3435"/>
      <c r="C607" s="3336" t="s">
        <v>5049</v>
      </c>
      <c r="D607" s="3335">
        <v>31.68</v>
      </c>
      <c r="E607" s="3354">
        <v>13.35</v>
      </c>
      <c r="L607" s="3345"/>
      <c r="M607" s="3345"/>
      <c r="N607" s="3345"/>
      <c r="O607" s="3345"/>
    </row>
    <row r="608" spans="1:15" s="3159" customFormat="1" ht="12" customHeight="1">
      <c r="A608" s="3435"/>
      <c r="B608" s="3435"/>
      <c r="C608" s="3336" t="s">
        <v>5048</v>
      </c>
      <c r="D608" s="3335">
        <v>31.68</v>
      </c>
      <c r="E608" s="3354">
        <v>13.35</v>
      </c>
      <c r="L608" s="3345"/>
      <c r="M608" s="3345"/>
      <c r="N608" s="3345"/>
      <c r="O608" s="3345"/>
    </row>
    <row r="609" spans="1:15" s="3159" customFormat="1" ht="12" customHeight="1">
      <c r="A609" s="3435"/>
      <c r="B609" s="3435"/>
      <c r="C609" s="3336" t="s">
        <v>5047</v>
      </c>
      <c r="D609" s="3335">
        <v>31.68</v>
      </c>
      <c r="E609" s="3354">
        <v>13.35</v>
      </c>
      <c r="L609" s="3345"/>
      <c r="M609" s="3345"/>
      <c r="N609" s="3345"/>
      <c r="O609" s="3345"/>
    </row>
    <row r="610" spans="1:15" s="3159" customFormat="1" ht="12" customHeight="1">
      <c r="A610" s="3435"/>
      <c r="B610" s="3435"/>
      <c r="C610" s="3336" t="s">
        <v>5046</v>
      </c>
      <c r="D610" s="3335">
        <v>31.68</v>
      </c>
      <c r="E610" s="3354">
        <v>13.35</v>
      </c>
      <c r="L610" s="3345"/>
      <c r="M610" s="3345"/>
      <c r="N610" s="3345"/>
      <c r="O610" s="3345"/>
    </row>
    <row r="611" spans="1:15" s="3159" customFormat="1" ht="12" customHeight="1">
      <c r="A611" s="3435"/>
      <c r="B611" s="3435"/>
      <c r="C611" s="3336" t="s">
        <v>5045</v>
      </c>
      <c r="D611" s="3335">
        <v>31.68</v>
      </c>
      <c r="E611" s="3354">
        <v>13.35</v>
      </c>
      <c r="L611" s="3345"/>
      <c r="M611" s="3345"/>
      <c r="N611" s="3345"/>
      <c r="O611" s="3345"/>
    </row>
    <row r="612" spans="1:15" s="3159" customFormat="1" ht="12" customHeight="1">
      <c r="A612" s="3435"/>
      <c r="B612" s="3435"/>
      <c r="C612" s="3336" t="s">
        <v>5044</v>
      </c>
      <c r="D612" s="3335">
        <v>31.68</v>
      </c>
      <c r="E612" s="3354">
        <v>13.35</v>
      </c>
      <c r="L612" s="3345"/>
      <c r="M612" s="3345"/>
      <c r="N612" s="3345"/>
      <c r="O612" s="3345"/>
    </row>
    <row r="613" spans="1:15" s="3159" customFormat="1" ht="12" customHeight="1">
      <c r="A613" s="3435"/>
      <c r="B613" s="3435"/>
      <c r="C613" s="3336" t="s">
        <v>5043</v>
      </c>
      <c r="D613" s="3335">
        <v>31.68</v>
      </c>
      <c r="E613" s="3354">
        <v>13.35</v>
      </c>
      <c r="L613" s="3345"/>
      <c r="M613" s="3345"/>
      <c r="N613" s="3345"/>
      <c r="O613" s="3345"/>
    </row>
    <row r="614" spans="1:15" s="3159" customFormat="1" ht="12" customHeight="1">
      <c r="A614" s="3435"/>
      <c r="B614" s="3435"/>
      <c r="C614" s="3336" t="s">
        <v>5042</v>
      </c>
      <c r="D614" s="3335">
        <v>31.68</v>
      </c>
      <c r="E614" s="3354">
        <v>13.35</v>
      </c>
      <c r="L614" s="3345"/>
      <c r="M614" s="3345"/>
      <c r="N614" s="3345"/>
      <c r="O614" s="3345"/>
    </row>
    <row r="615" spans="1:15" s="3159" customFormat="1" ht="12" customHeight="1">
      <c r="A615" s="3435"/>
      <c r="B615" s="3435"/>
      <c r="C615" s="3336" t="s">
        <v>5041</v>
      </c>
      <c r="D615" s="3335">
        <v>31.68</v>
      </c>
      <c r="E615" s="3354">
        <v>13.35</v>
      </c>
      <c r="L615" s="3345"/>
      <c r="M615" s="3345"/>
      <c r="N615" s="3345"/>
      <c r="O615" s="3345"/>
    </row>
    <row r="616" spans="1:15" s="3159" customFormat="1" ht="12" customHeight="1">
      <c r="A616" s="3435"/>
      <c r="B616" s="3435"/>
      <c r="C616" s="3336" t="s">
        <v>5040</v>
      </c>
      <c r="D616" s="3335">
        <v>31.68</v>
      </c>
      <c r="E616" s="3354">
        <v>13.35</v>
      </c>
      <c r="L616" s="3345"/>
      <c r="M616" s="3345"/>
      <c r="N616" s="3345"/>
      <c r="O616" s="3345"/>
    </row>
    <row r="617" spans="1:15" s="3159" customFormat="1" ht="12" customHeight="1">
      <c r="A617" s="3435"/>
      <c r="B617" s="3435"/>
      <c r="C617" s="3336" t="s">
        <v>5039</v>
      </c>
      <c r="D617" s="3335">
        <v>31.68</v>
      </c>
      <c r="E617" s="3354">
        <v>13.35</v>
      </c>
      <c r="L617" s="3345"/>
      <c r="M617" s="3345"/>
      <c r="N617" s="3345"/>
      <c r="O617" s="3345"/>
    </row>
    <row r="618" spans="1:15" s="3159" customFormat="1" ht="12" customHeight="1">
      <c r="A618" s="3435"/>
      <c r="B618" s="3435"/>
      <c r="C618" s="3336" t="s">
        <v>5038</v>
      </c>
      <c r="D618" s="3335">
        <v>31.68</v>
      </c>
      <c r="E618" s="3354">
        <v>13.35</v>
      </c>
      <c r="L618" s="3345"/>
      <c r="M618" s="3345"/>
      <c r="N618" s="3345"/>
      <c r="O618" s="3345"/>
    </row>
    <row r="619" spans="1:15" s="3159" customFormat="1" ht="12" customHeight="1">
      <c r="A619" s="3435" t="s">
        <v>4866</v>
      </c>
      <c r="B619" s="3435" t="s">
        <v>4925</v>
      </c>
      <c r="C619" s="3336" t="s">
        <v>5037</v>
      </c>
      <c r="D619" s="3335">
        <v>31.68</v>
      </c>
      <c r="E619" s="3354">
        <v>13.35</v>
      </c>
      <c r="L619" s="3345"/>
      <c r="M619" s="3345"/>
      <c r="N619" s="3345"/>
      <c r="O619" s="3345"/>
    </row>
    <row r="620" spans="1:15" s="3159" customFormat="1" ht="12" customHeight="1">
      <c r="A620" s="3435"/>
      <c r="B620" s="3435"/>
      <c r="C620" s="3336" t="s">
        <v>5036</v>
      </c>
      <c r="D620" s="3335">
        <v>37.270000000000003</v>
      </c>
      <c r="E620" s="3354">
        <v>15.71</v>
      </c>
      <c r="L620" s="3345"/>
      <c r="M620" s="3345"/>
      <c r="N620" s="3345"/>
      <c r="O620" s="3345"/>
    </row>
    <row r="621" spans="1:15" s="3159" customFormat="1" ht="12" customHeight="1">
      <c r="A621" s="3435"/>
      <c r="B621" s="3435"/>
      <c r="C621" s="3336" t="s">
        <v>5035</v>
      </c>
      <c r="D621" s="3335">
        <v>32.92</v>
      </c>
      <c r="E621" s="3354">
        <v>13.88</v>
      </c>
      <c r="L621" s="3345"/>
      <c r="M621" s="3345"/>
      <c r="N621" s="3345"/>
      <c r="O621" s="3345"/>
    </row>
    <row r="622" spans="1:15" s="3159" customFormat="1" ht="12" customHeight="1">
      <c r="A622" s="3435"/>
      <c r="B622" s="3435"/>
      <c r="C622" s="3336" t="s">
        <v>5034</v>
      </c>
      <c r="D622" s="3335">
        <v>32.92</v>
      </c>
      <c r="E622" s="3354">
        <v>13.88</v>
      </c>
      <c r="L622" s="3345"/>
      <c r="M622" s="3345"/>
      <c r="N622" s="3345"/>
      <c r="O622" s="3345"/>
    </row>
    <row r="623" spans="1:15" s="3159" customFormat="1" ht="12" customHeight="1">
      <c r="A623" s="3435"/>
      <c r="B623" s="3435"/>
      <c r="C623" s="3336" t="s">
        <v>5033</v>
      </c>
      <c r="D623" s="3335">
        <v>32.92</v>
      </c>
      <c r="E623" s="3354">
        <v>13.88</v>
      </c>
      <c r="L623" s="3345"/>
      <c r="M623" s="3345"/>
      <c r="N623" s="3345"/>
      <c r="O623" s="3345"/>
    </row>
    <row r="624" spans="1:15" s="3159" customFormat="1" ht="12" customHeight="1">
      <c r="A624" s="3435"/>
      <c r="B624" s="3435"/>
      <c r="C624" s="3336" t="s">
        <v>5032</v>
      </c>
      <c r="D624" s="3335">
        <v>32.92</v>
      </c>
      <c r="E624" s="3354">
        <v>13.88</v>
      </c>
      <c r="L624" s="3345"/>
      <c r="M624" s="3345"/>
      <c r="N624" s="3345"/>
      <c r="O624" s="3345"/>
    </row>
    <row r="625" spans="1:15" s="3159" customFormat="1" ht="12" customHeight="1">
      <c r="A625" s="3435"/>
      <c r="B625" s="3435"/>
      <c r="C625" s="3336" t="s">
        <v>5031</v>
      </c>
      <c r="D625" s="3335">
        <v>32.92</v>
      </c>
      <c r="E625" s="3354">
        <v>13.88</v>
      </c>
      <c r="L625" s="3345"/>
      <c r="M625" s="3345"/>
      <c r="N625" s="3345"/>
      <c r="O625" s="3345"/>
    </row>
    <row r="626" spans="1:15" s="3159" customFormat="1" ht="12" customHeight="1">
      <c r="A626" s="3435"/>
      <c r="B626" s="3435"/>
      <c r="C626" s="3336" t="s">
        <v>5030</v>
      </c>
      <c r="D626" s="3335">
        <v>32.92</v>
      </c>
      <c r="E626" s="3354">
        <v>13.88</v>
      </c>
      <c r="L626" s="3345"/>
      <c r="M626" s="3345"/>
      <c r="N626" s="3345"/>
      <c r="O626" s="3345"/>
    </row>
    <row r="627" spans="1:15" s="3159" customFormat="1" ht="12" customHeight="1">
      <c r="A627" s="3435"/>
      <c r="B627" s="3435"/>
      <c r="C627" s="3336" t="s">
        <v>5029</v>
      </c>
      <c r="D627" s="3335">
        <v>32.92</v>
      </c>
      <c r="E627" s="3354">
        <v>13.88</v>
      </c>
      <c r="L627" s="3345"/>
      <c r="M627" s="3345"/>
      <c r="N627" s="3345"/>
      <c r="O627" s="3345"/>
    </row>
    <row r="628" spans="1:15" s="3159" customFormat="1" ht="12" customHeight="1">
      <c r="A628" s="3435"/>
      <c r="B628" s="3435"/>
      <c r="C628" s="3336" t="s">
        <v>5028</v>
      </c>
      <c r="D628" s="3335">
        <v>49.38</v>
      </c>
      <c r="E628" s="3354">
        <v>20.81</v>
      </c>
      <c r="L628" s="3345"/>
      <c r="M628" s="3345"/>
      <c r="N628" s="3345"/>
      <c r="O628" s="3345"/>
    </row>
    <row r="629" spans="1:15" s="3159" customFormat="1" ht="12" customHeight="1">
      <c r="A629" s="3435"/>
      <c r="B629" s="3435"/>
      <c r="C629" s="3336" t="s">
        <v>5027</v>
      </c>
      <c r="D629" s="3335">
        <v>32.92</v>
      </c>
      <c r="E629" s="3354">
        <v>13.88</v>
      </c>
      <c r="L629" s="3345"/>
      <c r="M629" s="3345"/>
      <c r="N629" s="3345"/>
      <c r="O629" s="3345"/>
    </row>
    <row r="630" spans="1:15" s="3159" customFormat="1" ht="12" customHeight="1">
      <c r="A630" s="3435"/>
      <c r="B630" s="3435"/>
      <c r="C630" s="3336" t="s">
        <v>5026</v>
      </c>
      <c r="D630" s="3335">
        <v>32.92</v>
      </c>
      <c r="E630" s="3354">
        <v>13.88</v>
      </c>
      <c r="L630" s="3345"/>
      <c r="M630" s="3345"/>
      <c r="N630" s="3345"/>
      <c r="O630" s="3345"/>
    </row>
    <row r="631" spans="1:15" s="3159" customFormat="1" ht="12" customHeight="1">
      <c r="A631" s="3435"/>
      <c r="B631" s="3435"/>
      <c r="C631" s="3336" t="s">
        <v>5025</v>
      </c>
      <c r="D631" s="3335">
        <v>32.92</v>
      </c>
      <c r="E631" s="3354">
        <v>13.88</v>
      </c>
      <c r="L631" s="3345"/>
      <c r="M631" s="3345"/>
      <c r="N631" s="3345"/>
      <c r="O631" s="3345"/>
    </row>
    <row r="632" spans="1:15" s="3159" customFormat="1" ht="12" customHeight="1">
      <c r="A632" s="3435"/>
      <c r="B632" s="3435"/>
      <c r="C632" s="3336" t="s">
        <v>5024</v>
      </c>
      <c r="D632" s="3335">
        <v>37.270000000000003</v>
      </c>
      <c r="E632" s="3354">
        <v>15.71</v>
      </c>
      <c r="L632" s="3345"/>
      <c r="M632" s="3345"/>
      <c r="N632" s="3345"/>
      <c r="O632" s="3345"/>
    </row>
    <row r="633" spans="1:15" s="3159" customFormat="1" ht="12" customHeight="1">
      <c r="A633" s="3435"/>
      <c r="B633" s="3435"/>
      <c r="C633" s="3336" t="s">
        <v>5023</v>
      </c>
      <c r="D633" s="3335">
        <v>32.92</v>
      </c>
      <c r="E633" s="3354">
        <v>13.88</v>
      </c>
      <c r="L633" s="3345"/>
      <c r="M633" s="3345"/>
      <c r="N633" s="3345"/>
      <c r="O633" s="3345"/>
    </row>
    <row r="634" spans="1:15" s="3159" customFormat="1" ht="12" customHeight="1">
      <c r="A634" s="3435"/>
      <c r="B634" s="3435"/>
      <c r="C634" s="3336" t="s">
        <v>5022</v>
      </c>
      <c r="D634" s="3335">
        <v>32.92</v>
      </c>
      <c r="E634" s="3354">
        <v>13.88</v>
      </c>
      <c r="L634" s="3345"/>
      <c r="M634" s="3345"/>
      <c r="N634" s="3345"/>
      <c r="O634" s="3345"/>
    </row>
    <row r="635" spans="1:15" s="3159" customFormat="1" ht="12" customHeight="1">
      <c r="A635" s="3435"/>
      <c r="B635" s="3435"/>
      <c r="C635" s="3336" t="s">
        <v>5021</v>
      </c>
      <c r="D635" s="3335">
        <v>32.92</v>
      </c>
      <c r="E635" s="3354">
        <v>13.88</v>
      </c>
      <c r="L635" s="3345"/>
      <c r="M635" s="3345"/>
      <c r="N635" s="3345"/>
      <c r="O635" s="3345"/>
    </row>
    <row r="636" spans="1:15" s="3159" customFormat="1" ht="12" customHeight="1">
      <c r="A636" s="3435"/>
      <c r="B636" s="3435"/>
      <c r="C636" s="3336" t="s">
        <v>5020</v>
      </c>
      <c r="D636" s="3335">
        <v>32.92</v>
      </c>
      <c r="E636" s="3354">
        <v>13.88</v>
      </c>
      <c r="L636" s="3345"/>
      <c r="M636" s="3345"/>
      <c r="N636" s="3345"/>
      <c r="O636" s="3345"/>
    </row>
    <row r="637" spans="1:15" s="3159" customFormat="1" ht="12" customHeight="1">
      <c r="A637" s="3435"/>
      <c r="B637" s="3435"/>
      <c r="C637" s="3336" t="s">
        <v>5019</v>
      </c>
      <c r="D637" s="3335">
        <v>32.92</v>
      </c>
      <c r="E637" s="3354">
        <v>13.88</v>
      </c>
      <c r="L637" s="3345"/>
      <c r="M637" s="3345"/>
      <c r="N637" s="3345"/>
      <c r="O637" s="3345"/>
    </row>
    <row r="638" spans="1:15" s="3159" customFormat="1" ht="12" customHeight="1">
      <c r="A638" s="3435"/>
      <c r="B638" s="3435"/>
      <c r="C638" s="3336" t="s">
        <v>5018</v>
      </c>
      <c r="D638" s="3335">
        <v>49.38</v>
      </c>
      <c r="E638" s="3354">
        <v>20.81</v>
      </c>
      <c r="L638" s="3345"/>
      <c r="M638" s="3345"/>
      <c r="N638" s="3345"/>
      <c r="O638" s="3345"/>
    </row>
    <row r="639" spans="1:15" s="3159" customFormat="1" ht="12" customHeight="1">
      <c r="A639" s="3435"/>
      <c r="B639" s="3435"/>
      <c r="C639" s="3336" t="s">
        <v>5017</v>
      </c>
      <c r="D639" s="3335">
        <v>37.270000000000003</v>
      </c>
      <c r="E639" s="3354">
        <v>15.71</v>
      </c>
      <c r="L639" s="3345"/>
      <c r="M639" s="3345"/>
      <c r="N639" s="3345"/>
      <c r="O639" s="3345"/>
    </row>
    <row r="640" spans="1:15" s="3159" customFormat="1" ht="12" customHeight="1">
      <c r="A640" s="3435"/>
      <c r="B640" s="3435"/>
      <c r="C640" s="3336" t="s">
        <v>5016</v>
      </c>
      <c r="D640" s="3335">
        <v>32.92</v>
      </c>
      <c r="E640" s="3354">
        <v>13.88</v>
      </c>
      <c r="L640" s="3345"/>
      <c r="M640" s="3345"/>
      <c r="N640" s="3345"/>
      <c r="O640" s="3345"/>
    </row>
    <row r="641" spans="1:15" s="3159" customFormat="1" ht="12" customHeight="1">
      <c r="A641" s="3435"/>
      <c r="B641" s="3435"/>
      <c r="C641" s="3336" t="s">
        <v>5015</v>
      </c>
      <c r="D641" s="3335">
        <v>32.92</v>
      </c>
      <c r="E641" s="3354">
        <v>13.88</v>
      </c>
      <c r="L641" s="3345"/>
      <c r="M641" s="3345"/>
      <c r="N641" s="3345"/>
      <c r="O641" s="3345"/>
    </row>
    <row r="642" spans="1:15" s="3159" customFormat="1" ht="12" customHeight="1">
      <c r="A642" s="3435"/>
      <c r="B642" s="3435"/>
      <c r="C642" s="3336" t="s">
        <v>5014</v>
      </c>
      <c r="D642" s="3335">
        <v>32.92</v>
      </c>
      <c r="E642" s="3354">
        <v>13.88</v>
      </c>
      <c r="L642" s="3345"/>
      <c r="M642" s="3345"/>
      <c r="N642" s="3345"/>
      <c r="O642" s="3345"/>
    </row>
    <row r="643" spans="1:15" s="3159" customFormat="1" ht="12" customHeight="1">
      <c r="A643" s="3435"/>
      <c r="B643" s="3435"/>
      <c r="C643" s="3336" t="s">
        <v>5013</v>
      </c>
      <c r="D643" s="3335">
        <v>32.92</v>
      </c>
      <c r="E643" s="3354">
        <v>13.88</v>
      </c>
      <c r="L643" s="3345"/>
      <c r="M643" s="3345"/>
      <c r="N643" s="3345"/>
      <c r="O643" s="3345"/>
    </row>
    <row r="644" spans="1:15" s="3159" customFormat="1" ht="12" customHeight="1">
      <c r="A644" s="3435"/>
      <c r="B644" s="3435"/>
      <c r="C644" s="3336" t="s">
        <v>5012</v>
      </c>
      <c r="D644" s="3335">
        <v>37.270000000000003</v>
      </c>
      <c r="E644" s="3354">
        <v>15.71</v>
      </c>
      <c r="L644" s="3345"/>
      <c r="M644" s="3345"/>
      <c r="N644" s="3345"/>
      <c r="O644" s="3345"/>
    </row>
    <row r="645" spans="1:15" s="3159" customFormat="1" ht="12" customHeight="1">
      <c r="A645" s="3435"/>
      <c r="B645" s="3435"/>
      <c r="C645" s="3336" t="s">
        <v>5011</v>
      </c>
      <c r="D645" s="3335">
        <v>32.92</v>
      </c>
      <c r="E645" s="3354">
        <v>13.88</v>
      </c>
      <c r="L645" s="3345"/>
      <c r="M645" s="3345"/>
      <c r="N645" s="3345"/>
      <c r="O645" s="3345"/>
    </row>
    <row r="646" spans="1:15" s="3159" customFormat="1" ht="12" customHeight="1">
      <c r="A646" s="3435"/>
      <c r="B646" s="3435"/>
      <c r="C646" s="3336" t="s">
        <v>5010</v>
      </c>
      <c r="D646" s="3335">
        <v>32.92</v>
      </c>
      <c r="E646" s="3354">
        <v>13.88</v>
      </c>
      <c r="L646" s="3345"/>
      <c r="M646" s="3345"/>
      <c r="N646" s="3345"/>
      <c r="O646" s="3345"/>
    </row>
    <row r="647" spans="1:15" s="3159" customFormat="1" ht="12" customHeight="1">
      <c r="A647" s="3435"/>
      <c r="B647" s="3435"/>
      <c r="C647" s="3336" t="s">
        <v>5009</v>
      </c>
      <c r="D647" s="3335">
        <v>32.92</v>
      </c>
      <c r="E647" s="3354">
        <v>13.88</v>
      </c>
      <c r="L647" s="3345"/>
      <c r="M647" s="3345"/>
      <c r="N647" s="3345"/>
      <c r="O647" s="3345"/>
    </row>
    <row r="648" spans="1:15" s="3159" customFormat="1" ht="12" customHeight="1">
      <c r="A648" s="3435"/>
      <c r="B648" s="3435"/>
      <c r="C648" s="3336" t="s">
        <v>5008</v>
      </c>
      <c r="D648" s="3335">
        <v>32.92</v>
      </c>
      <c r="E648" s="3354">
        <v>13.88</v>
      </c>
      <c r="L648" s="3345"/>
      <c r="M648" s="3345"/>
      <c r="N648" s="3345"/>
      <c r="O648" s="3345"/>
    </row>
    <row r="649" spans="1:15" s="3159" customFormat="1" ht="12" customHeight="1">
      <c r="A649" s="3435"/>
      <c r="B649" s="3435"/>
      <c r="C649" s="3336" t="s">
        <v>5007</v>
      </c>
      <c r="D649" s="3335">
        <v>32.92</v>
      </c>
      <c r="E649" s="3354">
        <v>13.88</v>
      </c>
      <c r="L649" s="3345"/>
      <c r="M649" s="3345"/>
      <c r="N649" s="3345"/>
      <c r="O649" s="3345"/>
    </row>
    <row r="650" spans="1:15" s="3159" customFormat="1" ht="12" customHeight="1">
      <c r="A650" s="3435"/>
      <c r="B650" s="3435"/>
      <c r="C650" s="3336" t="s">
        <v>5006</v>
      </c>
      <c r="D650" s="3335">
        <v>32.92</v>
      </c>
      <c r="E650" s="3354">
        <v>13.88</v>
      </c>
      <c r="L650" s="3345"/>
      <c r="M650" s="3345"/>
      <c r="N650" s="3345"/>
      <c r="O650" s="3345"/>
    </row>
    <row r="651" spans="1:15" s="3159" customFormat="1" ht="12" customHeight="1">
      <c r="A651" s="3435"/>
      <c r="B651" s="3435"/>
      <c r="C651" s="3336" t="s">
        <v>5005</v>
      </c>
      <c r="D651" s="3335">
        <v>32.92</v>
      </c>
      <c r="E651" s="3354">
        <v>13.88</v>
      </c>
      <c r="L651" s="3345"/>
      <c r="M651" s="3345"/>
      <c r="N651" s="3345"/>
      <c r="O651" s="3345"/>
    </row>
    <row r="652" spans="1:15" s="3159" customFormat="1" ht="12" customHeight="1">
      <c r="A652" s="3435"/>
      <c r="B652" s="3435"/>
      <c r="C652" s="3336" t="s">
        <v>5004</v>
      </c>
      <c r="D652" s="3335">
        <v>32.92</v>
      </c>
      <c r="E652" s="3354">
        <v>13.88</v>
      </c>
      <c r="L652" s="3345"/>
      <c r="M652" s="3345"/>
      <c r="N652" s="3345"/>
      <c r="O652" s="3345"/>
    </row>
    <row r="653" spans="1:15" s="3159" customFormat="1" ht="12" customHeight="1">
      <c r="A653" s="3435"/>
      <c r="B653" s="3435"/>
      <c r="C653" s="3336" t="s">
        <v>5003</v>
      </c>
      <c r="D653" s="3335">
        <v>32.92</v>
      </c>
      <c r="E653" s="3354">
        <v>13.88</v>
      </c>
      <c r="L653" s="3345"/>
      <c r="M653" s="3345"/>
      <c r="N653" s="3345"/>
      <c r="O653" s="3345"/>
    </row>
    <row r="654" spans="1:15" s="3159" customFormat="1" ht="12" customHeight="1">
      <c r="A654" s="3435"/>
      <c r="B654" s="3435"/>
      <c r="C654" s="3336" t="s">
        <v>5002</v>
      </c>
      <c r="D654" s="3335">
        <v>32.92</v>
      </c>
      <c r="E654" s="3354">
        <v>13.88</v>
      </c>
      <c r="L654" s="3345"/>
      <c r="M654" s="3345"/>
      <c r="N654" s="3345"/>
      <c r="O654" s="3345"/>
    </row>
    <row r="655" spans="1:15" s="3159" customFormat="1" ht="12" customHeight="1">
      <c r="A655" s="3435"/>
      <c r="B655" s="3435"/>
      <c r="C655" s="3336" t="s">
        <v>5001</v>
      </c>
      <c r="D655" s="3335">
        <v>32.92</v>
      </c>
      <c r="E655" s="3354">
        <v>13.88</v>
      </c>
      <c r="L655" s="3345"/>
      <c r="M655" s="3345"/>
      <c r="N655" s="3345"/>
      <c r="O655" s="3345"/>
    </row>
    <row r="656" spans="1:15" s="3159" customFormat="1" ht="12" customHeight="1">
      <c r="A656" s="3435"/>
      <c r="B656" s="3435"/>
      <c r="C656" s="3336" t="s">
        <v>5000</v>
      </c>
      <c r="D656" s="3335">
        <v>32.92</v>
      </c>
      <c r="E656" s="3354">
        <v>13.88</v>
      </c>
      <c r="L656" s="3345"/>
      <c r="M656" s="3345"/>
      <c r="N656" s="3345"/>
      <c r="O656" s="3345"/>
    </row>
    <row r="657" spans="1:15" s="3159" customFormat="1" ht="12" customHeight="1">
      <c r="A657" s="3435"/>
      <c r="B657" s="3435"/>
      <c r="C657" s="3336" t="s">
        <v>4999</v>
      </c>
      <c r="D657" s="3335">
        <v>32.92</v>
      </c>
      <c r="E657" s="3354">
        <v>13.88</v>
      </c>
      <c r="L657" s="3345"/>
      <c r="M657" s="3345"/>
      <c r="N657" s="3345"/>
      <c r="O657" s="3345"/>
    </row>
    <row r="658" spans="1:15" s="3159" customFormat="1" ht="12" customHeight="1">
      <c r="A658" s="3435"/>
      <c r="B658" s="3435"/>
      <c r="C658" s="3336" t="s">
        <v>4998</v>
      </c>
      <c r="D658" s="3335">
        <v>32.92</v>
      </c>
      <c r="E658" s="3354">
        <v>13.88</v>
      </c>
      <c r="L658" s="3345"/>
      <c r="M658" s="3345"/>
      <c r="N658" s="3345"/>
      <c r="O658" s="3345"/>
    </row>
    <row r="659" spans="1:15" s="3159" customFormat="1" ht="12" customHeight="1">
      <c r="A659" s="3435"/>
      <c r="B659" s="3435"/>
      <c r="C659" s="3336" t="s">
        <v>4997</v>
      </c>
      <c r="D659" s="3335">
        <v>32.92</v>
      </c>
      <c r="E659" s="3354">
        <v>13.88</v>
      </c>
      <c r="L659" s="3345"/>
      <c r="M659" s="3345"/>
      <c r="N659" s="3345"/>
      <c r="O659" s="3345"/>
    </row>
    <row r="660" spans="1:15" s="3159" customFormat="1" ht="12" customHeight="1">
      <c r="A660" s="3435"/>
      <c r="B660" s="3435"/>
      <c r="C660" s="3336" t="s">
        <v>4996</v>
      </c>
      <c r="D660" s="3335">
        <v>32.92</v>
      </c>
      <c r="E660" s="3354">
        <v>13.88</v>
      </c>
      <c r="L660" s="3345"/>
      <c r="M660" s="3345"/>
      <c r="N660" s="3345"/>
      <c r="O660" s="3345"/>
    </row>
    <row r="661" spans="1:15" s="3159" customFormat="1" ht="12" customHeight="1">
      <c r="A661" s="3435"/>
      <c r="B661" s="3435"/>
      <c r="C661" s="3336" t="s">
        <v>4995</v>
      </c>
      <c r="D661" s="3335">
        <v>32.92</v>
      </c>
      <c r="E661" s="3354">
        <v>13.88</v>
      </c>
      <c r="L661" s="3345"/>
      <c r="M661" s="3345"/>
      <c r="N661" s="3345"/>
      <c r="O661" s="3345"/>
    </row>
    <row r="662" spans="1:15" s="3159" customFormat="1" ht="12" customHeight="1">
      <c r="A662" s="3435"/>
      <c r="B662" s="3435"/>
      <c r="C662" s="3336" t="s">
        <v>4994</v>
      </c>
      <c r="D662" s="3335">
        <v>32.92</v>
      </c>
      <c r="E662" s="3354">
        <v>13.88</v>
      </c>
      <c r="L662" s="3345"/>
      <c r="M662" s="3345"/>
      <c r="N662" s="3345"/>
      <c r="O662" s="3345"/>
    </row>
    <row r="663" spans="1:15" s="3159" customFormat="1" ht="12" customHeight="1">
      <c r="A663" s="3435"/>
      <c r="B663" s="3435"/>
      <c r="C663" s="3336" t="s">
        <v>4993</v>
      </c>
      <c r="D663" s="3335">
        <v>32.92</v>
      </c>
      <c r="E663" s="3354">
        <v>13.88</v>
      </c>
      <c r="L663" s="3345"/>
      <c r="M663" s="3345"/>
      <c r="N663" s="3345"/>
      <c r="O663" s="3345"/>
    </row>
    <row r="664" spans="1:15" s="3159" customFormat="1" ht="12" customHeight="1">
      <c r="A664" s="3435"/>
      <c r="B664" s="3435"/>
      <c r="C664" s="3336" t="s">
        <v>4992</v>
      </c>
      <c r="D664" s="3335">
        <v>32.92</v>
      </c>
      <c r="E664" s="3354">
        <v>13.88</v>
      </c>
      <c r="L664" s="3345"/>
      <c r="M664" s="3345"/>
      <c r="N664" s="3345"/>
      <c r="O664" s="3345"/>
    </row>
    <row r="665" spans="1:15" s="3159" customFormat="1" ht="12" customHeight="1">
      <c r="A665" s="3435"/>
      <c r="B665" s="3435"/>
      <c r="C665" s="3336" t="s">
        <v>4991</v>
      </c>
      <c r="D665" s="3335">
        <v>32.92</v>
      </c>
      <c r="E665" s="3354">
        <v>13.88</v>
      </c>
      <c r="L665" s="3345"/>
      <c r="M665" s="3345"/>
      <c r="N665" s="3345"/>
      <c r="O665" s="3345"/>
    </row>
    <row r="666" spans="1:15" s="3159" customFormat="1" ht="12" customHeight="1">
      <c r="A666" s="3435"/>
      <c r="B666" s="3435"/>
      <c r="C666" s="3336" t="s">
        <v>4990</v>
      </c>
      <c r="D666" s="3335">
        <v>32.92</v>
      </c>
      <c r="E666" s="3354">
        <v>13.88</v>
      </c>
      <c r="L666" s="3345"/>
      <c r="M666" s="3345"/>
      <c r="N666" s="3345"/>
      <c r="O666" s="3345"/>
    </row>
    <row r="667" spans="1:15" s="3159" customFormat="1" ht="12" customHeight="1">
      <c r="A667" s="3435"/>
      <c r="B667" s="3435"/>
      <c r="C667" s="3336" t="s">
        <v>4989</v>
      </c>
      <c r="D667" s="3335">
        <v>32.92</v>
      </c>
      <c r="E667" s="3354">
        <v>13.88</v>
      </c>
      <c r="L667" s="3345"/>
      <c r="M667" s="3345"/>
      <c r="N667" s="3345"/>
      <c r="O667" s="3345"/>
    </row>
    <row r="668" spans="1:15" s="3159" customFormat="1" ht="12" customHeight="1">
      <c r="A668" s="3435"/>
      <c r="B668" s="3435"/>
      <c r="C668" s="3336" t="s">
        <v>4988</v>
      </c>
      <c r="D668" s="3335">
        <v>32.92</v>
      </c>
      <c r="E668" s="3354">
        <v>13.88</v>
      </c>
      <c r="L668" s="3345"/>
      <c r="M668" s="3345"/>
      <c r="N668" s="3345"/>
      <c r="O668" s="3345"/>
    </row>
    <row r="669" spans="1:15" s="3159" customFormat="1" ht="12" customHeight="1">
      <c r="A669" s="3435"/>
      <c r="B669" s="3435"/>
      <c r="C669" s="3336" t="s">
        <v>4987</v>
      </c>
      <c r="D669" s="3335">
        <v>32.92</v>
      </c>
      <c r="E669" s="3354">
        <v>13.88</v>
      </c>
      <c r="L669" s="3345"/>
      <c r="M669" s="3345"/>
      <c r="N669" s="3345"/>
      <c r="O669" s="3345"/>
    </row>
    <row r="670" spans="1:15" s="3159" customFormat="1" ht="12" customHeight="1">
      <c r="A670" s="3435"/>
      <c r="B670" s="3435"/>
      <c r="C670" s="3336" t="s">
        <v>4986</v>
      </c>
      <c r="D670" s="3335">
        <v>32.92</v>
      </c>
      <c r="E670" s="3354">
        <v>13.88</v>
      </c>
      <c r="L670" s="3345"/>
      <c r="M670" s="3345"/>
      <c r="N670" s="3345"/>
      <c r="O670" s="3345"/>
    </row>
    <row r="671" spans="1:15" s="3159" customFormat="1" ht="12" customHeight="1">
      <c r="A671" s="3435"/>
      <c r="B671" s="3435"/>
      <c r="C671" s="3336" t="s">
        <v>4985</v>
      </c>
      <c r="D671" s="3335">
        <v>32.92</v>
      </c>
      <c r="E671" s="3354">
        <v>13.88</v>
      </c>
      <c r="L671" s="3345"/>
      <c r="M671" s="3345"/>
      <c r="N671" s="3345"/>
      <c r="O671" s="3345"/>
    </row>
    <row r="672" spans="1:15" s="3159" customFormat="1" ht="12" customHeight="1">
      <c r="A672" s="3435"/>
      <c r="B672" s="3435"/>
      <c r="C672" s="3336" t="s">
        <v>4984</v>
      </c>
      <c r="D672" s="3335">
        <v>32.92</v>
      </c>
      <c r="E672" s="3354">
        <v>13.88</v>
      </c>
      <c r="L672" s="3345"/>
      <c r="M672" s="3345"/>
      <c r="N672" s="3345"/>
      <c r="O672" s="3345"/>
    </row>
    <row r="673" spans="1:15" s="3159" customFormat="1" ht="12" customHeight="1">
      <c r="A673" s="3435"/>
      <c r="B673" s="3435"/>
      <c r="C673" s="3336" t="s">
        <v>4983</v>
      </c>
      <c r="D673" s="3335">
        <v>32.92</v>
      </c>
      <c r="E673" s="3354">
        <v>13.88</v>
      </c>
      <c r="L673" s="3345"/>
      <c r="M673" s="3345"/>
      <c r="N673" s="3345"/>
      <c r="O673" s="3345"/>
    </row>
    <row r="674" spans="1:15" s="3159" customFormat="1" ht="12" customHeight="1">
      <c r="A674" s="3435"/>
      <c r="B674" s="3435"/>
      <c r="C674" s="3336" t="s">
        <v>4982</v>
      </c>
      <c r="D674" s="3335">
        <v>32.92</v>
      </c>
      <c r="E674" s="3354">
        <v>13.88</v>
      </c>
      <c r="L674" s="3345"/>
      <c r="M674" s="3345"/>
      <c r="N674" s="3345"/>
      <c r="O674" s="3345"/>
    </row>
    <row r="675" spans="1:15" s="3159" customFormat="1" ht="12" customHeight="1">
      <c r="A675" s="3435" t="s">
        <v>4866</v>
      </c>
      <c r="B675" s="3435" t="s">
        <v>4925</v>
      </c>
      <c r="C675" s="3336" t="s">
        <v>4981</v>
      </c>
      <c r="D675" s="3335">
        <v>32.92</v>
      </c>
      <c r="E675" s="3354">
        <v>13.88</v>
      </c>
      <c r="L675" s="3345"/>
      <c r="M675" s="3345"/>
      <c r="N675" s="3345"/>
      <c r="O675" s="3345"/>
    </row>
    <row r="676" spans="1:15" s="3159" customFormat="1" ht="12" customHeight="1">
      <c r="A676" s="3435"/>
      <c r="B676" s="3435"/>
      <c r="C676" s="3336" t="s">
        <v>4980</v>
      </c>
      <c r="D676" s="3335">
        <v>32.92</v>
      </c>
      <c r="E676" s="3354">
        <v>13.88</v>
      </c>
      <c r="L676" s="3345"/>
      <c r="M676" s="3345"/>
      <c r="N676" s="3345"/>
      <c r="O676" s="3345"/>
    </row>
    <row r="677" spans="1:15" s="3159" customFormat="1" ht="12" customHeight="1">
      <c r="A677" s="3435"/>
      <c r="B677" s="3435"/>
      <c r="C677" s="3336" t="s">
        <v>4979</v>
      </c>
      <c r="D677" s="3335">
        <v>32.92</v>
      </c>
      <c r="E677" s="3354">
        <v>13.88</v>
      </c>
      <c r="L677" s="3345"/>
      <c r="M677" s="3345"/>
      <c r="N677" s="3345"/>
      <c r="O677" s="3345"/>
    </row>
    <row r="678" spans="1:15" s="3159" customFormat="1" ht="12" customHeight="1">
      <c r="A678" s="3435"/>
      <c r="B678" s="3435"/>
      <c r="C678" s="3336" t="s">
        <v>4978</v>
      </c>
      <c r="D678" s="3335">
        <v>32.92</v>
      </c>
      <c r="E678" s="3354">
        <v>13.88</v>
      </c>
      <c r="L678" s="3345"/>
      <c r="M678" s="3345"/>
      <c r="N678" s="3345"/>
      <c r="O678" s="3345"/>
    </row>
    <row r="679" spans="1:15" s="3159" customFormat="1" ht="12" customHeight="1">
      <c r="A679" s="3435"/>
      <c r="B679" s="3435"/>
      <c r="C679" s="3336" t="s">
        <v>4977</v>
      </c>
      <c r="D679" s="3335">
        <v>32.92</v>
      </c>
      <c r="E679" s="3354">
        <v>13.88</v>
      </c>
      <c r="L679" s="3345"/>
      <c r="M679" s="3345"/>
      <c r="N679" s="3345"/>
      <c r="O679" s="3345"/>
    </row>
    <row r="680" spans="1:15" s="3159" customFormat="1" ht="12" customHeight="1">
      <c r="A680" s="3435"/>
      <c r="B680" s="3435"/>
      <c r="C680" s="3336" t="s">
        <v>4976</v>
      </c>
      <c r="D680" s="3335">
        <v>32.92</v>
      </c>
      <c r="E680" s="3354">
        <v>13.88</v>
      </c>
      <c r="L680" s="3345"/>
      <c r="M680" s="3345"/>
      <c r="N680" s="3345"/>
      <c r="O680" s="3345"/>
    </row>
    <row r="681" spans="1:15" s="3159" customFormat="1" ht="12" customHeight="1">
      <c r="A681" s="3435"/>
      <c r="B681" s="3435"/>
      <c r="C681" s="3336" t="s">
        <v>4975</v>
      </c>
      <c r="D681" s="3335">
        <v>32.92</v>
      </c>
      <c r="E681" s="3354">
        <v>13.88</v>
      </c>
      <c r="L681" s="3345"/>
      <c r="M681" s="3345"/>
      <c r="N681" s="3345"/>
      <c r="O681" s="3345"/>
    </row>
    <row r="682" spans="1:15" s="3159" customFormat="1" ht="12" customHeight="1">
      <c r="A682" s="3435"/>
      <c r="B682" s="3435"/>
      <c r="C682" s="3336" t="s">
        <v>4974</v>
      </c>
      <c r="D682" s="3335">
        <v>32.92</v>
      </c>
      <c r="E682" s="3354">
        <v>13.88</v>
      </c>
      <c r="L682" s="3345"/>
      <c r="M682" s="3345"/>
      <c r="N682" s="3345"/>
      <c r="O682" s="3345"/>
    </row>
    <row r="683" spans="1:15" s="3159" customFormat="1" ht="12" customHeight="1">
      <c r="A683" s="3435"/>
      <c r="B683" s="3435"/>
      <c r="C683" s="3336" t="s">
        <v>4973</v>
      </c>
      <c r="D683" s="3335">
        <v>32.92</v>
      </c>
      <c r="E683" s="3354">
        <v>13.88</v>
      </c>
      <c r="L683" s="3345"/>
      <c r="M683" s="3345"/>
      <c r="N683" s="3345"/>
      <c r="O683" s="3345"/>
    </row>
    <row r="684" spans="1:15" s="3159" customFormat="1" ht="12" customHeight="1">
      <c r="A684" s="3435"/>
      <c r="B684" s="3435"/>
      <c r="C684" s="3336" t="s">
        <v>4972</v>
      </c>
      <c r="D684" s="3335">
        <v>32.92</v>
      </c>
      <c r="E684" s="3354">
        <v>13.88</v>
      </c>
      <c r="L684" s="3345"/>
      <c r="M684" s="3345"/>
      <c r="N684" s="3345"/>
      <c r="O684" s="3345"/>
    </row>
    <row r="685" spans="1:15" s="3159" customFormat="1" ht="12" customHeight="1">
      <c r="A685" s="3435"/>
      <c r="B685" s="3435"/>
      <c r="C685" s="3336" t="s">
        <v>4971</v>
      </c>
      <c r="D685" s="3335">
        <v>32.92</v>
      </c>
      <c r="E685" s="3354">
        <v>13.88</v>
      </c>
      <c r="L685" s="3345"/>
      <c r="M685" s="3345"/>
      <c r="N685" s="3345"/>
      <c r="O685" s="3345"/>
    </row>
    <row r="686" spans="1:15" s="3159" customFormat="1" ht="12" customHeight="1">
      <c r="A686" s="3435"/>
      <c r="B686" s="3435"/>
      <c r="C686" s="3336" t="s">
        <v>4970</v>
      </c>
      <c r="D686" s="3335">
        <v>32.92</v>
      </c>
      <c r="E686" s="3354">
        <v>13.88</v>
      </c>
      <c r="L686" s="3345"/>
      <c r="M686" s="3345"/>
      <c r="N686" s="3345"/>
      <c r="O686" s="3345"/>
    </row>
    <row r="687" spans="1:15" s="3159" customFormat="1" ht="12" customHeight="1">
      <c r="A687" s="3435"/>
      <c r="B687" s="3435"/>
      <c r="C687" s="3336" t="s">
        <v>4969</v>
      </c>
      <c r="D687" s="3335">
        <v>32.92</v>
      </c>
      <c r="E687" s="3354">
        <v>13.88</v>
      </c>
      <c r="L687" s="3345"/>
      <c r="M687" s="3345"/>
      <c r="N687" s="3345"/>
      <c r="O687" s="3345"/>
    </row>
    <row r="688" spans="1:15" s="3159" customFormat="1" ht="12" customHeight="1">
      <c r="A688" s="3435"/>
      <c r="B688" s="3435"/>
      <c r="C688" s="3336" t="s">
        <v>4968</v>
      </c>
      <c r="D688" s="3335">
        <v>32.92</v>
      </c>
      <c r="E688" s="3354">
        <v>13.88</v>
      </c>
      <c r="L688" s="3345"/>
      <c r="M688" s="3345"/>
      <c r="N688" s="3345"/>
      <c r="O688" s="3345"/>
    </row>
    <row r="689" spans="1:15" s="3159" customFormat="1" ht="12" customHeight="1">
      <c r="A689" s="3435"/>
      <c r="B689" s="3435"/>
      <c r="C689" s="3336" t="s">
        <v>4967</v>
      </c>
      <c r="D689" s="3335">
        <v>32.92</v>
      </c>
      <c r="E689" s="3354">
        <v>13.88</v>
      </c>
      <c r="L689" s="3345"/>
      <c r="M689" s="3345"/>
      <c r="N689" s="3345"/>
      <c r="O689" s="3345"/>
    </row>
    <row r="690" spans="1:15" s="3159" customFormat="1" ht="12" customHeight="1">
      <c r="A690" s="3435"/>
      <c r="B690" s="3435"/>
      <c r="C690" s="3336" t="s">
        <v>4966</v>
      </c>
      <c r="D690" s="3335">
        <v>32.92</v>
      </c>
      <c r="E690" s="3354">
        <v>13.88</v>
      </c>
      <c r="L690" s="3345"/>
      <c r="M690" s="3345"/>
      <c r="N690" s="3345"/>
      <c r="O690" s="3345"/>
    </row>
    <row r="691" spans="1:15" s="3159" customFormat="1" ht="12" customHeight="1">
      <c r="A691" s="3435"/>
      <c r="B691" s="3435"/>
      <c r="C691" s="3336" t="s">
        <v>4965</v>
      </c>
      <c r="D691" s="3335">
        <v>32.92</v>
      </c>
      <c r="E691" s="3354">
        <v>13.88</v>
      </c>
      <c r="L691" s="3345"/>
      <c r="M691" s="3345"/>
      <c r="N691" s="3345"/>
      <c r="O691" s="3345"/>
    </row>
    <row r="692" spans="1:15" s="3159" customFormat="1" ht="12" customHeight="1">
      <c r="A692" s="3435"/>
      <c r="B692" s="3435"/>
      <c r="C692" s="3336" t="s">
        <v>4964</v>
      </c>
      <c r="D692" s="3335">
        <v>32.92</v>
      </c>
      <c r="E692" s="3354">
        <v>13.88</v>
      </c>
      <c r="L692" s="3345"/>
      <c r="M692" s="3345"/>
      <c r="N692" s="3345"/>
      <c r="O692" s="3345"/>
    </row>
    <row r="693" spans="1:15" s="3159" customFormat="1" ht="12" customHeight="1">
      <c r="A693" s="3435"/>
      <c r="B693" s="3435"/>
      <c r="C693" s="3336" t="s">
        <v>4963</v>
      </c>
      <c r="D693" s="3335">
        <v>32.92</v>
      </c>
      <c r="E693" s="3354">
        <v>13.88</v>
      </c>
      <c r="L693" s="3345"/>
      <c r="M693" s="3345"/>
      <c r="N693" s="3345"/>
      <c r="O693" s="3345"/>
    </row>
    <row r="694" spans="1:15" s="3159" customFormat="1" ht="12" customHeight="1">
      <c r="A694" s="3435"/>
      <c r="B694" s="3435"/>
      <c r="C694" s="3336" t="s">
        <v>4962</v>
      </c>
      <c r="D694" s="3335">
        <v>32.92</v>
      </c>
      <c r="E694" s="3354">
        <v>13.88</v>
      </c>
      <c r="L694" s="3345"/>
      <c r="M694" s="3345"/>
      <c r="N694" s="3345"/>
      <c r="O694" s="3345"/>
    </row>
    <row r="695" spans="1:15" s="3159" customFormat="1" ht="12" customHeight="1">
      <c r="A695" s="3435"/>
      <c r="B695" s="3435"/>
      <c r="C695" s="3336" t="s">
        <v>4961</v>
      </c>
      <c r="D695" s="3335">
        <v>32.92</v>
      </c>
      <c r="E695" s="3354">
        <v>13.88</v>
      </c>
      <c r="L695" s="3345"/>
      <c r="M695" s="3345"/>
      <c r="N695" s="3345"/>
      <c r="O695" s="3345"/>
    </row>
    <row r="696" spans="1:15" s="3159" customFormat="1" ht="12" customHeight="1">
      <c r="A696" s="3435"/>
      <c r="B696" s="3435"/>
      <c r="C696" s="3336" t="s">
        <v>4960</v>
      </c>
      <c r="D696" s="3335">
        <v>32.92</v>
      </c>
      <c r="E696" s="3354">
        <v>13.88</v>
      </c>
      <c r="L696" s="3345"/>
      <c r="M696" s="3345"/>
      <c r="N696" s="3345"/>
      <c r="O696" s="3345"/>
    </row>
    <row r="697" spans="1:15" s="3159" customFormat="1" ht="12" customHeight="1">
      <c r="A697" s="3435"/>
      <c r="B697" s="3435"/>
      <c r="C697" s="3336" t="s">
        <v>4959</v>
      </c>
      <c r="D697" s="3335">
        <v>32.92</v>
      </c>
      <c r="E697" s="3354">
        <v>13.88</v>
      </c>
      <c r="L697" s="3345"/>
      <c r="M697" s="3345"/>
      <c r="N697" s="3345"/>
      <c r="O697" s="3345"/>
    </row>
    <row r="698" spans="1:15" s="3159" customFormat="1" ht="12" customHeight="1">
      <c r="A698" s="3435"/>
      <c r="B698" s="3435"/>
      <c r="C698" s="3336" t="s">
        <v>4958</v>
      </c>
      <c r="D698" s="3335">
        <v>32.92</v>
      </c>
      <c r="E698" s="3354">
        <v>13.88</v>
      </c>
      <c r="L698" s="3345"/>
      <c r="M698" s="3345"/>
      <c r="N698" s="3345"/>
      <c r="O698" s="3345"/>
    </row>
    <row r="699" spans="1:15" s="3159" customFormat="1" ht="12" customHeight="1">
      <c r="A699" s="3435"/>
      <c r="B699" s="3435"/>
      <c r="C699" s="3336" t="s">
        <v>4957</v>
      </c>
      <c r="D699" s="3335">
        <v>32.92</v>
      </c>
      <c r="E699" s="3354">
        <v>13.88</v>
      </c>
      <c r="L699" s="3345"/>
      <c r="M699" s="3345"/>
      <c r="N699" s="3345"/>
      <c r="O699" s="3345"/>
    </row>
    <row r="700" spans="1:15" s="3159" customFormat="1" ht="12" customHeight="1">
      <c r="A700" s="3435"/>
      <c r="B700" s="3435"/>
      <c r="C700" s="3336" t="s">
        <v>4956</v>
      </c>
      <c r="D700" s="3335">
        <v>32.92</v>
      </c>
      <c r="E700" s="3354">
        <v>13.88</v>
      </c>
      <c r="L700" s="3345"/>
      <c r="M700" s="3345"/>
      <c r="N700" s="3345"/>
      <c r="O700" s="3345"/>
    </row>
    <row r="701" spans="1:15" s="3159" customFormat="1" ht="12" customHeight="1">
      <c r="A701" s="3435"/>
      <c r="B701" s="3435"/>
      <c r="C701" s="3336" t="s">
        <v>4955</v>
      </c>
      <c r="D701" s="3335">
        <v>32.92</v>
      </c>
      <c r="E701" s="3354">
        <v>13.88</v>
      </c>
      <c r="L701" s="3345"/>
      <c r="M701" s="3345"/>
      <c r="N701" s="3345"/>
      <c r="O701" s="3345"/>
    </row>
    <row r="702" spans="1:15" s="3159" customFormat="1" ht="12" customHeight="1">
      <c r="A702" s="3435"/>
      <c r="B702" s="3435"/>
      <c r="C702" s="3336" t="s">
        <v>4954</v>
      </c>
      <c r="D702" s="3335">
        <v>32.92</v>
      </c>
      <c r="E702" s="3354">
        <v>13.88</v>
      </c>
      <c r="L702" s="3345"/>
      <c r="M702" s="3345"/>
      <c r="N702" s="3345"/>
      <c r="O702" s="3345"/>
    </row>
    <row r="703" spans="1:15" s="3159" customFormat="1" ht="12" customHeight="1">
      <c r="A703" s="3435"/>
      <c r="B703" s="3435"/>
      <c r="C703" s="3336" t="s">
        <v>4953</v>
      </c>
      <c r="D703" s="3335">
        <v>32.92</v>
      </c>
      <c r="E703" s="3354">
        <v>13.88</v>
      </c>
      <c r="L703" s="3345"/>
      <c r="M703" s="3345"/>
      <c r="N703" s="3345"/>
      <c r="O703" s="3345"/>
    </row>
    <row r="704" spans="1:15" s="3159" customFormat="1" ht="12" customHeight="1">
      <c r="A704" s="3435"/>
      <c r="B704" s="3435"/>
      <c r="C704" s="3336" t="s">
        <v>4952</v>
      </c>
      <c r="D704" s="3335">
        <v>32.92</v>
      </c>
      <c r="E704" s="3354">
        <v>13.88</v>
      </c>
      <c r="L704" s="3345"/>
      <c r="M704" s="3345"/>
      <c r="N704" s="3345"/>
      <c r="O704" s="3345"/>
    </row>
    <row r="705" spans="1:15" s="3159" customFormat="1" ht="12" customHeight="1">
      <c r="A705" s="3435"/>
      <c r="B705" s="3435"/>
      <c r="C705" s="3336" t="s">
        <v>4951</v>
      </c>
      <c r="D705" s="3335">
        <v>32.92</v>
      </c>
      <c r="E705" s="3354">
        <v>13.88</v>
      </c>
      <c r="L705" s="3345"/>
      <c r="M705" s="3345"/>
      <c r="N705" s="3345"/>
      <c r="O705" s="3345"/>
    </row>
    <row r="706" spans="1:15" s="3159" customFormat="1" ht="12" customHeight="1">
      <c r="A706" s="3435"/>
      <c r="B706" s="3435"/>
      <c r="C706" s="3336" t="s">
        <v>4950</v>
      </c>
      <c r="D706" s="3335">
        <v>32.92</v>
      </c>
      <c r="E706" s="3354">
        <v>13.88</v>
      </c>
      <c r="L706" s="3345"/>
      <c r="M706" s="3345"/>
      <c r="N706" s="3345"/>
      <c r="O706" s="3345"/>
    </row>
    <row r="707" spans="1:15" s="3159" customFormat="1" ht="12" customHeight="1">
      <c r="A707" s="3435"/>
      <c r="B707" s="3435"/>
      <c r="C707" s="3336" t="s">
        <v>4949</v>
      </c>
      <c r="D707" s="3335">
        <v>31.68</v>
      </c>
      <c r="E707" s="3354">
        <v>13.35</v>
      </c>
      <c r="L707" s="3345"/>
      <c r="M707" s="3345"/>
      <c r="N707" s="3345"/>
      <c r="O707" s="3345"/>
    </row>
    <row r="708" spans="1:15" s="3159" customFormat="1" ht="12" customHeight="1">
      <c r="A708" s="3435"/>
      <c r="B708" s="3435"/>
      <c r="C708" s="3336" t="s">
        <v>4948</v>
      </c>
      <c r="D708" s="3335">
        <v>31.68</v>
      </c>
      <c r="E708" s="3354">
        <v>13.35</v>
      </c>
      <c r="L708" s="3345"/>
      <c r="M708" s="3345"/>
      <c r="N708" s="3345"/>
      <c r="O708" s="3345"/>
    </row>
    <row r="709" spans="1:15" s="3159" customFormat="1" ht="12" customHeight="1">
      <c r="A709" s="3435"/>
      <c r="B709" s="3435"/>
      <c r="C709" s="3336" t="s">
        <v>4947</v>
      </c>
      <c r="D709" s="3335">
        <v>31.68</v>
      </c>
      <c r="E709" s="3354">
        <v>13.35</v>
      </c>
      <c r="L709" s="3345"/>
      <c r="M709" s="3345"/>
      <c r="N709" s="3345"/>
      <c r="O709" s="3345"/>
    </row>
    <row r="710" spans="1:15" s="3159" customFormat="1" ht="12" customHeight="1">
      <c r="A710" s="3435"/>
      <c r="B710" s="3435"/>
      <c r="C710" s="3336" t="s">
        <v>4946</v>
      </c>
      <c r="D710" s="3335">
        <v>31.68</v>
      </c>
      <c r="E710" s="3354">
        <v>13.35</v>
      </c>
      <c r="L710" s="3345"/>
      <c r="M710" s="3345"/>
      <c r="N710" s="3345"/>
      <c r="O710" s="3345"/>
    </row>
    <row r="711" spans="1:15" s="3159" customFormat="1" ht="12" customHeight="1">
      <c r="A711" s="3435"/>
      <c r="B711" s="3435"/>
      <c r="C711" s="3336" t="s">
        <v>4945</v>
      </c>
      <c r="D711" s="3335">
        <v>31.68</v>
      </c>
      <c r="E711" s="3354">
        <v>13.35</v>
      </c>
      <c r="L711" s="3345"/>
      <c r="M711" s="3345"/>
      <c r="N711" s="3345"/>
      <c r="O711" s="3345"/>
    </row>
    <row r="712" spans="1:15" s="3159" customFormat="1" ht="12" customHeight="1">
      <c r="A712" s="3435"/>
      <c r="B712" s="3435"/>
      <c r="C712" s="3336" t="s">
        <v>4944</v>
      </c>
      <c r="D712" s="3335">
        <v>31.68</v>
      </c>
      <c r="E712" s="3354">
        <v>13.35</v>
      </c>
      <c r="L712" s="3345"/>
      <c r="M712" s="3345"/>
      <c r="N712" s="3345"/>
      <c r="O712" s="3345"/>
    </row>
    <row r="713" spans="1:15" s="3159" customFormat="1" ht="12" customHeight="1">
      <c r="A713" s="3435"/>
      <c r="B713" s="3435"/>
      <c r="C713" s="3336" t="s">
        <v>4943</v>
      </c>
      <c r="D713" s="3335">
        <v>31.68</v>
      </c>
      <c r="E713" s="3354">
        <v>13.35</v>
      </c>
      <c r="L713" s="3345"/>
      <c r="M713" s="3345"/>
      <c r="N713" s="3345"/>
      <c r="O713" s="3345"/>
    </row>
    <row r="714" spans="1:15" s="3159" customFormat="1" ht="12" customHeight="1">
      <c r="A714" s="3435"/>
      <c r="B714" s="3435"/>
      <c r="C714" s="3336" t="s">
        <v>4942</v>
      </c>
      <c r="D714" s="3335">
        <v>31.68</v>
      </c>
      <c r="E714" s="3354">
        <v>13.35</v>
      </c>
      <c r="L714" s="3345"/>
      <c r="M714" s="3345"/>
      <c r="N714" s="3345"/>
      <c r="O714" s="3345"/>
    </row>
    <row r="715" spans="1:15" s="3159" customFormat="1" ht="12" customHeight="1">
      <c r="A715" s="3435"/>
      <c r="B715" s="3435"/>
      <c r="C715" s="3336" t="s">
        <v>4941</v>
      </c>
      <c r="D715" s="3335">
        <v>31.68</v>
      </c>
      <c r="E715" s="3354">
        <v>13.35</v>
      </c>
      <c r="L715" s="3345"/>
      <c r="M715" s="3345"/>
      <c r="N715" s="3345"/>
      <c r="O715" s="3345"/>
    </row>
    <row r="716" spans="1:15" s="3159" customFormat="1" ht="12" customHeight="1">
      <c r="A716" s="3435"/>
      <c r="B716" s="3435"/>
      <c r="C716" s="3336" t="s">
        <v>4940</v>
      </c>
      <c r="D716" s="3335">
        <v>31.68</v>
      </c>
      <c r="E716" s="3354">
        <v>13.35</v>
      </c>
      <c r="L716" s="3345"/>
      <c r="M716" s="3345"/>
      <c r="N716" s="3345"/>
      <c r="O716" s="3345"/>
    </row>
    <row r="717" spans="1:15" s="3159" customFormat="1" ht="12" customHeight="1">
      <c r="A717" s="3435"/>
      <c r="B717" s="3435"/>
      <c r="C717" s="3336" t="s">
        <v>4939</v>
      </c>
      <c r="D717" s="3335">
        <v>31.68</v>
      </c>
      <c r="E717" s="3354">
        <v>13.35</v>
      </c>
      <c r="L717" s="3345"/>
      <c r="M717" s="3345"/>
      <c r="N717" s="3345"/>
      <c r="O717" s="3345"/>
    </row>
    <row r="718" spans="1:15" s="3159" customFormat="1" ht="12" customHeight="1">
      <c r="A718" s="3435"/>
      <c r="B718" s="3435"/>
      <c r="C718" s="3336" t="s">
        <v>4938</v>
      </c>
      <c r="D718" s="3335">
        <v>31.68</v>
      </c>
      <c r="E718" s="3354">
        <v>13.35</v>
      </c>
      <c r="L718" s="3345"/>
      <c r="M718" s="3345"/>
      <c r="N718" s="3345"/>
      <c r="O718" s="3345"/>
    </row>
    <row r="719" spans="1:15" s="3159" customFormat="1" ht="12" customHeight="1">
      <c r="A719" s="3435"/>
      <c r="B719" s="3435"/>
      <c r="C719" s="3336" t="s">
        <v>4937</v>
      </c>
      <c r="D719" s="3335">
        <v>31.68</v>
      </c>
      <c r="E719" s="3354">
        <v>13.35</v>
      </c>
      <c r="L719" s="3345"/>
      <c r="M719" s="3345"/>
      <c r="N719" s="3345"/>
      <c r="O719" s="3345"/>
    </row>
    <row r="720" spans="1:15" s="3159" customFormat="1" ht="12" customHeight="1">
      <c r="A720" s="3435"/>
      <c r="B720" s="3435"/>
      <c r="C720" s="3336" t="s">
        <v>4936</v>
      </c>
      <c r="D720" s="3335">
        <v>31.68</v>
      </c>
      <c r="E720" s="3354">
        <v>13.35</v>
      </c>
      <c r="L720" s="3345"/>
      <c r="M720" s="3345"/>
      <c r="N720" s="3345"/>
      <c r="O720" s="3345"/>
    </row>
    <row r="721" spans="1:15" s="3159" customFormat="1" ht="12" customHeight="1">
      <c r="A721" s="3435"/>
      <c r="B721" s="3435"/>
      <c r="C721" s="3336" t="s">
        <v>4935</v>
      </c>
      <c r="D721" s="3335">
        <v>31.68</v>
      </c>
      <c r="E721" s="3354">
        <v>13.35</v>
      </c>
      <c r="L721" s="3345"/>
      <c r="M721" s="3345"/>
      <c r="N721" s="3345"/>
      <c r="O721" s="3345"/>
    </row>
    <row r="722" spans="1:15" s="3159" customFormat="1" ht="12" customHeight="1">
      <c r="A722" s="3435"/>
      <c r="B722" s="3435"/>
      <c r="C722" s="3336" t="s">
        <v>4934</v>
      </c>
      <c r="D722" s="3335">
        <v>31.68</v>
      </c>
      <c r="E722" s="3354">
        <v>13.35</v>
      </c>
      <c r="L722" s="3345"/>
      <c r="M722" s="3345"/>
      <c r="N722" s="3345"/>
      <c r="O722" s="3345"/>
    </row>
    <row r="723" spans="1:15" s="3159" customFormat="1" ht="12" customHeight="1">
      <c r="A723" s="3435"/>
      <c r="B723" s="3435"/>
      <c r="C723" s="3336" t="s">
        <v>4933</v>
      </c>
      <c r="D723" s="3335">
        <v>31.68</v>
      </c>
      <c r="E723" s="3354">
        <v>13.35</v>
      </c>
      <c r="L723" s="3345"/>
      <c r="M723" s="3345"/>
      <c r="N723" s="3345"/>
      <c r="O723" s="3345"/>
    </row>
    <row r="724" spans="1:15" s="3159" customFormat="1" ht="12" customHeight="1">
      <c r="A724" s="3435"/>
      <c r="B724" s="3435"/>
      <c r="C724" s="3336" t="s">
        <v>4932</v>
      </c>
      <c r="D724" s="3335">
        <v>31.68</v>
      </c>
      <c r="E724" s="3354">
        <v>13.35</v>
      </c>
      <c r="L724" s="3345"/>
      <c r="M724" s="3345"/>
      <c r="N724" s="3345"/>
      <c r="O724" s="3345"/>
    </row>
    <row r="725" spans="1:15" s="3159" customFormat="1" ht="12" customHeight="1">
      <c r="A725" s="3435"/>
      <c r="B725" s="3435"/>
      <c r="C725" s="3336" t="s">
        <v>4931</v>
      </c>
      <c r="D725" s="3335">
        <v>31.68</v>
      </c>
      <c r="E725" s="3354">
        <v>13.35</v>
      </c>
      <c r="L725" s="3345"/>
      <c r="M725" s="3345"/>
      <c r="N725" s="3345"/>
      <c r="O725" s="3345"/>
    </row>
    <row r="726" spans="1:15" s="3159" customFormat="1" ht="12" customHeight="1">
      <c r="A726" s="3435"/>
      <c r="B726" s="3435"/>
      <c r="C726" s="3336" t="s">
        <v>4930</v>
      </c>
      <c r="D726" s="3335">
        <v>31.68</v>
      </c>
      <c r="E726" s="3354">
        <v>13.35</v>
      </c>
      <c r="L726" s="3345"/>
      <c r="M726" s="3345"/>
      <c r="N726" s="3345"/>
      <c r="O726" s="3345"/>
    </row>
    <row r="727" spans="1:15" s="3159" customFormat="1" ht="12" customHeight="1">
      <c r="A727" s="3435"/>
      <c r="B727" s="3435"/>
      <c r="C727" s="3336" t="s">
        <v>4929</v>
      </c>
      <c r="D727" s="3335">
        <v>31.68</v>
      </c>
      <c r="E727" s="3354">
        <v>13.35</v>
      </c>
      <c r="L727" s="3345"/>
      <c r="M727" s="3345"/>
      <c r="N727" s="3345"/>
      <c r="O727" s="3345"/>
    </row>
    <row r="728" spans="1:15" s="3159" customFormat="1" ht="12" customHeight="1">
      <c r="A728" s="3435"/>
      <c r="B728" s="3435"/>
      <c r="C728" s="3336" t="s">
        <v>4928</v>
      </c>
      <c r="D728" s="3335">
        <v>31.68</v>
      </c>
      <c r="E728" s="3354">
        <v>13.35</v>
      </c>
      <c r="L728" s="3345"/>
      <c r="M728" s="3345"/>
      <c r="N728" s="3345"/>
      <c r="O728" s="3345"/>
    </row>
    <row r="729" spans="1:15" s="3159" customFormat="1" ht="12" customHeight="1">
      <c r="A729" s="3435"/>
      <c r="B729" s="3435"/>
      <c r="C729" s="3336" t="s">
        <v>4927</v>
      </c>
      <c r="D729" s="3335">
        <v>31.68</v>
      </c>
      <c r="E729" s="3354">
        <v>13.35</v>
      </c>
      <c r="L729" s="3345"/>
      <c r="M729" s="3345"/>
      <c r="N729" s="3345"/>
      <c r="O729" s="3345"/>
    </row>
    <row r="730" spans="1:15" s="3159" customFormat="1" ht="12" customHeight="1">
      <c r="A730" s="3435"/>
      <c r="B730" s="3435"/>
      <c r="C730" s="3336" t="s">
        <v>4926</v>
      </c>
      <c r="D730" s="3335">
        <v>31.68</v>
      </c>
      <c r="E730" s="3354">
        <v>13.35</v>
      </c>
      <c r="L730" s="3345"/>
      <c r="M730" s="3345"/>
      <c r="N730" s="3345"/>
      <c r="O730" s="3345"/>
    </row>
    <row r="731" spans="1:15" s="3159" customFormat="1" ht="12" customHeight="1">
      <c r="A731" s="3435" t="s">
        <v>4866</v>
      </c>
      <c r="B731" s="3435" t="s">
        <v>4925</v>
      </c>
      <c r="C731" s="3336" t="s">
        <v>4924</v>
      </c>
      <c r="D731" s="3335">
        <v>31.68</v>
      </c>
      <c r="E731" s="3354">
        <v>13.35</v>
      </c>
      <c r="L731" s="3345"/>
      <c r="M731" s="3345"/>
      <c r="N731" s="3345"/>
      <c r="O731" s="3345"/>
    </row>
    <row r="732" spans="1:15" s="3159" customFormat="1" ht="12" customHeight="1">
      <c r="A732" s="3435"/>
      <c r="B732" s="3435"/>
      <c r="C732" s="3336" t="s">
        <v>4923</v>
      </c>
      <c r="D732" s="3335">
        <v>31.68</v>
      </c>
      <c r="E732" s="3354">
        <v>13.35</v>
      </c>
      <c r="L732" s="3345"/>
      <c r="M732" s="3345"/>
      <c r="N732" s="3345"/>
      <c r="O732" s="3345"/>
    </row>
    <row r="733" spans="1:15" s="3159" customFormat="1" ht="12" customHeight="1">
      <c r="A733" s="3435"/>
      <c r="B733" s="3435"/>
      <c r="C733" s="3336" t="s">
        <v>4922</v>
      </c>
      <c r="D733" s="3335">
        <v>31.68</v>
      </c>
      <c r="E733" s="3354">
        <v>13.35</v>
      </c>
      <c r="L733" s="3345"/>
      <c r="M733" s="3345"/>
      <c r="N733" s="3345"/>
      <c r="O733" s="3345"/>
    </row>
    <row r="734" spans="1:15" s="3159" customFormat="1" ht="12" customHeight="1">
      <c r="A734" s="3435"/>
      <c r="B734" s="3435"/>
      <c r="C734" s="3336" t="s">
        <v>4921</v>
      </c>
      <c r="D734" s="3335">
        <v>31.68</v>
      </c>
      <c r="E734" s="3354">
        <v>13.35</v>
      </c>
      <c r="L734" s="3345"/>
      <c r="M734" s="3345"/>
      <c r="N734" s="3345"/>
      <c r="O734" s="3345"/>
    </row>
    <row r="735" spans="1:15" s="3159" customFormat="1" ht="12" customHeight="1">
      <c r="A735" s="3435"/>
      <c r="B735" s="3435"/>
      <c r="C735" s="3336" t="s">
        <v>4920</v>
      </c>
      <c r="D735" s="3335">
        <v>31.68</v>
      </c>
      <c r="E735" s="3354">
        <v>13.35</v>
      </c>
      <c r="L735" s="3345"/>
      <c r="M735" s="3345"/>
      <c r="N735" s="3345"/>
      <c r="O735" s="3345"/>
    </row>
    <row r="736" spans="1:15" s="3159" customFormat="1" ht="12" customHeight="1">
      <c r="A736" s="3435"/>
      <c r="B736" s="3435"/>
      <c r="C736" s="3336" t="s">
        <v>4919</v>
      </c>
      <c r="D736" s="3335">
        <v>31.68</v>
      </c>
      <c r="E736" s="3354">
        <v>13.35</v>
      </c>
      <c r="L736" s="3345"/>
      <c r="M736" s="3345"/>
      <c r="N736" s="3345"/>
      <c r="O736" s="3345"/>
    </row>
    <row r="737" spans="1:15" s="3159" customFormat="1" ht="12" customHeight="1">
      <c r="A737" s="3435"/>
      <c r="B737" s="3435"/>
      <c r="C737" s="3336" t="s">
        <v>4918</v>
      </c>
      <c r="D737" s="3335">
        <v>31.68</v>
      </c>
      <c r="E737" s="3354">
        <v>13.35</v>
      </c>
      <c r="L737" s="3345"/>
      <c r="M737" s="3345"/>
      <c r="N737" s="3345"/>
      <c r="O737" s="3345"/>
    </row>
    <row r="738" spans="1:15" s="3159" customFormat="1" ht="12" customHeight="1">
      <c r="A738" s="3435"/>
      <c r="B738" s="3435"/>
      <c r="C738" s="3336" t="s">
        <v>4917</v>
      </c>
      <c r="D738" s="3335">
        <v>31.68</v>
      </c>
      <c r="E738" s="3354">
        <v>13.35</v>
      </c>
      <c r="L738" s="3345"/>
      <c r="M738" s="3345"/>
      <c r="N738" s="3345"/>
      <c r="O738" s="3345"/>
    </row>
    <row r="739" spans="1:15" s="3159" customFormat="1" ht="12" customHeight="1">
      <c r="A739" s="3435"/>
      <c r="B739" s="3435"/>
      <c r="C739" s="3336" t="s">
        <v>4916</v>
      </c>
      <c r="D739" s="3335">
        <v>31.68</v>
      </c>
      <c r="E739" s="3354">
        <v>13.35</v>
      </c>
      <c r="L739" s="3345"/>
      <c r="M739" s="3345"/>
      <c r="N739" s="3345"/>
      <c r="O739" s="3345"/>
    </row>
    <row r="740" spans="1:15" s="3159" customFormat="1" ht="12" customHeight="1">
      <c r="A740" s="3435"/>
      <c r="B740" s="3435"/>
      <c r="C740" s="3336" t="s">
        <v>4915</v>
      </c>
      <c r="D740" s="3335">
        <v>31.68</v>
      </c>
      <c r="E740" s="3354">
        <v>13.35</v>
      </c>
      <c r="L740" s="3345"/>
      <c r="M740" s="3345"/>
      <c r="N740" s="3345"/>
      <c r="O740" s="3345"/>
    </row>
    <row r="741" spans="1:15" s="3159" customFormat="1" ht="12" customHeight="1">
      <c r="A741" s="3435"/>
      <c r="B741" s="3435"/>
      <c r="C741" s="3336" t="s">
        <v>4914</v>
      </c>
      <c r="D741" s="3335">
        <v>31.68</v>
      </c>
      <c r="E741" s="3354">
        <v>13.35</v>
      </c>
      <c r="L741" s="3345"/>
      <c r="M741" s="3345"/>
      <c r="N741" s="3345"/>
      <c r="O741" s="3345"/>
    </row>
    <row r="742" spans="1:15" s="3159" customFormat="1" ht="12" customHeight="1">
      <c r="A742" s="3435"/>
      <c r="B742" s="3435"/>
      <c r="C742" s="3336" t="s">
        <v>4913</v>
      </c>
      <c r="D742" s="3335">
        <v>31.68</v>
      </c>
      <c r="E742" s="3354">
        <v>13.35</v>
      </c>
      <c r="L742" s="3345"/>
      <c r="M742" s="3345"/>
      <c r="N742" s="3345"/>
      <c r="O742" s="3345"/>
    </row>
    <row r="743" spans="1:15" s="3159" customFormat="1" ht="12" customHeight="1">
      <c r="A743" s="3435"/>
      <c r="B743" s="3435"/>
      <c r="C743" s="3336" t="s">
        <v>4912</v>
      </c>
      <c r="D743" s="3335">
        <v>31.68</v>
      </c>
      <c r="E743" s="3354">
        <v>13.35</v>
      </c>
      <c r="L743" s="3345"/>
      <c r="M743" s="3345"/>
      <c r="N743" s="3345"/>
      <c r="O743" s="3345"/>
    </row>
    <row r="744" spans="1:15" s="3159" customFormat="1" ht="12" customHeight="1">
      <c r="A744" s="3435"/>
      <c r="B744" s="3435"/>
      <c r="C744" s="3336" t="s">
        <v>4911</v>
      </c>
      <c r="D744" s="3335">
        <v>31.68</v>
      </c>
      <c r="E744" s="3354">
        <v>13.35</v>
      </c>
      <c r="L744" s="3345"/>
      <c r="M744" s="3345"/>
      <c r="N744" s="3345"/>
      <c r="O744" s="3345"/>
    </row>
    <row r="745" spans="1:15" s="3159" customFormat="1" ht="12" customHeight="1">
      <c r="A745" s="3435"/>
      <c r="B745" s="3435"/>
      <c r="C745" s="3336" t="s">
        <v>4910</v>
      </c>
      <c r="D745" s="3335">
        <v>31.68</v>
      </c>
      <c r="E745" s="3354">
        <v>13.35</v>
      </c>
      <c r="L745" s="3345"/>
      <c r="M745" s="3345"/>
      <c r="N745" s="3345"/>
      <c r="O745" s="3345"/>
    </row>
    <row r="746" spans="1:15" s="3159" customFormat="1" ht="12" customHeight="1">
      <c r="A746" s="3435"/>
      <c r="B746" s="3435"/>
      <c r="C746" s="3336" t="s">
        <v>4909</v>
      </c>
      <c r="D746" s="3335">
        <v>31.68</v>
      </c>
      <c r="E746" s="3354">
        <v>13.35</v>
      </c>
      <c r="L746" s="3345"/>
      <c r="M746" s="3345"/>
      <c r="N746" s="3345"/>
      <c r="O746" s="3345"/>
    </row>
    <row r="747" spans="1:15" s="3159" customFormat="1" ht="12" customHeight="1">
      <c r="A747" s="3435"/>
      <c r="B747" s="3435"/>
      <c r="C747" s="3336" t="s">
        <v>4908</v>
      </c>
      <c r="D747" s="3335">
        <v>31.68</v>
      </c>
      <c r="E747" s="3354">
        <v>13.35</v>
      </c>
      <c r="L747" s="3345"/>
      <c r="M747" s="3345"/>
      <c r="N747" s="3345"/>
      <c r="O747" s="3345"/>
    </row>
    <row r="748" spans="1:15" s="3159" customFormat="1" ht="12" customHeight="1">
      <c r="A748" s="3435"/>
      <c r="B748" s="3435"/>
      <c r="C748" s="3336" t="s">
        <v>4907</v>
      </c>
      <c r="D748" s="3335">
        <v>31.68</v>
      </c>
      <c r="E748" s="3354">
        <v>13.35</v>
      </c>
      <c r="L748" s="3345"/>
      <c r="M748" s="3345"/>
      <c r="N748" s="3345"/>
      <c r="O748" s="3345"/>
    </row>
    <row r="749" spans="1:15" s="3159" customFormat="1" ht="12" customHeight="1">
      <c r="A749" s="3435"/>
      <c r="B749" s="3435"/>
      <c r="C749" s="3336" t="s">
        <v>4906</v>
      </c>
      <c r="D749" s="3335">
        <v>31.68</v>
      </c>
      <c r="E749" s="3354">
        <v>13.35</v>
      </c>
      <c r="L749" s="3345"/>
      <c r="M749" s="3345"/>
      <c r="N749" s="3345"/>
      <c r="O749" s="3345"/>
    </row>
    <row r="750" spans="1:15" s="3159" customFormat="1" ht="12" customHeight="1">
      <c r="A750" s="3435"/>
      <c r="B750" s="3435"/>
      <c r="C750" s="3336" t="s">
        <v>4905</v>
      </c>
      <c r="D750" s="3335">
        <v>31.68</v>
      </c>
      <c r="E750" s="3354">
        <v>13.35</v>
      </c>
      <c r="L750" s="3345"/>
      <c r="M750" s="3345"/>
      <c r="N750" s="3345"/>
      <c r="O750" s="3345"/>
    </row>
    <row r="751" spans="1:15" s="3159" customFormat="1" ht="12" customHeight="1">
      <c r="A751" s="3435"/>
      <c r="B751" s="3435"/>
      <c r="C751" s="3336" t="s">
        <v>4904</v>
      </c>
      <c r="D751" s="3335">
        <v>31.68</v>
      </c>
      <c r="E751" s="3354">
        <v>13.35</v>
      </c>
      <c r="L751" s="3345"/>
      <c r="M751" s="3345"/>
      <c r="N751" s="3345"/>
      <c r="O751" s="3345"/>
    </row>
    <row r="752" spans="1:15" s="3159" customFormat="1" ht="12" customHeight="1">
      <c r="A752" s="3435"/>
      <c r="B752" s="3435"/>
      <c r="C752" s="3336" t="s">
        <v>4903</v>
      </c>
      <c r="D752" s="3335">
        <v>31.68</v>
      </c>
      <c r="E752" s="3354">
        <v>13.35</v>
      </c>
      <c r="L752" s="3345"/>
      <c r="M752" s="3345"/>
      <c r="N752" s="3345"/>
      <c r="O752" s="3345"/>
    </row>
    <row r="753" spans="1:15" s="3159" customFormat="1" ht="12" customHeight="1">
      <c r="A753" s="3435"/>
      <c r="B753" s="3435"/>
      <c r="C753" s="3336" t="s">
        <v>4902</v>
      </c>
      <c r="D753" s="3335">
        <v>31.68</v>
      </c>
      <c r="E753" s="3354">
        <v>13.35</v>
      </c>
      <c r="L753" s="3345"/>
      <c r="M753" s="3345"/>
      <c r="N753" s="3345"/>
      <c r="O753" s="3345"/>
    </row>
    <row r="754" spans="1:15" s="3159" customFormat="1" ht="12" customHeight="1">
      <c r="A754" s="3435"/>
      <c r="B754" s="3435"/>
      <c r="C754" s="3336" t="s">
        <v>4901</v>
      </c>
      <c r="D754" s="3335">
        <v>31.68</v>
      </c>
      <c r="E754" s="3354">
        <v>13.35</v>
      </c>
      <c r="L754" s="3345"/>
      <c r="M754" s="3345"/>
      <c r="N754" s="3345"/>
      <c r="O754" s="3345"/>
    </row>
    <row r="755" spans="1:15" s="3159" customFormat="1" ht="12" customHeight="1">
      <c r="A755" s="3435"/>
      <c r="B755" s="3435"/>
      <c r="C755" s="3336" t="s">
        <v>4900</v>
      </c>
      <c r="D755" s="3335">
        <v>31.68</v>
      </c>
      <c r="E755" s="3354">
        <v>13.35</v>
      </c>
      <c r="L755" s="3345"/>
      <c r="M755" s="3345"/>
      <c r="N755" s="3345"/>
      <c r="O755" s="3345"/>
    </row>
    <row r="756" spans="1:15" s="3159" customFormat="1" ht="12" customHeight="1">
      <c r="A756" s="3435"/>
      <c r="B756" s="3435"/>
      <c r="C756" s="3336" t="s">
        <v>4899</v>
      </c>
      <c r="D756" s="3335">
        <v>31.68</v>
      </c>
      <c r="E756" s="3354">
        <v>13.35</v>
      </c>
      <c r="L756" s="3345"/>
      <c r="M756" s="3345"/>
      <c r="N756" s="3345"/>
      <c r="O756" s="3345"/>
    </row>
    <row r="757" spans="1:15" s="3159" customFormat="1" ht="12" customHeight="1">
      <c r="A757" s="3435"/>
      <c r="B757" s="3435"/>
      <c r="C757" s="3336" t="s">
        <v>4898</v>
      </c>
      <c r="D757" s="3335">
        <v>31.68</v>
      </c>
      <c r="E757" s="3354">
        <v>13.35</v>
      </c>
      <c r="L757" s="3345"/>
      <c r="M757" s="3345"/>
      <c r="N757" s="3345"/>
      <c r="O757" s="3345"/>
    </row>
    <row r="758" spans="1:15" s="3159" customFormat="1" ht="12" customHeight="1">
      <c r="A758" s="3435"/>
      <c r="B758" s="3435"/>
      <c r="C758" s="3336" t="s">
        <v>4897</v>
      </c>
      <c r="D758" s="3335">
        <v>31.68</v>
      </c>
      <c r="E758" s="3354">
        <v>13.35</v>
      </c>
      <c r="L758" s="3345"/>
      <c r="M758" s="3345"/>
      <c r="N758" s="3345"/>
      <c r="O758" s="3345"/>
    </row>
    <row r="759" spans="1:15" s="3159" customFormat="1" ht="12" customHeight="1">
      <c r="A759" s="3435"/>
      <c r="B759" s="3435"/>
      <c r="C759" s="3336" t="s">
        <v>4896</v>
      </c>
      <c r="D759" s="3335">
        <v>31.68</v>
      </c>
      <c r="E759" s="3354">
        <v>13.35</v>
      </c>
      <c r="L759" s="3345"/>
      <c r="M759" s="3345"/>
      <c r="N759" s="3345"/>
      <c r="O759" s="3345"/>
    </row>
    <row r="760" spans="1:15" s="3159" customFormat="1" ht="12" customHeight="1">
      <c r="A760" s="3435"/>
      <c r="B760" s="3435"/>
      <c r="C760" s="3336" t="s">
        <v>4895</v>
      </c>
      <c r="D760" s="3335">
        <v>31.68</v>
      </c>
      <c r="E760" s="3354">
        <v>13.35</v>
      </c>
      <c r="L760" s="3345"/>
      <c r="M760" s="3345"/>
      <c r="N760" s="3345"/>
      <c r="O760" s="3345"/>
    </row>
    <row r="761" spans="1:15" s="3159" customFormat="1" ht="12" customHeight="1">
      <c r="A761" s="3435"/>
      <c r="B761" s="3435"/>
      <c r="C761" s="3336" t="s">
        <v>4894</v>
      </c>
      <c r="D761" s="3335">
        <v>31.68</v>
      </c>
      <c r="E761" s="3354">
        <v>13.35</v>
      </c>
      <c r="L761" s="3345"/>
      <c r="M761" s="3345"/>
      <c r="N761" s="3345"/>
      <c r="O761" s="3345"/>
    </row>
    <row r="762" spans="1:15" s="3159" customFormat="1" ht="12" customHeight="1">
      <c r="A762" s="3435"/>
      <c r="B762" s="3435"/>
      <c r="C762" s="3336" t="s">
        <v>4893</v>
      </c>
      <c r="D762" s="3335">
        <v>31.68</v>
      </c>
      <c r="E762" s="3354">
        <v>13.35</v>
      </c>
      <c r="L762" s="3345"/>
      <c r="M762" s="3345"/>
      <c r="N762" s="3345"/>
      <c r="O762" s="3345"/>
    </row>
    <row r="763" spans="1:15" s="3159" customFormat="1" ht="12" customHeight="1">
      <c r="A763" s="3435"/>
      <c r="B763" s="3435"/>
      <c r="C763" s="3336" t="s">
        <v>4892</v>
      </c>
      <c r="D763" s="3335">
        <v>31.68</v>
      </c>
      <c r="E763" s="3354">
        <v>13.35</v>
      </c>
      <c r="L763" s="3345"/>
      <c r="M763" s="3345"/>
      <c r="N763" s="3345"/>
      <c r="O763" s="3345"/>
    </row>
    <row r="764" spans="1:15" s="3159" customFormat="1" ht="12" customHeight="1">
      <c r="A764" s="3435"/>
      <c r="B764" s="3435"/>
      <c r="C764" s="3336" t="s">
        <v>4891</v>
      </c>
      <c r="D764" s="3335">
        <v>31.68</v>
      </c>
      <c r="E764" s="3354">
        <v>13.35</v>
      </c>
      <c r="L764" s="3345"/>
      <c r="M764" s="3345"/>
      <c r="N764" s="3345"/>
      <c r="O764" s="3345"/>
    </row>
    <row r="765" spans="1:15" s="3159" customFormat="1" ht="12" customHeight="1">
      <c r="A765" s="3435"/>
      <c r="B765" s="3435"/>
      <c r="C765" s="3336" t="s">
        <v>4890</v>
      </c>
      <c r="D765" s="3335">
        <v>31.68</v>
      </c>
      <c r="E765" s="3354">
        <v>13.35</v>
      </c>
      <c r="L765" s="3345"/>
      <c r="M765" s="3345"/>
      <c r="N765" s="3345"/>
      <c r="O765" s="3345"/>
    </row>
    <row r="766" spans="1:15" s="3159" customFormat="1" ht="12" customHeight="1">
      <c r="A766" s="3435"/>
      <c r="B766" s="3435"/>
      <c r="C766" s="3336" t="s">
        <v>4889</v>
      </c>
      <c r="D766" s="3335">
        <v>31.68</v>
      </c>
      <c r="E766" s="3354">
        <v>13.35</v>
      </c>
      <c r="L766" s="3345"/>
      <c r="M766" s="3345"/>
      <c r="N766" s="3345"/>
      <c r="O766" s="3345"/>
    </row>
    <row r="767" spans="1:15" s="3159" customFormat="1" ht="12" customHeight="1">
      <c r="A767" s="3435"/>
      <c r="B767" s="3435"/>
      <c r="C767" s="3336" t="s">
        <v>4888</v>
      </c>
      <c r="D767" s="3335">
        <v>32.92</v>
      </c>
      <c r="E767" s="3354">
        <v>13.88</v>
      </c>
      <c r="L767" s="3345"/>
      <c r="M767" s="3345"/>
      <c r="N767" s="3345"/>
      <c r="O767" s="3345"/>
    </row>
    <row r="768" spans="1:15" s="3159" customFormat="1" ht="12" customHeight="1">
      <c r="A768" s="3435"/>
      <c r="B768" s="3435"/>
      <c r="C768" s="3336" t="s">
        <v>4887</v>
      </c>
      <c r="D768" s="3335">
        <v>32.92</v>
      </c>
      <c r="E768" s="3354">
        <v>13.88</v>
      </c>
      <c r="L768" s="3345"/>
      <c r="M768" s="3345"/>
      <c r="N768" s="3345"/>
      <c r="O768" s="3345"/>
    </row>
    <row r="769" spans="1:15" s="3159" customFormat="1" ht="12" customHeight="1">
      <c r="A769" s="3435"/>
      <c r="B769" s="3435"/>
      <c r="C769" s="3336" t="s">
        <v>4886</v>
      </c>
      <c r="D769" s="3335">
        <v>32.92</v>
      </c>
      <c r="E769" s="3354">
        <v>13.88</v>
      </c>
      <c r="L769" s="3345"/>
      <c r="M769" s="3345"/>
      <c r="N769" s="3345"/>
      <c r="O769" s="3345"/>
    </row>
    <row r="770" spans="1:15" s="3159" customFormat="1" ht="12" customHeight="1">
      <c r="A770" s="3435"/>
      <c r="B770" s="3435"/>
      <c r="C770" s="3336" t="s">
        <v>4885</v>
      </c>
      <c r="D770" s="3335">
        <v>32.92</v>
      </c>
      <c r="E770" s="3354">
        <v>13.88</v>
      </c>
      <c r="L770" s="3345"/>
      <c r="M770" s="3345"/>
      <c r="N770" s="3345"/>
      <c r="O770" s="3345"/>
    </row>
    <row r="771" spans="1:15" s="3159" customFormat="1" ht="12" customHeight="1">
      <c r="A771" s="3435"/>
      <c r="B771" s="3435"/>
      <c r="C771" s="3336" t="s">
        <v>4884</v>
      </c>
      <c r="D771" s="3335">
        <v>32.92</v>
      </c>
      <c r="E771" s="3354">
        <v>13.88</v>
      </c>
      <c r="L771" s="3345"/>
      <c r="M771" s="3345"/>
      <c r="N771" s="3345"/>
      <c r="O771" s="3345"/>
    </row>
    <row r="772" spans="1:15" s="3159" customFormat="1" ht="12" customHeight="1">
      <c r="A772" s="3435"/>
      <c r="B772" s="3435"/>
      <c r="C772" s="3336" t="s">
        <v>4883</v>
      </c>
      <c r="D772" s="3335">
        <v>32.92</v>
      </c>
      <c r="E772" s="3354">
        <v>13.88</v>
      </c>
      <c r="L772" s="3345"/>
      <c r="M772" s="3345"/>
      <c r="N772" s="3345"/>
      <c r="O772" s="3345"/>
    </row>
    <row r="773" spans="1:15" s="3159" customFormat="1" ht="12" customHeight="1">
      <c r="A773" s="3435"/>
      <c r="B773" s="3435"/>
      <c r="C773" s="3336" t="s">
        <v>4882</v>
      </c>
      <c r="D773" s="3335">
        <v>32.92</v>
      </c>
      <c r="E773" s="3354">
        <v>13.88</v>
      </c>
      <c r="L773" s="3345"/>
      <c r="M773" s="3345"/>
      <c r="N773" s="3345"/>
      <c r="O773" s="3345"/>
    </row>
    <row r="774" spans="1:15" s="3159" customFormat="1" ht="12" customHeight="1">
      <c r="A774" s="3435"/>
      <c r="B774" s="3435"/>
      <c r="C774" s="3336" t="s">
        <v>4881</v>
      </c>
      <c r="D774" s="3335">
        <v>32.92</v>
      </c>
      <c r="E774" s="3354">
        <v>13.88</v>
      </c>
      <c r="L774" s="3345"/>
      <c r="M774" s="3345"/>
      <c r="N774" s="3345"/>
      <c r="O774" s="3345"/>
    </row>
    <row r="775" spans="1:15" s="3159" customFormat="1" ht="12" customHeight="1">
      <c r="A775" s="3435"/>
      <c r="B775" s="3435"/>
      <c r="C775" s="3336" t="s">
        <v>4880</v>
      </c>
      <c r="D775" s="3335">
        <v>32.92</v>
      </c>
      <c r="E775" s="3354">
        <v>13.88</v>
      </c>
      <c r="L775" s="3345"/>
      <c r="M775" s="3345"/>
      <c r="N775" s="3345"/>
      <c r="O775" s="3345"/>
    </row>
    <row r="776" spans="1:15" s="3159" customFormat="1" ht="12" customHeight="1">
      <c r="A776" s="3435"/>
      <c r="B776" s="3435"/>
      <c r="C776" s="3336" t="s">
        <v>4879</v>
      </c>
      <c r="D776" s="3335">
        <v>32.92</v>
      </c>
      <c r="E776" s="3354">
        <v>13.88</v>
      </c>
      <c r="L776" s="3345"/>
      <c r="M776" s="3345"/>
      <c r="N776" s="3345"/>
      <c r="O776" s="3345"/>
    </row>
    <row r="777" spans="1:15" s="3159" customFormat="1" ht="12" customHeight="1">
      <c r="A777" s="3435"/>
      <c r="B777" s="3435"/>
      <c r="C777" s="3336" t="s">
        <v>4878</v>
      </c>
      <c r="D777" s="3335">
        <v>32.92</v>
      </c>
      <c r="E777" s="3354">
        <v>13.88</v>
      </c>
      <c r="L777" s="3345"/>
      <c r="M777" s="3345"/>
      <c r="N777" s="3345"/>
      <c r="O777" s="3345"/>
    </row>
    <row r="778" spans="1:15" s="3159" customFormat="1" ht="12" customHeight="1">
      <c r="A778" s="3435"/>
      <c r="B778" s="3435"/>
      <c r="C778" s="3336" t="s">
        <v>4877</v>
      </c>
      <c r="D778" s="3335">
        <v>32.92</v>
      </c>
      <c r="E778" s="3354">
        <v>13.88</v>
      </c>
      <c r="L778" s="3345"/>
      <c r="M778" s="3345"/>
      <c r="N778" s="3345"/>
      <c r="O778" s="3345"/>
    </row>
    <row r="779" spans="1:15" s="3159" customFormat="1" ht="12" customHeight="1">
      <c r="A779" s="3435"/>
      <c r="B779" s="3435"/>
      <c r="C779" s="3336" t="s">
        <v>4876</v>
      </c>
      <c r="D779" s="3335">
        <v>32.92</v>
      </c>
      <c r="E779" s="3354">
        <v>13.88</v>
      </c>
      <c r="L779" s="3345"/>
      <c r="M779" s="3345"/>
      <c r="N779" s="3345"/>
      <c r="O779" s="3345"/>
    </row>
    <row r="780" spans="1:15" s="3159" customFormat="1" ht="12" customHeight="1">
      <c r="A780" s="3435"/>
      <c r="B780" s="3435"/>
      <c r="C780" s="3336" t="s">
        <v>4875</v>
      </c>
      <c r="D780" s="3335">
        <v>32.92</v>
      </c>
      <c r="E780" s="3354">
        <v>13.88</v>
      </c>
      <c r="L780" s="3345"/>
      <c r="M780" s="3345"/>
      <c r="N780" s="3345"/>
      <c r="O780" s="3345"/>
    </row>
    <row r="781" spans="1:15" s="3159" customFormat="1" ht="12" customHeight="1">
      <c r="A781" s="3435"/>
      <c r="B781" s="3435"/>
      <c r="C781" s="3336" t="s">
        <v>4874</v>
      </c>
      <c r="D781" s="3335">
        <v>32.92</v>
      </c>
      <c r="E781" s="3354">
        <v>13.88</v>
      </c>
      <c r="L781" s="3345"/>
      <c r="M781" s="3345"/>
      <c r="N781" s="3345"/>
      <c r="O781" s="3345"/>
    </row>
    <row r="782" spans="1:15" s="3159" customFormat="1" ht="12" customHeight="1">
      <c r="A782" s="3435"/>
      <c r="B782" s="3435"/>
      <c r="C782" s="3336" t="s">
        <v>4873</v>
      </c>
      <c r="D782" s="3335">
        <v>32.92</v>
      </c>
      <c r="E782" s="3354">
        <v>13.88</v>
      </c>
      <c r="L782" s="3345"/>
      <c r="M782" s="3345"/>
      <c r="N782" s="3345"/>
      <c r="O782" s="3345"/>
    </row>
    <row r="783" spans="1:15" ht="14.1" customHeight="1">
      <c r="D783" s="3333">
        <f>SUM(D3:D782)</f>
        <v>54469.229999999741</v>
      </c>
      <c r="E783" s="3333">
        <f>SUM(E3:E782)</f>
        <v>22969.079999999885</v>
      </c>
    </row>
  </sheetData>
  <mergeCells count="105">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 ref="B329:B330"/>
    <mergeCell ref="B355:B356"/>
    <mergeCell ref="B357:B358"/>
    <mergeCell ref="B359:B360"/>
    <mergeCell ref="B361:B362"/>
    <mergeCell ref="B363:B364"/>
    <mergeCell ref="B365:B366"/>
    <mergeCell ref="B367:B368"/>
    <mergeCell ref="B369:B384"/>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s>
  <phoneticPr fontId="135"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3" sqref="K13"/>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50" t="str">
        <f>IF(B10="北京市","北京市",C10)&amp;F10&amp;IF(结果表!G1="在建","出让国有建设用地使用权及在建建筑物",IF(结果表!G1="土地","出让国有建设用地使用权",))&amp;B9&amp;"预评估"</f>
        <v>北京市房地产抵押价值预评估</v>
      </c>
      <c r="C1" s="3451"/>
      <c r="D1" s="3451"/>
      <c r="E1" s="3451"/>
      <c r="F1" s="3451"/>
      <c r="G1" s="3451"/>
      <c r="H1" s="3451"/>
      <c r="I1" s="3452"/>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53"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54"/>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60"/>
      <c r="C16" s="3461"/>
      <c r="D16" s="3462"/>
      <c r="E16" s="2214" t="s">
        <v>2193</v>
      </c>
      <c r="F16" s="3463"/>
      <c r="G16" s="3464"/>
      <c r="H16" s="3464"/>
      <c r="I16" s="3465"/>
      <c r="J16" s="2237"/>
      <c r="K16" s="2395"/>
      <c r="L16" s="1664"/>
      <c r="M16" s="1664"/>
      <c r="N16" s="2237"/>
      <c r="O16" s="1664"/>
      <c r="P16" s="2237"/>
      <c r="Q16" s="2237"/>
      <c r="R16" s="2237"/>
    </row>
    <row r="17" spans="1:28">
      <c r="A17" s="305" t="s">
        <v>2194</v>
      </c>
      <c r="B17" s="294" t="s">
        <v>2195</v>
      </c>
      <c r="C17" s="8">
        <f>'数据-汇总表'!E3</f>
        <v>37822.670000000035</v>
      </c>
      <c r="D17" s="1250" t="s">
        <v>2196</v>
      </c>
      <c r="E17" s="3466" t="s">
        <v>2197</v>
      </c>
      <c r="F17" s="3467"/>
      <c r="G17" s="3467"/>
      <c r="H17" s="3467"/>
      <c r="I17" s="3468"/>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69" t="s">
        <v>2201</v>
      </c>
      <c r="F18" s="3470"/>
      <c r="G18" s="3470"/>
      <c r="H18" s="3470"/>
      <c r="I18" s="3471"/>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56" t="s">
        <v>2205</v>
      </c>
      <c r="C20" s="3457"/>
      <c r="D20" s="3458" t="s">
        <v>2206</v>
      </c>
      <c r="E20" s="3459"/>
      <c r="F20" s="2422" t="s">
        <v>1056</v>
      </c>
      <c r="G20" s="2434"/>
      <c r="H20" s="2434"/>
      <c r="I20" s="2434"/>
      <c r="J20" s="2237"/>
      <c r="K20" s="3455"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55"/>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55"/>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44"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44"/>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44"/>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45"/>
      <c r="B30" s="294" t="s">
        <v>2217</v>
      </c>
      <c r="C30" s="3446"/>
      <c r="D30" s="3447"/>
      <c r="E30" s="2434"/>
      <c r="F30" s="2434"/>
      <c r="G30" s="2434"/>
      <c r="H30" s="2434"/>
      <c r="I30" s="2434"/>
      <c r="J30" s="2237"/>
      <c r="K30" s="2394"/>
      <c r="L30" s="2391"/>
      <c r="M30" s="2391"/>
      <c r="N30" s="2237"/>
      <c r="O30" s="1664"/>
      <c r="P30" s="2237"/>
      <c r="Q30" s="2237"/>
      <c r="R30" s="2237"/>
      <c r="S30" s="2237"/>
      <c r="T30" s="2237"/>
      <c r="U30" s="2237"/>
      <c r="V30" s="2237"/>
    </row>
    <row r="31" spans="1:28">
      <c r="A31" s="3448"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49"/>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49"/>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43" t="s">
        <v>2227</v>
      </c>
      <c r="T34" s="315" t="str">
        <f>NUMBERSTRING(7-K34,1)&amp;"通"</f>
        <v>七通</v>
      </c>
      <c r="U34" s="2237"/>
      <c r="V34" s="2237"/>
    </row>
    <row r="35" spans="1:30">
      <c r="A35" s="2228"/>
      <c r="B35" s="3443" t="s">
        <v>2228</v>
      </c>
      <c r="C35" s="3443"/>
      <c r="D35" s="3443"/>
      <c r="E35" s="3443"/>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3"/>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67" t="str">
        <f>项目基本情况!B1</f>
        <v>北京市房地产抵押价值预评估</v>
      </c>
      <c r="C37" s="3367"/>
      <c r="D37" s="3367"/>
      <c r="E37" s="3367"/>
      <c r="F37" s="3367"/>
      <c r="G37" s="3367"/>
      <c r="H37" s="3367"/>
      <c r="I37" s="3367"/>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项目基本情况!K4</f>
        <v>（注册号：0)、（注册号：0)</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3983</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3747"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2" t="s">
        <v>5275</v>
      </c>
      <c r="D13" s="1507" t="s">
        <v>3738</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2"/>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2"/>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2"/>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2"/>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2"/>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2"/>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2"/>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2"/>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2"/>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2"/>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2"/>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2"/>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2"/>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2"/>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2"/>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2"/>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14" sqref="E14"/>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81" t="s">
        <v>1130</v>
      </c>
      <c r="B2" s="3481"/>
      <c r="C2" s="3481"/>
      <c r="D2" s="743" t="s">
        <v>1106</v>
      </c>
      <c r="E2" s="1517" t="s">
        <v>1107</v>
      </c>
      <c r="F2" s="2431"/>
      <c r="G2" s="2424"/>
      <c r="H2" s="2425"/>
      <c r="I2" s="2138" t="s">
        <v>1131</v>
      </c>
      <c r="J2" s="2431"/>
      <c r="K2" s="2431"/>
      <c r="L2" s="2431"/>
      <c r="M2" s="2431"/>
      <c r="N2" s="2432"/>
      <c r="O2" s="2431"/>
      <c r="P2" s="2431"/>
    </row>
    <row r="3" spans="1:16" ht="15.75" thickBot="1">
      <c r="A3" s="3482" t="s">
        <v>1104</v>
      </c>
      <c r="B3" s="3482"/>
      <c r="C3" s="3482"/>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483"/>
      <c r="B4" s="3484"/>
      <c r="C4" s="3485"/>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486" t="s">
        <v>1109</v>
      </c>
      <c r="C5" s="3486"/>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486" t="s">
        <v>1110</v>
      </c>
      <c r="C6" s="3486"/>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78"/>
      <c r="B7" s="3479"/>
      <c r="C7" s="3480"/>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v>
      </c>
      <c r="E16" s="48">
        <f>SUM(E8:E15)</f>
        <v>37822.670000000042</v>
      </c>
      <c r="F16" s="2431"/>
      <c r="G16" s="2431"/>
      <c r="H16" s="1525" t="s">
        <v>1134</v>
      </c>
      <c r="I16" s="1526"/>
      <c r="J16" s="1066"/>
      <c r="K16" s="3475" t="s">
        <v>1134</v>
      </c>
      <c r="L16" s="3476"/>
      <c r="M16" s="3476"/>
      <c r="N16" s="3476"/>
      <c r="O16" s="3476"/>
      <c r="P16" s="3477"/>
    </row>
    <row r="17" spans="1:19" ht="15">
      <c r="A17" s="1527" t="s">
        <v>1135</v>
      </c>
      <c r="B17" s="1528" t="s">
        <v>1136</v>
      </c>
      <c r="C17" s="1529" t="s">
        <v>1137</v>
      </c>
      <c r="D17" s="1530" t="s">
        <v>1125</v>
      </c>
      <c r="E17" s="1531" t="s">
        <v>1126</v>
      </c>
      <c r="F17" s="1532"/>
      <c r="G17" s="1533"/>
      <c r="H17" s="1534" t="s">
        <v>1138</v>
      </c>
      <c r="I17" s="1535" t="s">
        <v>1123</v>
      </c>
      <c r="J17" s="1066"/>
      <c r="K17" s="3472" t="s">
        <v>1139</v>
      </c>
      <c r="L17" s="3473"/>
      <c r="M17" s="3474"/>
      <c r="N17" s="3472" t="s">
        <v>1140</v>
      </c>
      <c r="O17" s="3473"/>
      <c r="P17" s="3474"/>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4439</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4868</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5294</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4440</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748">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140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v>60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487" t="s">
        <v>2276</v>
      </c>
      <c r="B1" s="3488"/>
      <c r="C1" s="3488"/>
      <c r="D1" s="3488"/>
      <c r="E1" s="3488"/>
      <c r="F1" s="3488"/>
      <c r="G1" s="3488"/>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54555</v>
      </c>
      <c r="C5" s="2292">
        <f ca="1">IF(B5=D14,结果表!H102,ROUND(B5*10000/$B$1,0))</f>
        <v>14424</v>
      </c>
      <c r="D5" s="2292">
        <f ca="1">ROUND(B5*10000/$B$2,0)</f>
        <v>34218</v>
      </c>
      <c r="E5" s="2454"/>
      <c r="F5" s="2455"/>
      <c r="G5" s="2455"/>
      <c r="H5" s="2455"/>
      <c r="I5" s="2455"/>
      <c r="J5" s="2455"/>
      <c r="K5" s="2455"/>
    </row>
    <row r="6" spans="1:11" ht="16.5">
      <c r="A6" s="2292" t="s">
        <v>656</v>
      </c>
      <c r="B6" s="2292">
        <f ca="1">SUM(G14:G23)</f>
        <v>54555</v>
      </c>
      <c r="C6" s="2292">
        <f ca="1">IF(B6=G14,结果表!H108,ROUND(B6*10000/$B$1,0))</f>
        <v>14424</v>
      </c>
      <c r="D6" s="2292">
        <f ca="1">ROUND(B6*10000/$B$2,0)</f>
        <v>34218</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54555</v>
      </c>
      <c r="E14" s="2298">
        <f ca="1">ROUND(D14*10000/B14,0)</f>
        <v>14424</v>
      </c>
      <c r="F14" s="2298">
        <f ca="1">ROUND(D14*10000/C14,0)</f>
        <v>34218</v>
      </c>
      <c r="G14" s="2298">
        <f ca="1">D14</f>
        <v>54555</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7" sqref="K27"/>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23" t="str">
        <f>项目基本情况!S2</f>
        <v>北京市房地产</v>
      </c>
      <c r="B2" s="3524"/>
      <c r="C2" s="3524"/>
      <c r="D2" s="3524"/>
      <c r="E2" s="3524"/>
      <c r="F2" s="3524"/>
      <c r="G2" s="3524"/>
      <c r="H2" s="3524"/>
      <c r="I2" s="3525"/>
    </row>
    <row r="3" spans="1:12" ht="12.75">
      <c r="A3" s="3527" t="s">
        <v>1263</v>
      </c>
      <c r="B3" s="3528"/>
      <c r="C3" s="3528"/>
      <c r="D3" s="3528"/>
      <c r="E3" s="3528"/>
      <c r="F3" s="3528"/>
      <c r="G3" s="3528"/>
      <c r="H3" s="3528"/>
      <c r="I3" s="3528"/>
    </row>
    <row r="4" spans="1:12" ht="14.25">
      <c r="A4" s="1618" t="s">
        <v>1264</v>
      </c>
      <c r="B4" s="1619" t="s">
        <v>1265</v>
      </c>
      <c r="C4" s="1620" t="s">
        <v>4445</v>
      </c>
      <c r="D4" s="1620" t="s">
        <v>4446</v>
      </c>
      <c r="E4" s="3529" t="s">
        <v>1266</v>
      </c>
      <c r="F4" s="3530"/>
      <c r="G4" s="3530"/>
      <c r="H4" s="3530"/>
      <c r="I4" s="353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03" t="s">
        <v>1267</v>
      </c>
      <c r="B5" s="3490">
        <v>25</v>
      </c>
      <c r="C5" s="3506"/>
      <c r="D5" s="3526"/>
      <c r="E5" s="123" t="s">
        <v>1268</v>
      </c>
      <c r="F5" s="1621"/>
      <c r="G5" s="1621"/>
      <c r="H5" s="1621"/>
      <c r="I5" s="1275"/>
    </row>
    <row r="6" spans="1:12" ht="12.75">
      <c r="A6" s="3503"/>
      <c r="B6" s="3490"/>
      <c r="C6" s="3507"/>
      <c r="D6" s="3526"/>
      <c r="E6" s="123" t="s">
        <v>1269</v>
      </c>
      <c r="F6" s="1621"/>
      <c r="G6" s="1621"/>
      <c r="H6" s="1621"/>
      <c r="I6" s="1275"/>
    </row>
    <row r="7" spans="1:12" ht="12.75">
      <c r="A7" s="3503"/>
      <c r="B7" s="3490"/>
      <c r="C7" s="3508"/>
      <c r="D7" s="3526"/>
      <c r="E7" s="123" t="s">
        <v>1270</v>
      </c>
      <c r="F7" s="1621"/>
      <c r="G7" s="1621"/>
      <c r="H7" s="1621"/>
      <c r="I7" s="1275"/>
    </row>
    <row r="8" spans="1:12" ht="12.75">
      <c r="A8" s="3503" t="s">
        <v>1271</v>
      </c>
      <c r="B8" s="3490">
        <v>15</v>
      </c>
      <c r="C8" s="3506"/>
      <c r="D8" s="3526"/>
      <c r="E8" s="123" t="s">
        <v>1272</v>
      </c>
      <c r="F8" s="1621"/>
      <c r="G8" s="1621"/>
      <c r="H8" s="1621"/>
      <c r="I8" s="1275"/>
    </row>
    <row r="9" spans="1:12" ht="12.75">
      <c r="A9" s="3503"/>
      <c r="B9" s="3490"/>
      <c r="C9" s="3508"/>
      <c r="D9" s="3526"/>
      <c r="E9" s="123" t="s">
        <v>1273</v>
      </c>
      <c r="F9" s="1621"/>
      <c r="G9" s="1621"/>
      <c r="H9" s="1621"/>
      <c r="I9" s="1275"/>
    </row>
    <row r="10" spans="1:12" ht="12.75">
      <c r="A10" s="3503" t="s">
        <v>1274</v>
      </c>
      <c r="B10" s="3490">
        <v>15</v>
      </c>
      <c r="C10" s="3506"/>
      <c r="D10" s="3526"/>
      <c r="E10" s="123" t="s">
        <v>1275</v>
      </c>
      <c r="F10" s="1621"/>
      <c r="G10" s="1621"/>
      <c r="H10" s="1621"/>
      <c r="I10" s="1275"/>
    </row>
    <row r="11" spans="1:12" ht="12.75">
      <c r="A11" s="3503"/>
      <c r="B11" s="3490"/>
      <c r="C11" s="3508"/>
      <c r="D11" s="3526"/>
      <c r="E11" s="123" t="s">
        <v>1276</v>
      </c>
      <c r="F11" s="1621"/>
      <c r="G11" s="1621"/>
      <c r="H11" s="1621"/>
      <c r="I11" s="1275"/>
    </row>
    <row r="12" spans="1:12" ht="12.75">
      <c r="A12" s="3503" t="s">
        <v>1277</v>
      </c>
      <c r="B12" s="3490">
        <v>15</v>
      </c>
      <c r="C12" s="3506"/>
      <c r="D12" s="3526"/>
      <c r="E12" s="123" t="s">
        <v>1278</v>
      </c>
      <c r="F12" s="1621"/>
      <c r="G12" s="1621"/>
      <c r="H12" s="1621"/>
      <c r="I12" s="1275"/>
    </row>
    <row r="13" spans="1:12" ht="12.75">
      <c r="A13" s="3503"/>
      <c r="B13" s="3490"/>
      <c r="C13" s="3508"/>
      <c r="D13" s="3526"/>
      <c r="E13" s="123" t="s">
        <v>1279</v>
      </c>
      <c r="F13" s="1621"/>
      <c r="G13" s="1621"/>
      <c r="H13" s="1621"/>
      <c r="I13" s="1275"/>
    </row>
    <row r="14" spans="1:12" ht="12.75">
      <c r="A14" s="3503" t="s">
        <v>1280</v>
      </c>
      <c r="B14" s="3490">
        <v>30</v>
      </c>
      <c r="C14" s="3506">
        <v>5</v>
      </c>
      <c r="D14" s="3526">
        <v>5</v>
      </c>
      <c r="E14" s="123" t="s">
        <v>1281</v>
      </c>
      <c r="F14" s="1621"/>
      <c r="G14" s="1621"/>
      <c r="H14" s="1621"/>
      <c r="I14" s="1275"/>
    </row>
    <row r="15" spans="1:12" ht="12.75">
      <c r="A15" s="3503"/>
      <c r="B15" s="3490"/>
      <c r="C15" s="3507"/>
      <c r="D15" s="3526"/>
      <c r="E15" s="123" t="s">
        <v>1282</v>
      </c>
      <c r="F15" s="1621"/>
      <c r="G15" s="1621"/>
      <c r="H15" s="1621"/>
      <c r="I15" s="1275"/>
    </row>
    <row r="16" spans="1:12" ht="12.75">
      <c r="A16" s="3503"/>
      <c r="B16" s="3490"/>
      <c r="C16" s="3508"/>
      <c r="D16" s="3526"/>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13" t="s">
        <v>2130</v>
      </c>
      <c r="F18" s="3514"/>
      <c r="G18" s="3514"/>
      <c r="H18" s="3514"/>
      <c r="I18" s="3514"/>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54232</v>
      </c>
      <c r="D19" s="127">
        <f ca="1">SUMIF(INDIRECT("'"&amp;D4&amp;"'"&amp;"!A:A"),结果表!B19,INDIRECT("'"&amp;D4&amp;"'"&amp;"!B:B"))</f>
        <v>54878</v>
      </c>
      <c r="E19" s="1624" t="s">
        <v>1291</v>
      </c>
      <c r="F19" s="1625" t="s">
        <v>1290</v>
      </c>
      <c r="G19" s="128">
        <f ca="1">ROUND(C19*$C$18+D19*$D$18,0)</f>
        <v>54555</v>
      </c>
      <c r="H19" s="1626" t="s">
        <v>1292</v>
      </c>
      <c r="I19" s="121"/>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14338</v>
      </c>
      <c r="D20" s="130">
        <f ca="1">SUMIF(INDIRECT("'"&amp;D4&amp;"'"&amp;"!A:A"),结果表!B20,INDIRECT("'"&amp;D4&amp;"'"&amp;"!B:B"))</f>
        <v>14509</v>
      </c>
      <c r="E20" s="1627"/>
      <c r="F20" s="43" t="s">
        <v>1294</v>
      </c>
      <c r="G20" s="131">
        <f ca="1">ROUND(C20*$C$18+D20*$D$18,0)</f>
        <v>14424</v>
      </c>
      <c r="H20" s="755" t="s">
        <v>1295</v>
      </c>
      <c r="I20" s="121"/>
    </row>
    <row r="21" spans="1:36" ht="15" customHeight="1" thickBot="1">
      <c r="A21" s="447"/>
      <c r="B21" s="93" t="s">
        <v>1296</v>
      </c>
      <c r="C21" s="673">
        <f ca="1">ROUND(C19*10000/L19,0)</f>
        <v>34016</v>
      </c>
      <c r="D21" s="674">
        <f ca="1">ROUND(D19*10000/L19,0)</f>
        <v>34421</v>
      </c>
      <c r="E21" s="447"/>
      <c r="F21" s="93" t="s">
        <v>1296</v>
      </c>
      <c r="G21" s="132">
        <f ca="1">ROUND(G19*10000/L19,0)</f>
        <v>34218</v>
      </c>
      <c r="H21" s="1628" t="s">
        <v>1295</v>
      </c>
      <c r="I21" s="121"/>
    </row>
    <row r="22" spans="1:36" ht="15" thickBot="1">
      <c r="A22" s="1558" t="s">
        <v>1297</v>
      </c>
      <c r="B22" s="1629"/>
      <c r="C22" s="1630"/>
      <c r="D22" s="675">
        <f ca="1">IF(C19&lt;D19,D19/C19-1,C19/D19-1)</f>
        <v>1.1911786399174007E-2</v>
      </c>
      <c r="E22" s="121"/>
      <c r="F22" s="121"/>
      <c r="G22" s="121"/>
      <c r="H22" s="121"/>
      <c r="I22" s="121"/>
    </row>
    <row r="23" spans="1:36" ht="13.5" thickBot="1">
      <c r="A23" s="641"/>
      <c r="B23" s="641"/>
      <c r="C23" s="641"/>
      <c r="D23" s="641"/>
      <c r="E23" s="121"/>
      <c r="F23" s="121"/>
      <c r="G23" s="121"/>
      <c r="H23" s="121"/>
      <c r="I23" s="121"/>
    </row>
    <row r="24" spans="1:36" ht="14.25">
      <c r="A24" s="3497" t="s">
        <v>1298</v>
      </c>
      <c r="B24" s="1625" t="s">
        <v>1290</v>
      </c>
      <c r="C24" s="128">
        <f>IF(B30=0,0,D30)</f>
        <v>0</v>
      </c>
      <c r="D24" s="1631"/>
      <c r="E24" s="121"/>
      <c r="F24" s="121"/>
      <c r="G24" s="121"/>
      <c r="H24" s="121"/>
      <c r="I24" s="121"/>
    </row>
    <row r="25" spans="1:36" ht="14.25">
      <c r="A25" s="3498"/>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54555</v>
      </c>
      <c r="D32" s="1635" t="s">
        <v>4450</v>
      </c>
      <c r="E32" s="121"/>
      <c r="F32" s="121"/>
      <c r="G32" s="121"/>
      <c r="H32" s="121"/>
      <c r="I32" s="121"/>
    </row>
    <row r="33" spans="1:15" ht="15">
      <c r="A33" s="735" t="s">
        <v>1305</v>
      </c>
      <c r="B33" s="123"/>
      <c r="C33" s="1636" t="s">
        <v>4451</v>
      </c>
      <c r="D33" s="1637" t="s">
        <v>4445</v>
      </c>
      <c r="E33" s="1638" t="s">
        <v>1306</v>
      </c>
      <c r="F33" s="1639" t="str">
        <f>IF(D32="楼面单价","取值（单价）","取值（总价）")</f>
        <v>取值（总价）</v>
      </c>
      <c r="G33" s="121"/>
      <c r="H33" s="121"/>
      <c r="I33" s="121"/>
    </row>
    <row r="34" spans="1:15" ht="15">
      <c r="A34" s="1640"/>
      <c r="B34" s="1641" t="s">
        <v>1307</v>
      </c>
      <c r="C34" s="140">
        <f ca="1">IF(C33="自定义",F34,C32-C35)</f>
        <v>34697</v>
      </c>
      <c r="D34" s="803">
        <f ca="1">IF(C33="自定义",ROUND(C34/C32,3),IF(C33="收益比率",SUMIF(INDIRECT("'"&amp;D33&amp;"'"&amp;"!b:b"),"土地收益比率",INDIRECT("'"&amp;D33&amp;"'"&amp;"!c:c")),SUMIF(INDIRECT("'"&amp;D33&amp;"'"&amp;"!b:b"),"土地成本比率",INDIRECT("'"&amp;D33&amp;"'"&amp;"!c:c"))))</f>
        <v>0.63600000000000001</v>
      </c>
      <c r="E34" s="1642" t="s">
        <v>1308</v>
      </c>
      <c r="F34" s="1237"/>
      <c r="G34" s="121"/>
      <c r="H34" s="121"/>
      <c r="I34" s="121"/>
    </row>
    <row r="35" spans="1:15" ht="15.75" thickBot="1">
      <c r="A35" s="1643"/>
      <c r="B35" s="1644" t="s">
        <v>1309</v>
      </c>
      <c r="C35" s="1085">
        <f ca="1">IF(C33="自定义",F35,ROUND(C32*D35,0))</f>
        <v>19858</v>
      </c>
      <c r="D35" s="1086">
        <f ca="1">IF(C33="自定义",ROUND(C35/C32,3),IF(C33="收益比率",SUMIF(INDIRECT("'"&amp;D33&amp;"'"&amp;"!b:b"),"建筑物收益比率",INDIRECT("'"&amp;D33&amp;"'"&amp;"!c:c")),SUMIF(INDIRECT("'"&amp;D33&amp;"'"&amp;"!b:b"),"建筑物成本比率",INDIRECT("'"&amp;D33&amp;"'"&amp;"!c:c"))))</f>
        <v>0.36399999999999999</v>
      </c>
      <c r="E35" s="1645" t="s">
        <v>1310</v>
      </c>
      <c r="F35" s="146"/>
      <c r="G35" s="121"/>
      <c r="H35" s="121"/>
      <c r="I35" s="121"/>
    </row>
    <row r="36" spans="1:15" ht="15.75" thickBot="1">
      <c r="A36" s="3517" t="s">
        <v>1311</v>
      </c>
      <c r="B36" s="1646" t="s">
        <v>1312</v>
      </c>
      <c r="C36" s="137"/>
      <c r="D36" s="1647"/>
      <c r="E36" s="1561"/>
      <c r="F36" s="1648"/>
      <c r="G36" s="121"/>
      <c r="H36" s="121"/>
      <c r="I36" s="121"/>
    </row>
    <row r="37" spans="1:15" ht="15.75" thickBot="1">
      <c r="A37" s="3518"/>
      <c r="B37" s="1549" t="s">
        <v>1313</v>
      </c>
      <c r="C37" s="139"/>
      <c r="D37" s="1066"/>
      <c r="E37" s="1066"/>
      <c r="F37" s="1648"/>
      <c r="G37" s="121"/>
      <c r="H37" s="121"/>
      <c r="I37" s="121"/>
    </row>
    <row r="38" spans="1:15" ht="15.75" thickBot="1">
      <c r="A38" s="3519"/>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494" t="s">
        <v>1325</v>
      </c>
      <c r="B45" s="3495"/>
      <c r="C45" s="3496"/>
      <c r="D45" s="147">
        <f ca="1">ROUND(H101*F45,0)</f>
        <v>54555</v>
      </c>
      <c r="E45" s="148" t="s">
        <v>1326</v>
      </c>
      <c r="F45" s="149">
        <v>1</v>
      </c>
      <c r="G45" s="150" t="s">
        <v>1327</v>
      </c>
      <c r="H45" s="121"/>
      <c r="I45" s="121"/>
      <c r="J45" s="3572" t="s">
        <v>1328</v>
      </c>
      <c r="K45" s="3572"/>
      <c r="L45" s="3572"/>
      <c r="M45" s="3572"/>
      <c r="N45" s="3572"/>
      <c r="O45" s="3572"/>
    </row>
    <row r="46" spans="1:15" ht="14.25" customHeight="1">
      <c r="A46" s="3491" t="s">
        <v>1329</v>
      </c>
      <c r="B46" s="3492"/>
      <c r="C46" s="3492"/>
      <c r="D46" s="3492"/>
      <c r="E46" s="3492"/>
      <c r="F46" s="3492"/>
      <c r="G46" s="3493"/>
      <c r="H46" s="1662"/>
      <c r="I46" s="151"/>
      <c r="J46" s="2302">
        <v>1</v>
      </c>
      <c r="K46" s="3553" t="s">
        <v>1330</v>
      </c>
      <c r="L46" s="3553"/>
      <c r="M46" s="3573"/>
      <c r="N46" s="3573"/>
      <c r="O46" s="3573"/>
    </row>
    <row r="47" spans="1:15" ht="12" customHeight="1">
      <c r="A47" s="152" t="s">
        <v>1331</v>
      </c>
      <c r="B47" s="153"/>
      <c r="C47" s="154"/>
      <c r="D47" s="1019" t="s">
        <v>1332</v>
      </c>
      <c r="E47" s="294" t="s">
        <v>1333</v>
      </c>
      <c r="F47" s="155" t="s">
        <v>1334</v>
      </c>
      <c r="G47" s="2325" t="s">
        <v>1335</v>
      </c>
      <c r="H47" s="2326"/>
      <c r="I47" s="151"/>
      <c r="J47" s="2302">
        <v>2</v>
      </c>
      <c r="K47" s="3553" t="s">
        <v>1336</v>
      </c>
      <c r="L47" s="3553"/>
      <c r="M47" s="3574">
        <f>'数据-取费表'!B2</f>
        <v>45820</v>
      </c>
      <c r="N47" s="3574"/>
      <c r="O47" s="3574"/>
    </row>
    <row r="48" spans="1:15" ht="25.5">
      <c r="A48" s="3522" t="s">
        <v>1337</v>
      </c>
      <c r="B48" s="3505"/>
      <c r="C48" s="3505"/>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553" t="s">
        <v>1339</v>
      </c>
      <c r="L48" s="3553"/>
      <c r="M48" s="3575">
        <f ca="1">H101</f>
        <v>54555</v>
      </c>
      <c r="N48" s="3575"/>
      <c r="O48" s="3575"/>
    </row>
    <row r="49" spans="1:35" ht="25.5" customHeight="1">
      <c r="A49" s="2144" t="s">
        <v>1340</v>
      </c>
      <c r="B49" s="3489" t="s">
        <v>1341</v>
      </c>
      <c r="C49" s="3489"/>
      <c r="D49" s="1472">
        <v>0</v>
      </c>
      <c r="E49" s="316" t="s">
        <v>1342</v>
      </c>
      <c r="F49" s="2225" t="s">
        <v>28</v>
      </c>
      <c r="G49" s="3559"/>
      <c r="H49" s="2126" t="s">
        <v>2133</v>
      </c>
      <c r="I49" s="2127"/>
      <c r="J49" s="2302">
        <v>4</v>
      </c>
      <c r="K49" s="3553" t="str">
        <f>IF(项目基本情况!E8="房地产抵押价值","房地产抵押价值","抵押担保权已注销时的房地产抵押价值")</f>
        <v>房地产抵押价值</v>
      </c>
      <c r="L49" s="3553"/>
      <c r="M49" s="3575">
        <f ca="1">IF(项目基本情况!E8="房地产抵押价值",H107,H109)</f>
        <v>54555</v>
      </c>
      <c r="N49" s="3575"/>
      <c r="O49" s="3575"/>
    </row>
    <row r="50" spans="1:35" ht="25.5" customHeight="1">
      <c r="A50" s="2330"/>
      <c r="B50" s="3489" t="s">
        <v>1343</v>
      </c>
      <c r="C50" s="3489"/>
      <c r="D50" s="2181"/>
      <c r="E50" s="323"/>
      <c r="F50" s="2225"/>
      <c r="G50" s="3560"/>
      <c r="H50" s="2128" t="s">
        <v>2134</v>
      </c>
      <c r="I50" s="2127"/>
      <c r="J50" s="3572" t="s">
        <v>1344</v>
      </c>
      <c r="K50" s="3572"/>
      <c r="L50" s="3572"/>
      <c r="M50" s="3572"/>
      <c r="N50" s="3572"/>
      <c r="O50" s="3572"/>
    </row>
    <row r="51" spans="1:35" ht="20.45" customHeight="1">
      <c r="A51" s="2331"/>
      <c r="B51" s="3489" t="s">
        <v>1345</v>
      </c>
      <c r="C51" s="3489"/>
      <c r="D51" s="1019"/>
      <c r="E51" s="319"/>
      <c r="F51" s="2225"/>
      <c r="G51" s="3561"/>
      <c r="H51" s="2128" t="s">
        <v>2135</v>
      </c>
      <c r="I51" s="2127"/>
      <c r="J51" s="2303" t="s">
        <v>1346</v>
      </c>
      <c r="K51" s="3553" t="s">
        <v>1347</v>
      </c>
      <c r="L51" s="3553"/>
      <c r="M51" s="2303" t="s">
        <v>1348</v>
      </c>
      <c r="N51" s="2303" t="s">
        <v>1349</v>
      </c>
      <c r="O51" s="2303" t="s">
        <v>1350</v>
      </c>
    </row>
    <row r="52" spans="1:35" ht="24" customHeight="1">
      <c r="A52" s="2145" t="s">
        <v>1351</v>
      </c>
      <c r="B52" s="3489" t="s">
        <v>1352</v>
      </c>
      <c r="C52" s="3489"/>
      <c r="D52" s="1019">
        <f ca="1">ROUND(D45*'数据-取费表'!B41/(1+'数据-取费表'!C42),0)</f>
        <v>2858</v>
      </c>
      <c r="E52" s="1250" t="s">
        <v>1353</v>
      </c>
      <c r="F52" s="2332">
        <f>'数据-取费表'!B41</f>
        <v>5.5000000000000007E-2</v>
      </c>
      <c r="G52" s="2333"/>
      <c r="H52" s="2323"/>
      <c r="I52" s="1663"/>
      <c r="J52" s="2302">
        <v>1</v>
      </c>
      <c r="K52" s="3554" t="s">
        <v>1354</v>
      </c>
      <c r="L52" s="3554"/>
      <c r="M52" s="2304" t="b">
        <f>D48</f>
        <v>0</v>
      </c>
      <c r="N52" s="2302" t="str">
        <f>E48</f>
        <v>销售额×税（费）率</v>
      </c>
      <c r="O52" s="2305">
        <f>F48</f>
        <v>5.5000000000000007E-2</v>
      </c>
    </row>
    <row r="53" spans="1:35" ht="12" customHeight="1">
      <c r="A53" s="2145" t="s">
        <v>1355</v>
      </c>
      <c r="B53" s="3515" t="s">
        <v>2281</v>
      </c>
      <c r="C53" s="3516"/>
      <c r="D53" s="1019">
        <f ca="1">ROUND(D45*'数据-取费表'!B41/(1+'数据-取费表'!C42),0)</f>
        <v>2858</v>
      </c>
      <c r="E53" s="1250" t="s">
        <v>1353</v>
      </c>
      <c r="F53" s="2332">
        <f>'数据-取费表'!B41</f>
        <v>5.5000000000000007E-2</v>
      </c>
      <c r="G53" s="2333"/>
      <c r="H53" s="2323"/>
      <c r="I53" s="1663"/>
      <c r="J53" s="2302">
        <v>2</v>
      </c>
      <c r="K53" s="3554" t="s">
        <v>1356</v>
      </c>
      <c r="L53" s="3554"/>
      <c r="M53" s="2304">
        <f t="shared" ref="M53:O54" ca="1" si="0">D55</f>
        <v>27</v>
      </c>
      <c r="N53" s="2302" t="str">
        <f t="shared" si="0"/>
        <v>销售额×税（费）率</v>
      </c>
      <c r="O53" s="2305" t="str">
        <f t="shared" si="0"/>
        <v>免征</v>
      </c>
    </row>
    <row r="54" spans="1:35" ht="12" customHeight="1">
      <c r="A54" s="2145" t="s">
        <v>1357</v>
      </c>
      <c r="B54" s="3515" t="s">
        <v>2282</v>
      </c>
      <c r="C54" s="3516"/>
      <c r="D54" s="1019">
        <f ca="1">C68</f>
        <v>2858</v>
      </c>
      <c r="E54" s="319" t="s">
        <v>1358</v>
      </c>
      <c r="F54" s="2332">
        <f>'数据-取费表'!B41</f>
        <v>5.5000000000000007E-2</v>
      </c>
      <c r="G54" s="2333"/>
      <c r="H54" s="2334"/>
      <c r="I54" s="1663"/>
      <c r="J54" s="2302">
        <v>3</v>
      </c>
      <c r="K54" s="3554" t="s">
        <v>1359</v>
      </c>
      <c r="L54" s="3554"/>
      <c r="M54" s="2304">
        <f t="shared" ca="1" si="0"/>
        <v>30927</v>
      </c>
      <c r="N54" s="2302" t="str">
        <f t="shared" si="0"/>
        <v>增值额×税（费）率</v>
      </c>
      <c r="O54" s="2306" t="str">
        <f t="shared" si="0"/>
        <v>免征</v>
      </c>
    </row>
    <row r="55" spans="1:35" ht="24" customHeight="1">
      <c r="A55" s="3504" t="s">
        <v>1360</v>
      </c>
      <c r="B55" s="3505"/>
      <c r="C55" s="3505"/>
      <c r="D55" s="12">
        <f ca="1">IF(H55="个人住宅",0,ROUND(D45*I55,0))</f>
        <v>27</v>
      </c>
      <c r="E55" s="1250" t="s">
        <v>1361</v>
      </c>
      <c r="F55" s="2332" t="str">
        <f>IF(H55="正常",I55,"免征")</f>
        <v>免征</v>
      </c>
      <c r="G55" s="2333"/>
      <c r="H55" s="2329"/>
      <c r="I55" s="157">
        <f>'数据-取费表'!B49</f>
        <v>5.0000000000000001E-4</v>
      </c>
      <c r="J55" s="2302">
        <f>IF(H59="非个人房产","",4)</f>
        <v>4</v>
      </c>
      <c r="K55" s="3554" t="str">
        <f>IF(H59="非个人房产","——","个人所得税")</f>
        <v>个人所得税</v>
      </c>
      <c r="L55" s="3554"/>
      <c r="M55" s="2307">
        <f ca="1">D59</f>
        <v>520</v>
      </c>
      <c r="N55" s="1875" t="str">
        <f>E59</f>
        <v>差额计税</v>
      </c>
      <c r="O55" s="2308">
        <f>F59</f>
        <v>0.01</v>
      </c>
    </row>
    <row r="56" spans="1:35" ht="24.75">
      <c r="A56" s="3504" t="s">
        <v>1362</v>
      </c>
      <c r="B56" s="3505"/>
      <c r="C56" s="3505"/>
      <c r="D56" s="12">
        <f ca="1">IF(H56="个人住宅",D57,D58)</f>
        <v>30927</v>
      </c>
      <c r="E56" s="1250" t="s">
        <v>1363</v>
      </c>
      <c r="F56" s="2332" t="str">
        <f>IF(H56="正常",F58,"免征")</f>
        <v>免征</v>
      </c>
      <c r="G56" s="2335" t="s">
        <v>1364</v>
      </c>
      <c r="H56" s="2336"/>
      <c r="I56" s="1664"/>
      <c r="J56" s="2302" t="str">
        <f>IF(项目基本情况!K6="上海银行",IF(J55="",4,J55+1),"")</f>
        <v/>
      </c>
      <c r="K56" s="3577" t="str">
        <f>IF(项目基本情况!K6="上海银行","其他处置费用","")</f>
        <v/>
      </c>
      <c r="L56" s="3578"/>
      <c r="M56" s="2304" t="str">
        <f>IF(项目基本情况!K6="上海银行",M69,"")</f>
        <v/>
      </c>
      <c r="N56" s="3577" t="str">
        <f>IF(项目基本情况!K6="上海银行","包含处置中涉及的律师、诉讼、拍卖、评估等费用","")</f>
        <v/>
      </c>
      <c r="O56" s="3580"/>
    </row>
    <row r="57" spans="1:35" ht="12.75">
      <c r="A57" s="2145" t="s">
        <v>1340</v>
      </c>
      <c r="B57" s="3515" t="s">
        <v>1365</v>
      </c>
      <c r="C57" s="3516"/>
      <c r="D57" s="1472">
        <v>0</v>
      </c>
      <c r="E57" s="316" t="s">
        <v>1342</v>
      </c>
      <c r="F57" s="294"/>
      <c r="G57" s="2333"/>
      <c r="H57" s="2337"/>
      <c r="I57" s="1664"/>
      <c r="J57" s="3554">
        <f>IF(AND(J55="",J56=""),4,IF(项目基本情况!K6="上海银行",结果表!J56+1,结果表!J55+1))</f>
        <v>5</v>
      </c>
      <c r="K57" s="3554" t="s">
        <v>1366</v>
      </c>
      <c r="L57" s="2309" t="s">
        <v>1367</v>
      </c>
      <c r="M57" s="2310"/>
      <c r="N57" s="2311">
        <f ca="1">SUMIF(M52:M56,"&lt;9e307")</f>
        <v>31474</v>
      </c>
      <c r="O57" s="2312"/>
      <c r="P57" s="2457">
        <f ca="1">N57/M49</f>
        <v>0.57692237191824769</v>
      </c>
    </row>
    <row r="58" spans="1:35" ht="24.75">
      <c r="A58" s="2145" t="s">
        <v>1351</v>
      </c>
      <c r="B58" s="3515" t="s">
        <v>1368</v>
      </c>
      <c r="C58" s="3489"/>
      <c r="D58" s="12">
        <f ca="1">IF(H58="转让取得",C81,C97)</f>
        <v>30927</v>
      </c>
      <c r="E58" s="1250" t="s">
        <v>1363</v>
      </c>
      <c r="F58" s="294" t="s">
        <v>28</v>
      </c>
      <c r="G58" s="2333"/>
      <c r="H58" s="2336"/>
      <c r="I58" s="1664"/>
      <c r="J58" s="3554"/>
      <c r="K58" s="3554"/>
      <c r="L58" s="2309" t="s">
        <v>1369</v>
      </c>
      <c r="M58" s="2313"/>
      <c r="N58" s="2314" t="str">
        <f ca="1">NUMBERSTRING(INT(N57*10000),2)&amp;"元整"</f>
        <v>叁亿壹仟肆佰柒拾肆万元整</v>
      </c>
      <c r="O58" s="2315"/>
    </row>
    <row r="59" spans="1:35" ht="24.75" thickBot="1">
      <c r="A59" s="3557" t="s">
        <v>1370</v>
      </c>
      <c r="B59" s="3558"/>
      <c r="C59" s="3558"/>
      <c r="D59" s="2338">
        <f ca="1">IF(H59="非个人房产","——",IF(H59="个人住宅（满五唯一有凭证）",0,IF(H59="个人其他（无凭证）",ROUND(D45*F59,0),ROUND(C67*F59,0))))</f>
        <v>520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55">
        <f>J57+1</f>
        <v>6</v>
      </c>
      <c r="K59" s="3554" t="s">
        <v>1371</v>
      </c>
      <c r="L59" s="2302" t="s">
        <v>1367</v>
      </c>
      <c r="M59" s="2316"/>
      <c r="N59" s="2317">
        <f ca="1">M49-N57</f>
        <v>23081</v>
      </c>
      <c r="O59" s="2318"/>
    </row>
    <row r="60" spans="1:35" ht="12" customHeight="1">
      <c r="A60" s="1665"/>
      <c r="B60" s="641"/>
      <c r="C60" s="641"/>
      <c r="D60" s="641"/>
      <c r="E60" s="1460"/>
      <c r="F60" s="1664"/>
      <c r="G60" s="1664"/>
      <c r="H60" s="151"/>
      <c r="I60" s="121"/>
      <c r="J60" s="3556"/>
      <c r="K60" s="3554"/>
      <c r="L60" s="2309" t="s">
        <v>1369</v>
      </c>
      <c r="M60" s="2313"/>
      <c r="N60" s="2314" t="str">
        <f ca="1">NUMBERSTRING(INT(N59*10000),2)&amp;"元整"</f>
        <v>贰亿叁仟零捌拾壹万元整</v>
      </c>
      <c r="O60" s="2315"/>
    </row>
    <row r="61" spans="1:35" ht="13.5" thickBot="1">
      <c r="A61" s="3502" t="s">
        <v>1372</v>
      </c>
      <c r="B61" s="3502"/>
      <c r="C61" s="3502"/>
      <c r="D61" s="3502"/>
      <c r="E61" s="3502"/>
      <c r="F61" s="1664"/>
      <c r="G61" s="1664"/>
      <c r="H61" s="151"/>
      <c r="I61" s="121"/>
      <c r="J61" s="2302">
        <f>J59+1</f>
        <v>7</v>
      </c>
      <c r="K61" s="3554" t="s">
        <v>1373</v>
      </c>
      <c r="L61" s="3554"/>
      <c r="M61" s="2319"/>
      <c r="N61" s="2320">
        <f ca="1">ROUND(N59*10000/'数据-汇总表'!E3,0)</f>
        <v>6102</v>
      </c>
      <c r="O61" s="2321"/>
    </row>
    <row r="62" spans="1:35" ht="12.75">
      <c r="A62" s="3520" t="s">
        <v>1374</v>
      </c>
      <c r="B62" s="3521"/>
      <c r="C62" s="1857"/>
      <c r="D62" s="1857" t="s">
        <v>1375</v>
      </c>
      <c r="E62" s="158" t="s">
        <v>1376</v>
      </c>
      <c r="F62" s="1664"/>
      <c r="G62" s="1664"/>
      <c r="H62" s="151"/>
      <c r="I62" s="121"/>
    </row>
    <row r="63" spans="1:35" ht="12.75">
      <c r="A63" s="165" t="s">
        <v>330</v>
      </c>
      <c r="B63" s="159" t="s">
        <v>1377</v>
      </c>
      <c r="C63" s="2342">
        <f ca="1">ROUND((C64+C65)/(1+'数据-取费表'!C42),0)</f>
        <v>51957</v>
      </c>
      <c r="D63" s="159"/>
      <c r="E63" s="160"/>
      <c r="F63" s="1664"/>
      <c r="G63" s="1664"/>
      <c r="H63" s="151"/>
      <c r="I63" s="121"/>
      <c r="J63" s="3579" t="s">
        <v>1378</v>
      </c>
      <c r="K63" s="1239" t="s">
        <v>1379</v>
      </c>
      <c r="L63" s="1239">
        <f ca="1">IF(M49&gt;10000,M49*0.5%,IF(AND(M49&gt;1000,M49&lt;=10000),M49*1%,IF(AND(M49&gt;100,M49&lt;=1000),M49*3%,IF(AND(M49&gt;10,M49&lt;=100),M49*5%,M49*8%))))</f>
        <v>272.77499999999998</v>
      </c>
      <c r="M63" s="294">
        <f ca="1">ROUND(L63,1)</f>
        <v>272.8</v>
      </c>
      <c r="N63" s="2322"/>
      <c r="Z63" s="1617"/>
      <c r="AI63" s="1555"/>
    </row>
    <row r="64" spans="1:35" ht="14.25" customHeight="1">
      <c r="A64" s="161" t="s">
        <v>325</v>
      </c>
      <c r="B64" s="162" t="s">
        <v>1380</v>
      </c>
      <c r="C64" s="2343">
        <f ca="1">D45</f>
        <v>54555</v>
      </c>
      <c r="D64" s="162" t="s">
        <v>26</v>
      </c>
      <c r="E64" s="164"/>
      <c r="F64" s="1664"/>
      <c r="G64" s="1664"/>
      <c r="H64" s="151"/>
      <c r="I64" s="121"/>
      <c r="J64" s="3579"/>
      <c r="K64" s="1239" t="s">
        <v>1381</v>
      </c>
      <c r="L64" s="1239">
        <f ca="1">IF(M49&gt;2000,M49*0.5%,IF(AND(M49&gt;1000,M49&lt;=2000),M49*0.6%,IF(AND(M49&gt;500,M49&lt;=1000),M49*0.7%,IF(AND(M49&gt;200,M49&lt;=500),M49*0.8%,IF(AND(M49&gt;100,M49&lt;=200),M49*0.9%,IF(AND(M49&gt;50,M49&lt;=100),M49*1%,IF(AND(M49&gt;20,M49&lt;=50),M49*1.5%,IF(AND(M49&gt;10,M49&lt;=20),M49*2%,IF(AND(M49&gt;1,M49&lt;=10),M49*2.5%)))))))))</f>
        <v>272.77499999999998</v>
      </c>
      <c r="M64" s="294">
        <f t="shared" ref="M64:M65" ca="1" si="1">ROUND(L64,1)</f>
        <v>272.8</v>
      </c>
      <c r="N64" s="2323" t="s">
        <v>1382</v>
      </c>
      <c r="Z64" s="1617"/>
      <c r="AI64" s="1555"/>
    </row>
    <row r="65" spans="1:35" ht="14.25" customHeight="1">
      <c r="A65" s="161" t="s">
        <v>326</v>
      </c>
      <c r="B65" s="162" t="s">
        <v>1383</v>
      </c>
      <c r="C65" s="2344"/>
      <c r="D65" s="162"/>
      <c r="E65" s="164"/>
      <c r="F65" s="1664"/>
      <c r="G65" s="1664"/>
      <c r="H65" s="151"/>
      <c r="I65" s="121"/>
      <c r="J65" s="3579"/>
      <c r="K65" s="1239" t="s">
        <v>1384</v>
      </c>
      <c r="L65" s="1239">
        <f ca="1">IF(M49&gt;1000,M49*0.1%,IF(AND(M49&gt;500,M49&lt;=1000),M49*0.5%,IF(AND(M49&gt;50,M49&lt;=500),M49*1%,IF(AND(M49&gt;1,M49&lt;=50),M49*1.5%))))</f>
        <v>54.555</v>
      </c>
      <c r="M65" s="294">
        <f t="shared" ca="1" si="1"/>
        <v>54.6</v>
      </c>
      <c r="N65" s="2323" t="s">
        <v>1382</v>
      </c>
      <c r="Z65" s="1617"/>
      <c r="AI65" s="1555"/>
    </row>
    <row r="66" spans="1:35" ht="14.25" customHeight="1">
      <c r="A66" s="165" t="s">
        <v>327</v>
      </c>
      <c r="B66" s="166" t="s">
        <v>1385</v>
      </c>
      <c r="C66" s="2345"/>
      <c r="D66" s="166" t="s">
        <v>26</v>
      </c>
      <c r="E66" s="1245" t="s">
        <v>671</v>
      </c>
      <c r="F66" s="1664"/>
      <c r="G66" s="1664"/>
      <c r="H66" s="151"/>
      <c r="I66" s="121"/>
      <c r="J66" s="3579"/>
      <c r="K66" s="1239" t="s">
        <v>1386</v>
      </c>
      <c r="L66" s="1239">
        <f ca="1">M49*0.5%</f>
        <v>272.77499999999998</v>
      </c>
      <c r="M66" s="294">
        <f ca="1">IF(L66&gt;0.5,0.5,ROUND(L66,0))</f>
        <v>0.5</v>
      </c>
      <c r="N66" s="2323" t="s">
        <v>1387</v>
      </c>
      <c r="Z66" s="1617"/>
      <c r="AI66" s="1555"/>
    </row>
    <row r="67" spans="1:35" ht="14.25" customHeight="1">
      <c r="A67" s="165" t="s">
        <v>328</v>
      </c>
      <c r="B67" s="166" t="s">
        <v>1388</v>
      </c>
      <c r="C67" s="2346">
        <f ca="1">C63-C66</f>
        <v>51957</v>
      </c>
      <c r="D67" s="162" t="s">
        <v>26</v>
      </c>
      <c r="E67" s="164"/>
      <c r="F67" s="1664"/>
      <c r="G67" s="1664"/>
      <c r="H67" s="151"/>
      <c r="I67" s="121"/>
      <c r="J67" s="3579"/>
      <c r="K67" s="1239" t="s">
        <v>1389</v>
      </c>
      <c r="L67" s="1239">
        <f ca="1">IF(M49&gt;=10000,(8.25+(M49-10000)*0.01%),IF(AND(M49&gt;=8000,M49&lt;10000),(7.85+(M49-8000)*0.02%),IF(AND(M49&gt;=5000,M49&lt;8000),(6.65+(M49-5000)*0.04%),IF(AND(M49&gt;=2000,M49&lt;5000),(4.25+(PM49-2000)*0.08%),IF(AND(M49&gt;=1000,M49&lt;2000),(2.75+(M49-1000)*0.15%),IF(AND(M49&gt;=100,M49&lt;1000),(0.5+(M49-100)*0.25%),IF(AND(M49&gt;0,M49&lt;100),M49*0.5%)))))))</f>
        <v>12.705500000000001</v>
      </c>
      <c r="M67" s="294">
        <f ca="1">ROUND(L67*0.9,1)</f>
        <v>11.4</v>
      </c>
      <c r="N67" s="2322"/>
      <c r="Z67" s="1617"/>
      <c r="AI67" s="1555"/>
    </row>
    <row r="68" spans="1:35" ht="14.25" customHeight="1" thickBot="1">
      <c r="A68" s="168" t="s">
        <v>329</v>
      </c>
      <c r="B68" s="169" t="s">
        <v>1390</v>
      </c>
      <c r="C68" s="2347">
        <f ca="1">IF(C67&lt;=0,0,ROUND(C67*D68,0))</f>
        <v>2858</v>
      </c>
      <c r="D68" s="2348">
        <f>'数据-取费表'!B41</f>
        <v>5.5000000000000007E-2</v>
      </c>
      <c r="E68" s="170"/>
      <c r="F68" s="1664"/>
      <c r="G68" s="1664"/>
      <c r="H68" s="151"/>
      <c r="I68" s="121"/>
      <c r="J68" s="3579"/>
      <c r="K68" s="1239" t="s">
        <v>1391</v>
      </c>
      <c r="L68" s="1239">
        <f ca="1">IF(M49&gt;10000,M49*0.5%,IF(AND(M49&gt;5000,M49&lt;=10000),M49*1%,IF(AND(M49&gt;1000,M49&lt;=5000),M49*2%,IF(AND(M49&gt;200,M49&lt;=1000),M49*3%,M49*5%))))</f>
        <v>272.77499999999998</v>
      </c>
      <c r="M68" s="294">
        <f ca="1">ROUND(L68,1)</f>
        <v>272.8</v>
      </c>
      <c r="N68" s="2322"/>
      <c r="Z68" s="1617"/>
      <c r="AI68" s="1555"/>
    </row>
    <row r="69" spans="1:35" ht="16.5" customHeight="1">
      <c r="A69" s="1666"/>
      <c r="B69" s="1667"/>
      <c r="C69" s="1668"/>
      <c r="D69" s="1669"/>
      <c r="E69" s="1670"/>
      <c r="F69" s="1460"/>
      <c r="G69" s="1460"/>
      <c r="H69" s="1461"/>
      <c r="I69" s="641"/>
      <c r="J69" s="3579"/>
      <c r="K69" s="1239" t="s">
        <v>1392</v>
      </c>
      <c r="L69" s="1239"/>
      <c r="M69" s="294">
        <f ca="1">ROUND(SUM(M63:M68),0)</f>
        <v>885</v>
      </c>
      <c r="N69" s="2324">
        <f ca="1">M69/M49</f>
        <v>1.6222161121803684E-2</v>
      </c>
      <c r="Z69" s="1617"/>
      <c r="AI69" s="1555"/>
    </row>
    <row r="70" spans="1:35" s="637" customFormat="1" ht="15" thickBot="1">
      <c r="A70" s="3541" t="s">
        <v>1393</v>
      </c>
      <c r="B70" s="3542"/>
      <c r="C70" s="3542"/>
      <c r="D70" s="3542"/>
      <c r="E70" s="3542"/>
      <c r="F70" s="3542"/>
      <c r="G70" s="3542"/>
      <c r="H70" s="3542"/>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20" t="s">
        <v>1374</v>
      </c>
      <c r="B71" s="3521"/>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51957</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260</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15" t="s">
        <v>1401</v>
      </c>
      <c r="F76" s="3489"/>
      <c r="G76" s="3489"/>
      <c r="H76" s="3540"/>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260</v>
      </c>
      <c r="D78" s="2355">
        <f>'数据-取费表'!B43</f>
        <v>5.000000000000001E-3</v>
      </c>
      <c r="E78" s="3499" t="s">
        <v>1405</v>
      </c>
      <c r="F78" s="3500"/>
      <c r="G78" s="3500"/>
      <c r="H78" s="3509"/>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51697</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198.83461538461538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30927</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41" t="s">
        <v>1409</v>
      </c>
      <c r="B83" s="3542"/>
      <c r="C83" s="3542"/>
      <c r="D83" s="3542"/>
      <c r="E83" s="3542"/>
      <c r="F83" s="3542"/>
      <c r="G83" s="3542"/>
      <c r="H83" s="3542"/>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20" t="s">
        <v>1374</v>
      </c>
      <c r="B84" s="3521"/>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51957</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260</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81" t="s">
        <v>2128</v>
      </c>
      <c r="H90" s="3582"/>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499" t="s">
        <v>1418</v>
      </c>
      <c r="F91" s="3500"/>
      <c r="G91" s="3500"/>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499" t="s">
        <v>1421</v>
      </c>
      <c r="F92" s="3500"/>
      <c r="G92" s="3500"/>
      <c r="H92" s="3509"/>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260</v>
      </c>
      <c r="D93" s="2355">
        <f>'数据-取费表'!B43</f>
        <v>5.000000000000001E-3</v>
      </c>
      <c r="E93" s="3499" t="s">
        <v>1405</v>
      </c>
      <c r="F93" s="3500"/>
      <c r="G93" s="3500"/>
      <c r="H93" s="3509"/>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10" t="s">
        <v>1425</v>
      </c>
      <c r="F94" s="3511"/>
      <c r="G94" s="3511"/>
      <c r="H94" s="3512"/>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51697</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198.83461538461538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30927</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483" t="s">
        <v>1427</v>
      </c>
      <c r="B100" s="3484"/>
      <c r="C100" s="3484"/>
      <c r="D100" s="3501"/>
      <c r="E100" s="3484" t="s">
        <v>1428</v>
      </c>
      <c r="F100" s="3484"/>
      <c r="G100" s="3484"/>
      <c r="H100" s="3501"/>
      <c r="I100" s="121"/>
    </row>
    <row r="101" spans="1:35" ht="18.75" customHeight="1">
      <c r="A101" s="3562" t="s">
        <v>1429</v>
      </c>
      <c r="B101" s="3563"/>
      <c r="C101" s="2363" t="str">
        <f>C4</f>
        <v>成本法</v>
      </c>
      <c r="D101" s="2364" t="str">
        <f>D4</f>
        <v>假设开发法</v>
      </c>
      <c r="E101" s="3576" t="s">
        <v>1430</v>
      </c>
      <c r="F101" s="3533"/>
      <c r="G101" s="1681" t="s">
        <v>1431</v>
      </c>
      <c r="H101" s="2373">
        <f ca="1">H118</f>
        <v>54555</v>
      </c>
      <c r="I101" s="121"/>
    </row>
    <row r="102" spans="1:35" ht="18.75" customHeight="1">
      <c r="A102" s="3535" t="s">
        <v>1432</v>
      </c>
      <c r="B102" s="2362" t="s">
        <v>1431</v>
      </c>
      <c r="C102" s="2363">
        <f ca="1">IF(D32="楼面单价",ROUND(C19,0),C19)</f>
        <v>54232</v>
      </c>
      <c r="D102" s="2364">
        <f ca="1">IF(D32="楼面单价",ROUND(D19,0),D19)</f>
        <v>54878</v>
      </c>
      <c r="E102" s="3576"/>
      <c r="F102" s="3533"/>
      <c r="G102" s="1681" t="s">
        <v>1433</v>
      </c>
      <c r="H102" s="2333">
        <f ca="1">I118</f>
        <v>14424</v>
      </c>
      <c r="I102" s="121"/>
    </row>
    <row r="103" spans="1:35" ht="42.75" customHeight="1">
      <c r="A103" s="3535"/>
      <c r="B103" s="2362" t="s">
        <v>1433</v>
      </c>
      <c r="C103" s="2365">
        <f ca="1">C20</f>
        <v>14338</v>
      </c>
      <c r="D103" s="2366">
        <f ca="1">D20</f>
        <v>14509</v>
      </c>
      <c r="E103" s="3570" t="s">
        <v>1434</v>
      </c>
      <c r="F103" s="3571"/>
      <c r="G103" s="1682" t="s">
        <v>1435</v>
      </c>
      <c r="H103" s="2373">
        <f>IF(D36="正常操作",H104+H105+H106,H105+H106)</f>
        <v>0</v>
      </c>
      <c r="I103" s="121"/>
    </row>
    <row r="104" spans="1:35" ht="18.75" customHeight="1">
      <c r="A104" s="3535" t="s">
        <v>1436</v>
      </c>
      <c r="B104" s="2367" t="s">
        <v>1431</v>
      </c>
      <c r="C104" s="2368">
        <f ca="1">H118</f>
        <v>54555</v>
      </c>
      <c r="D104" s="2369"/>
      <c r="E104" s="1549" t="s">
        <v>1437</v>
      </c>
      <c r="F104" s="1542"/>
      <c r="G104" s="1682" t="s">
        <v>1435</v>
      </c>
      <c r="H104" s="2374">
        <f>IF(D36="同一抵押权人同一抵押物续贷",C36&amp;"（续贷，未扣减，详见特别提示）",C36)</f>
        <v>0</v>
      </c>
      <c r="I104" s="121"/>
    </row>
    <row r="105" spans="1:35" ht="18.75" customHeight="1" thickBot="1">
      <c r="A105" s="3536"/>
      <c r="B105" s="2370" t="s">
        <v>1433</v>
      </c>
      <c r="C105" s="2371">
        <f ca="1">I118</f>
        <v>14424</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32" t="str">
        <f>IF(项目基本情况!E8="已注销","——","3.房地产抵押价值")</f>
        <v>3.房地产抵押价值</v>
      </c>
      <c r="F107" s="3533"/>
      <c r="G107" s="1681" t="s">
        <v>1431</v>
      </c>
      <c r="H107" s="2373">
        <f ca="1">IF(E107="——","——",H101-H103)</f>
        <v>54555</v>
      </c>
      <c r="I107" s="121"/>
    </row>
    <row r="108" spans="1:35" ht="18.75" customHeight="1">
      <c r="A108" s="121"/>
      <c r="B108" s="121"/>
      <c r="C108" s="121"/>
      <c r="D108" s="121"/>
      <c r="E108" s="3532"/>
      <c r="F108" s="3533"/>
      <c r="G108" s="1681" t="s">
        <v>1433</v>
      </c>
      <c r="H108" s="2333">
        <f ca="1">IF(H107=H101,H102,ROUND(H107*10000/'数据-汇总表'!E3,0))</f>
        <v>14424</v>
      </c>
      <c r="I108" s="121"/>
    </row>
    <row r="109" spans="1:35" ht="18.75" customHeight="1">
      <c r="A109" s="121"/>
      <c r="B109" s="121"/>
      <c r="C109" s="121"/>
      <c r="D109" s="121"/>
      <c r="E109" s="3532" t="str">
        <f>IF(项目基本情况!E8="已注销及未注销","4.抵押担保权已注销时的房地产抵押价值",IF(项目基本情况!E8="已注销","3.抵押担保权已注销时的房地产抵押价值","——"))</f>
        <v>——</v>
      </c>
      <c r="F109" s="3533"/>
      <c r="G109" s="1681" t="s">
        <v>1431</v>
      </c>
      <c r="H109" s="2376" t="str">
        <f>IF(E109="——","——",H101-H105-H106)</f>
        <v>——</v>
      </c>
      <c r="I109" s="121"/>
    </row>
    <row r="110" spans="1:35" ht="18.75" customHeight="1">
      <c r="A110" s="121"/>
      <c r="B110" s="121"/>
      <c r="C110" s="121"/>
      <c r="D110" s="121"/>
      <c r="E110" s="3532"/>
      <c r="F110" s="3533"/>
      <c r="G110" s="1681" t="s">
        <v>1433</v>
      </c>
      <c r="H110" s="2333" t="str">
        <f>IF(H109="——","——",ROUND(H109*10000/'数据-汇总表'!E3,0))</f>
        <v>——</v>
      </c>
      <c r="I110" s="121"/>
    </row>
    <row r="111" spans="1:35" ht="18.75" customHeight="1">
      <c r="A111" s="121"/>
      <c r="B111" s="121"/>
      <c r="C111" s="121"/>
      <c r="D111" s="121"/>
      <c r="E111" s="3564" t="str">
        <f>IF(项目基本情况!E9="抵押净值",IF(OR(项目基本情况!E8="已注销",项目基本情况!E8="房地产抵押价值"),"4.抵押净值","5.抵押净值"),"——")</f>
        <v>——</v>
      </c>
      <c r="F111" s="3534"/>
      <c r="G111" s="1681" t="s">
        <v>1431</v>
      </c>
      <c r="H111" s="2373" t="str">
        <f>IF(E111="——","——",N59)</f>
        <v>——</v>
      </c>
      <c r="I111" s="121"/>
    </row>
    <row r="112" spans="1:35" ht="18.75" customHeight="1" thickBot="1">
      <c r="A112" s="121"/>
      <c r="B112" s="121"/>
      <c r="C112" s="121"/>
      <c r="D112" s="121"/>
      <c r="E112" s="3565"/>
      <c r="F112" s="3566"/>
      <c r="G112" s="1684" t="s">
        <v>1433</v>
      </c>
      <c r="H112" s="2377" t="str">
        <f>IF(E111="——","——",N61)</f>
        <v>——</v>
      </c>
      <c r="I112" s="121"/>
    </row>
    <row r="113" spans="1:27" ht="18.75" customHeight="1">
      <c r="A113" s="121"/>
      <c r="B113" s="121"/>
      <c r="C113" s="121"/>
      <c r="D113" s="121"/>
      <c r="E113" s="3537" t="s">
        <v>1439</v>
      </c>
      <c r="F113" s="3537"/>
      <c r="G113" s="3537"/>
      <c r="H113" s="3537"/>
      <c r="I113" s="121"/>
    </row>
    <row r="114" spans="1:27" ht="3.75" customHeight="1">
      <c r="A114" s="641"/>
      <c r="B114" s="641"/>
      <c r="C114" s="641"/>
      <c r="D114" s="641"/>
      <c r="E114" s="1665"/>
      <c r="F114" s="1665"/>
      <c r="G114" s="1665"/>
      <c r="H114" s="1665"/>
      <c r="I114" s="641"/>
    </row>
    <row r="115" spans="1:27" ht="18.75" customHeight="1">
      <c r="A115" s="3547" t="s">
        <v>1441</v>
      </c>
      <c r="B115" s="3548"/>
      <c r="C115" s="3548"/>
      <c r="D115" s="3548"/>
      <c r="E115" s="3548"/>
      <c r="F115" s="3548"/>
      <c r="G115" s="3548"/>
      <c r="H115" s="3548"/>
      <c r="I115" s="3549"/>
    </row>
    <row r="116" spans="1:27" ht="27" customHeight="1">
      <c r="A116" s="3503" t="s">
        <v>1442</v>
      </c>
      <c r="B116" s="3538" t="s">
        <v>1443</v>
      </c>
      <c r="C116" s="3538" t="s">
        <v>1444</v>
      </c>
      <c r="D116" s="3551" t="s">
        <v>1445</v>
      </c>
      <c r="E116" s="3552"/>
      <c r="F116" s="3546" t="s">
        <v>1446</v>
      </c>
      <c r="G116" s="3546"/>
      <c r="H116" s="3503" t="s">
        <v>1447</v>
      </c>
      <c r="I116" s="3503"/>
    </row>
    <row r="117" spans="1:27" ht="18.75" customHeight="1">
      <c r="A117" s="3503"/>
      <c r="B117" s="3539"/>
      <c r="C117" s="3539"/>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34697</v>
      </c>
      <c r="E118" s="2142">
        <f ca="1">ROUND(IF(C33="自定义",IF(D32="楼面单价",C34,D118*10000/B118),I118-G118),0)</f>
        <v>9174</v>
      </c>
      <c r="F118" s="2142">
        <f ca="1">ROUND(IF(D32="总价",C35,G118*B118/10000),0)</f>
        <v>19858</v>
      </c>
      <c r="G118" s="2142">
        <f ca="1">ROUND(IF(D32="楼面单价",C35,F118*10000/B118),0)</f>
        <v>5250</v>
      </c>
      <c r="H118" s="2142">
        <f ca="1">ROUND(IF(D32="总价",C32,I118*B118/10000),0)</f>
        <v>54555</v>
      </c>
      <c r="I118" s="2142">
        <f ca="1">ROUND(IF(D32="楼面单价",C32,H118*10000/B118),0)</f>
        <v>14424</v>
      </c>
    </row>
    <row r="119" spans="1:27" ht="18.75" customHeight="1">
      <c r="A119" s="3503" t="s">
        <v>1451</v>
      </c>
      <c r="B119" s="3503"/>
      <c r="C119" s="3503"/>
      <c r="D119" s="3543" t="str">
        <f ca="1">NUMBERSTRING(INT(D118*10000),2)&amp;"元整"</f>
        <v>叁亿肆仟陆佰玖拾柒万元整</v>
      </c>
      <c r="E119" s="3545"/>
      <c r="F119" s="3543" t="str">
        <f ca="1">NUMBERSTRING(INT(F118*10000),2)&amp;"元整"</f>
        <v>壹亿玖仟捌佰伍拾捌万元整</v>
      </c>
      <c r="G119" s="3545"/>
      <c r="H119" s="3543" t="str">
        <f ca="1">NUMBERSTRING(INT(H118*10000),2)&amp;"元整"</f>
        <v>伍亿肆仟伍佰伍拾伍万元整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43" t="s">
        <v>1451</v>
      </c>
      <c r="B121" s="3544"/>
      <c r="C121" s="3545"/>
      <c r="D121" s="3543" t="str">
        <f>IF(D120=0,"零元整",NUMBERSTRING(INT(D120*10000),2)&amp;"元整")</f>
        <v>零元整</v>
      </c>
      <c r="E121" s="3544"/>
      <c r="F121" s="3544"/>
      <c r="G121" s="3544"/>
      <c r="H121" s="3544"/>
      <c r="I121" s="3545"/>
      <c r="AA121" s="679"/>
    </row>
    <row r="122" spans="1:27" ht="18.75" customHeight="1">
      <c r="A122" s="3534" t="str">
        <f>IF(项目基本情况!B9="房地产市场价值","",MID(E107,3,LEN(E107)-2))</f>
        <v>房地产抵押价值</v>
      </c>
      <c r="B122" s="3534"/>
      <c r="C122" s="3534"/>
      <c r="D122" s="3567">
        <f ca="1">H107</f>
        <v>54555</v>
      </c>
      <c r="E122" s="3568"/>
      <c r="F122" s="3568"/>
      <c r="G122" s="3568"/>
      <c r="H122" s="3568"/>
      <c r="I122" s="3569"/>
      <c r="AA122" s="679"/>
    </row>
    <row r="123" spans="1:27" ht="18.75" customHeight="1">
      <c r="A123" s="3503" t="s">
        <v>1451</v>
      </c>
      <c r="B123" s="3503"/>
      <c r="C123" s="3503"/>
      <c r="D123" s="3543" t="str">
        <f ca="1">NUMBERSTRING(INT(D122*10000),2)&amp;"元整"</f>
        <v>伍亿肆仟伍佰伍拾伍万元整</v>
      </c>
      <c r="E123" s="3544"/>
      <c r="F123" s="3544"/>
      <c r="G123" s="3544"/>
      <c r="H123" s="3544"/>
      <c r="I123" s="3545"/>
      <c r="AA123" s="679"/>
    </row>
    <row r="124" spans="1:27" ht="18.75" customHeight="1">
      <c r="A124" s="3534" t="str">
        <f>IF(项目基本情况!B9="房地产市场价值","",MID(E109,3,LEN(E109)-2))</f>
        <v/>
      </c>
      <c r="B124" s="3534"/>
      <c r="C124" s="3534"/>
      <c r="D124" s="3567" t="str">
        <f>H109</f>
        <v>——</v>
      </c>
      <c r="E124" s="3568"/>
      <c r="F124" s="3568"/>
      <c r="G124" s="3568"/>
      <c r="H124" s="3568"/>
      <c r="I124" s="3569"/>
      <c r="AA124" s="679"/>
    </row>
    <row r="125" spans="1:27" ht="18.75" customHeight="1">
      <c r="A125" s="3503" t="s">
        <v>1451</v>
      </c>
      <c r="B125" s="3503"/>
      <c r="C125" s="3503"/>
      <c r="D125" s="3543" t="e">
        <f>NUMBERSTRING(INT(D124*10000),2)&amp;"元整"</f>
        <v>#VALUE!</v>
      </c>
      <c r="E125" s="3544"/>
      <c r="F125" s="3544"/>
      <c r="G125" s="3544"/>
      <c r="H125" s="3544"/>
      <c r="I125" s="3545"/>
      <c r="AA125" s="679"/>
    </row>
    <row r="126" spans="1:27" ht="18.75" customHeight="1">
      <c r="A126" s="3534" t="str">
        <f>IF(项目基本情况!B9="房地产市场价值","",MID(E111,3,LEN(E111)-2))</f>
        <v/>
      </c>
      <c r="B126" s="3534"/>
      <c r="C126" s="3534"/>
      <c r="D126" s="3567" t="str">
        <f>H111</f>
        <v>——</v>
      </c>
      <c r="E126" s="3568"/>
      <c r="F126" s="3568"/>
      <c r="G126" s="3568"/>
      <c r="H126" s="3568"/>
      <c r="I126" s="3569"/>
      <c r="AA126" s="679"/>
    </row>
    <row r="127" spans="1:27" ht="18.75" customHeight="1">
      <c r="A127" s="3503" t="s">
        <v>1451</v>
      </c>
      <c r="B127" s="3503"/>
      <c r="C127" s="3503"/>
      <c r="D127" s="3543" t="e">
        <f>NUMBERSTRING(INT(D126*10000),2)&amp;"元整"</f>
        <v>#VALUE!</v>
      </c>
      <c r="E127" s="3544"/>
      <c r="F127" s="3544"/>
      <c r="G127" s="3544"/>
      <c r="H127" s="3544"/>
      <c r="I127" s="3545"/>
      <c r="AA127" s="679"/>
    </row>
    <row r="128" spans="1:27" ht="21.75" customHeight="1">
      <c r="A128" s="3550" t="s">
        <v>1452</v>
      </c>
      <c r="B128" s="3550"/>
      <c r="C128" s="3550"/>
      <c r="D128" s="3550"/>
      <c r="E128" s="3550"/>
      <c r="F128" s="3550"/>
      <c r="G128" s="3550"/>
      <c r="H128" s="3550"/>
      <c r="I128" s="3550"/>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4" sqref="N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54232</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14338</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27787</v>
      </c>
      <c r="D5" s="203" t="s">
        <v>1468</v>
      </c>
      <c r="E5" s="204" t="s">
        <v>1469</v>
      </c>
      <c r="F5" s="204" t="s">
        <v>1470</v>
      </c>
      <c r="G5" s="205"/>
    </row>
    <row r="6" spans="1:9" s="206" customFormat="1" ht="13.5" customHeight="1">
      <c r="A6" s="727" t="s">
        <v>1471</v>
      </c>
      <c r="B6" s="207" t="s">
        <v>1472</v>
      </c>
      <c r="C6" s="208">
        <f>'土地比较法-住宅、综合'!F65</f>
        <v>26537</v>
      </c>
      <c r="D6" s="209"/>
      <c r="E6" s="210"/>
      <c r="F6" s="210"/>
      <c r="G6" s="211"/>
    </row>
    <row r="7" spans="1:9" s="206" customFormat="1" ht="13.5" customHeight="1">
      <c r="A7" s="727" t="s">
        <v>1473</v>
      </c>
      <c r="B7" s="207" t="s">
        <v>1474</v>
      </c>
      <c r="C7" s="212">
        <f>ROUND(C6*F7,0)</f>
        <v>809</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4441</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4442</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140</v>
      </c>
      <c r="F19" s="223"/>
      <c r="G19" s="1708" t="s">
        <v>4443</v>
      </c>
    </row>
    <row r="20" spans="1:7" s="206" customFormat="1" ht="13.5" customHeight="1">
      <c r="A20" s="247" t="s">
        <v>1492</v>
      </c>
      <c r="B20" s="202" t="s">
        <v>1493</v>
      </c>
      <c r="C20" s="224">
        <f ca="1">ROUND((C5+C19)*F20,0)</f>
        <v>556</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1013</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1003</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10</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2551</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2551</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34479</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583" t="s">
        <v>1543</v>
      </c>
    </row>
    <row r="43" spans="1:7" ht="13.5" customHeight="1">
      <c r="A43" s="729" t="s">
        <v>347</v>
      </c>
      <c r="B43" s="207" t="s">
        <v>1544</v>
      </c>
      <c r="C43" s="230">
        <f ca="1">ROUND(IF('数据-取费表'!B22&lt;=1,C39*F22*'数据-取费表'!B21/2,C39*(POWER((1+F22),'数据-取费表'!B21/2)-1)),0)</f>
        <v>5</v>
      </c>
      <c r="D43" s="230"/>
      <c r="E43" s="230"/>
      <c r="F43" s="231"/>
      <c r="G43" s="3584"/>
    </row>
    <row r="44" spans="1:7" ht="13.5" customHeight="1">
      <c r="A44" s="729" t="s">
        <v>348</v>
      </c>
      <c r="B44" s="207" t="s">
        <v>1545</v>
      </c>
      <c r="C44" s="230">
        <f ca="1">ROUND(IF('数据-取费表'!B22&lt;=1,C40*F22*'数据-取费表'!B21/2,C40*(POWER((1+F22),'数据-取费表'!B21/2)-1)),4)</f>
        <v>4.0000000000000002E-4</v>
      </c>
      <c r="D44" s="230"/>
      <c r="E44" s="230"/>
      <c r="F44" s="231"/>
      <c r="G44" s="3585"/>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54232</v>
      </c>
      <c r="D52" s="258"/>
      <c r="E52" s="258"/>
      <c r="F52" s="258"/>
      <c r="G52" s="260"/>
    </row>
    <row r="55" spans="1:7" ht="15">
      <c r="B55" s="262" t="s">
        <v>1561</v>
      </c>
      <c r="C55" s="263"/>
    </row>
    <row r="56" spans="1:7">
      <c r="B56" s="265" t="s">
        <v>802</v>
      </c>
      <c r="C56" s="267">
        <f ca="1">1-C57</f>
        <v>0.63600000000000001</v>
      </c>
    </row>
    <row r="57" spans="1:7">
      <c r="B57" s="265" t="s">
        <v>803</v>
      </c>
      <c r="C57" s="266">
        <f ca="1">ROUND(C51/C52,3)</f>
        <v>0.36399999999999999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34573.181499999999</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9141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5295174</v>
      </c>
      <c r="D19" s="204">
        <f ca="1">D9+D10</f>
        <v>37822.670000000035</v>
      </c>
      <c r="E19" s="203">
        <f>'数据-取费表'!B31</f>
        <v>140</v>
      </c>
      <c r="F19" s="223"/>
      <c r="G19" s="1708"/>
    </row>
    <row r="20" spans="1:7" s="206" customFormat="1" ht="13.5" customHeight="1">
      <c r="A20" s="247" t="s">
        <v>1573</v>
      </c>
      <c r="B20" s="202" t="s">
        <v>1574</v>
      </c>
      <c r="C20" s="224">
        <f ca="1">ROUND((C5+C19)*F20,0)</f>
        <v>194229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597255</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322476</v>
      </c>
      <c r="D24" s="230"/>
      <c r="E24" s="230"/>
      <c r="F24" s="231"/>
      <c r="G24" s="232" t="s">
        <v>1585</v>
      </c>
    </row>
    <row r="25" spans="1:7" s="206" customFormat="1" ht="24">
      <c r="A25" s="729" t="s">
        <v>1475</v>
      </c>
      <c r="B25" s="207" t="s">
        <v>1586</v>
      </c>
      <c r="C25" s="230">
        <f ca="1">ROUND(IF('数据-取费表'!B22&lt;=1,C20*F22*'数据-取费表'!B22/2,C20*(POWER((1+F22),'数据-取费表'!B22/2)-1)),0)</f>
        <v>5827</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1485854</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1485854</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12974896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583" t="s">
        <v>1590</v>
      </c>
    </row>
    <row r="43" spans="1:7" ht="13.5" customHeight="1">
      <c r="A43" s="729" t="s">
        <v>347</v>
      </c>
      <c r="B43" s="207" t="s">
        <v>1544</v>
      </c>
      <c r="C43" s="230">
        <f ca="1">ROUND(IF('数据-取费表'!B22&lt;=1,C39*F22*'数据-取费表'!B20/2,C39*(POWER((1+F22),'数据-取费表'!B20/2)-1)),0)</f>
        <v>153274</v>
      </c>
      <c r="D43" s="230"/>
      <c r="E43" s="230"/>
      <c r="F43" s="231"/>
      <c r="G43" s="3584"/>
    </row>
    <row r="44" spans="1:7" ht="13.5" customHeight="1">
      <c r="A44" s="729" t="s">
        <v>348</v>
      </c>
      <c r="B44" s="207" t="s">
        <v>1545</v>
      </c>
      <c r="C44" s="230">
        <f ca="1">ROUND(IF('数据-取费表'!B22&lt;=1,C40*F22*'数据-取费表'!B20/2,C40*(POWER((1+F22),'数据-取费表'!B20/2)-1)),4)</f>
        <v>5.9999999999999995E-4</v>
      </c>
      <c r="D44" s="230"/>
      <c r="E44" s="230"/>
      <c r="F44" s="231"/>
      <c r="G44" s="3585"/>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345731815</v>
      </c>
      <c r="D52" s="258"/>
      <c r="E52" s="258"/>
      <c r="F52" s="258"/>
      <c r="G52" s="260"/>
    </row>
    <row r="55" spans="1:7" ht="15">
      <c r="B55" s="262" t="s">
        <v>1561</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O41" sqref="O41:P41"/>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54878</v>
      </c>
      <c r="C2" s="268" t="s">
        <v>1594</v>
      </c>
      <c r="D2" s="268"/>
      <c r="E2" s="2560"/>
      <c r="F2" s="2560"/>
      <c r="G2" s="2560"/>
      <c r="H2" s="2560"/>
      <c r="I2" s="2560"/>
      <c r="J2" s="2560"/>
      <c r="K2" s="2560"/>
    </row>
    <row r="3" spans="1:33" ht="18" customHeight="1" thickBot="1">
      <c r="A3" s="195" t="s">
        <v>1463</v>
      </c>
      <c r="B3" s="196">
        <f ca="1">ROUND(B2*10000/IF(C1="",'数据-汇总表'!E3,INDIRECT("'数据-取费表'!K"&amp;$K$1)),0)</f>
        <v>14509</v>
      </c>
      <c r="C3" s="268" t="s">
        <v>1595</v>
      </c>
      <c r="D3" s="268"/>
      <c r="E3" s="2560"/>
      <c r="F3" s="2560"/>
      <c r="G3" s="2560"/>
      <c r="H3" s="2560"/>
      <c r="I3" s="2560"/>
      <c r="J3" s="2560"/>
      <c r="K3" s="2560"/>
    </row>
    <row r="4" spans="1:33" s="734" customFormat="1" ht="16.5" customHeight="1">
      <c r="A4" s="731" t="s">
        <v>1596</v>
      </c>
      <c r="B4" s="732"/>
      <c r="C4" s="770">
        <f>SUM(C8:K8)</f>
        <v>78421</v>
      </c>
      <c r="D4" s="732"/>
      <c r="E4" s="732"/>
      <c r="F4" s="732"/>
      <c r="G4" s="732"/>
      <c r="H4" s="732"/>
      <c r="I4" s="732"/>
      <c r="J4" s="732"/>
      <c r="K4" s="733"/>
    </row>
    <row r="5" spans="1:33" s="738" customFormat="1" ht="25.5">
      <c r="A5" s="735" t="s">
        <v>1597</v>
      </c>
      <c r="B5" s="736" t="s">
        <v>1598</v>
      </c>
      <c r="C5" s="1712" t="s">
        <v>4444</v>
      </c>
      <c r="D5" s="1712" t="s">
        <v>3643</v>
      </c>
      <c r="E5" s="1712" t="s">
        <v>4866</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28377</v>
      </c>
      <c r="D6" s="740">
        <f>'比较法-仓储'!B3</f>
        <v>5624</v>
      </c>
      <c r="E6" s="740">
        <f>'比较法-车位'!B3</f>
        <v>5616</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71346</v>
      </c>
      <c r="D8" s="771">
        <f>'比较法-仓储'!B2</f>
        <v>1324</v>
      </c>
      <c r="E8" s="771">
        <f>'比较法-车位'!B2</f>
        <v>5751</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227</v>
      </c>
      <c r="D17" s="791">
        <f ca="1">D14</f>
        <v>37822.670000000035</v>
      </c>
      <c r="E17" s="21">
        <f>'数据-取费表'!B32</f>
        <v>60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10446</v>
      </c>
      <c r="D21" s="762"/>
      <c r="E21" s="273"/>
      <c r="F21" s="273"/>
      <c r="G21" s="123" t="s">
        <v>1628</v>
      </c>
      <c r="H21" s="754"/>
      <c r="I21" s="754"/>
      <c r="J21" s="754"/>
      <c r="K21" s="755"/>
    </row>
    <row r="22" spans="1:33" s="750" customFormat="1" ht="13.5" customHeight="1">
      <c r="A22" s="739" t="s">
        <v>1600</v>
      </c>
      <c r="B22" s="760" t="s">
        <v>1629</v>
      </c>
      <c r="C22" s="761">
        <f ca="1">ROUND(C21*F22,0)</f>
        <v>209</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627</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134</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134</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1692</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1692</v>
      </c>
      <c r="D30" s="276"/>
      <c r="E30" s="277"/>
      <c r="F30" s="282"/>
      <c r="G30" s="123"/>
      <c r="H30" s="754"/>
      <c r="I30" s="754"/>
      <c r="J30" s="754"/>
      <c r="K30" s="755"/>
    </row>
    <row r="31" spans="1:33" s="750" customFormat="1" ht="13.5" customHeight="1" thickBot="1">
      <c r="A31" s="1718" t="s">
        <v>1645</v>
      </c>
      <c r="B31" s="778" t="s">
        <v>1646</v>
      </c>
      <c r="C31" s="779">
        <f>ROUND(C4*F31/(1+'数据-取费表'!C42),0)</f>
        <v>4108</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54878</v>
      </c>
      <c r="D32" s="774"/>
      <c r="E32" s="774"/>
      <c r="F32" s="774"/>
      <c r="G32" s="776" t="s">
        <v>1649</v>
      </c>
      <c r="H32" s="774"/>
      <c r="I32" s="774"/>
      <c r="J32" s="774"/>
      <c r="K32" s="77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70" zoomScaleNormal="60" zoomScaleSheetLayoutView="70" workbookViewId="0">
      <selection activeCell="Y65" sqref="Y6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26537</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7016</v>
      </c>
      <c r="C3" s="195" t="s">
        <v>1868</v>
      </c>
      <c r="D3" s="1105"/>
      <c r="E3" s="850"/>
      <c r="F3" s="851"/>
      <c r="G3" s="3224" t="s">
        <v>3725</v>
      </c>
      <c r="H3" s="850"/>
      <c r="I3" s="3224" t="s">
        <v>3726</v>
      </c>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05" t="s">
        <v>1774</v>
      </c>
      <c r="Q4" s="3606"/>
      <c r="R4" s="3611" t="s">
        <v>1770</v>
      </c>
      <c r="S4" s="3612"/>
      <c r="T4" s="3611" t="s">
        <v>1771</v>
      </c>
      <c r="U4" s="3612"/>
      <c r="V4" s="3598" t="s">
        <v>1772</v>
      </c>
      <c r="W4" s="3598"/>
      <c r="X4" s="1259"/>
      <c r="Y4" s="3611" t="s">
        <v>1774</v>
      </c>
      <c r="Z4" s="3612"/>
      <c r="AA4" s="3599" t="s">
        <v>1770</v>
      </c>
      <c r="AB4" s="3600" t="s">
        <v>1771</v>
      </c>
      <c r="AC4" s="3599" t="s">
        <v>1772</v>
      </c>
    </row>
    <row r="5" spans="1:29" ht="15">
      <c r="A5" s="348"/>
      <c r="B5" s="349"/>
      <c r="C5" s="3619" t="s">
        <v>1672</v>
      </c>
      <c r="D5" s="3620"/>
      <c r="E5" s="3626" t="str">
        <f>土地成交案例!A2</f>
        <v>北京市延庆区南辛堡村、民主村、百眼泉村棚户区改造项目YQ00-0309-0017地块R2二类居住用地</v>
      </c>
      <c r="F5" s="3627"/>
      <c r="G5" s="3619" t="str">
        <f>土地成交案例!A3</f>
        <v>北京市密云区水源路南侧C-2地块土地一级开发项目MY00-0105-6038、6040地块R2二类居住用地</v>
      </c>
      <c r="H5" s="3620"/>
      <c r="I5" s="3619" t="str">
        <f>土地成交案例!A7</f>
        <v>北京市密云区水源路南侧B地块土地一级开发项目MY00-0104-6054地块R2二类居住用地</v>
      </c>
      <c r="J5" s="3620"/>
      <c r="K5" s="535"/>
      <c r="L5" s="2479"/>
      <c r="M5" s="2480"/>
      <c r="N5" s="2480"/>
      <c r="O5" s="2480"/>
      <c r="P5" s="3607"/>
      <c r="Q5" s="3608"/>
      <c r="R5" s="3613"/>
      <c r="S5" s="3614"/>
      <c r="T5" s="3613"/>
      <c r="U5" s="3614"/>
      <c r="V5" s="3598"/>
      <c r="W5" s="3598"/>
      <c r="X5" s="1259"/>
      <c r="Y5" s="3613"/>
      <c r="Z5" s="3614"/>
      <c r="AA5" s="3600"/>
      <c r="AB5" s="3600"/>
      <c r="AC5" s="3600"/>
    </row>
    <row r="6" spans="1:29" ht="15.75" thickBot="1">
      <c r="A6" s="350"/>
      <c r="B6" s="351"/>
      <c r="C6" s="3617" t="s">
        <v>1676</v>
      </c>
      <c r="D6" s="3618"/>
      <c r="E6" s="3624" t="s">
        <v>1676</v>
      </c>
      <c r="F6" s="3625"/>
      <c r="G6" s="3617" t="s">
        <v>1676</v>
      </c>
      <c r="H6" s="3618"/>
      <c r="I6" s="3617" t="s">
        <v>1676</v>
      </c>
      <c r="J6" s="3618"/>
      <c r="K6" s="535" t="s">
        <v>1677</v>
      </c>
      <c r="L6" s="2479"/>
      <c r="M6" s="2480"/>
      <c r="N6" s="2480"/>
      <c r="O6" s="2480"/>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t="str">
        <f>土地成交案例!K2</f>
        <v>2024-10-15</v>
      </c>
      <c r="F7" s="357">
        <f>SUMIF(69:69,YEAR(E7)&amp;"-"&amp;INT((MONTH(E7)+2)/3),70:70)</f>
        <v>100</v>
      </c>
      <c r="G7" s="1814" t="str">
        <f>土地成交案例!K3</f>
        <v>2023-10-10</v>
      </c>
      <c r="H7" s="355">
        <f>SUMIF(69:69,YEAR(G7)&amp;"-"&amp;INT((MONTH(G7)+2)/3),70:70)</f>
        <v>100</v>
      </c>
      <c r="I7" s="1814" t="str">
        <f>土地成交案例!K7</f>
        <v>2022-09-22</v>
      </c>
      <c r="J7" s="355">
        <f>SUMIF(69:69,YEAR(I7)&amp;"-"&amp;INT((MONTH(I7)+2)/3),70:70)</f>
        <v>100</v>
      </c>
      <c r="K7" s="38"/>
      <c r="L7" s="2481"/>
      <c r="M7" s="2432"/>
      <c r="N7" s="2432"/>
      <c r="O7" s="2432"/>
      <c r="P7" s="3621" t="s">
        <v>1679</v>
      </c>
      <c r="Q7" s="3623"/>
      <c r="R7" s="659" t="s">
        <v>14</v>
      </c>
      <c r="S7" s="660">
        <f t="shared" ref="S7:S15" si="0">F7</f>
        <v>100</v>
      </c>
      <c r="T7" s="659" t="s">
        <v>14</v>
      </c>
      <c r="U7" s="660">
        <f t="shared" ref="U7:U15" si="1">H7</f>
        <v>100</v>
      </c>
      <c r="V7" s="659" t="s">
        <v>14</v>
      </c>
      <c r="W7" s="660">
        <f t="shared" ref="W7:W15" si="2">J7</f>
        <v>100</v>
      </c>
      <c r="X7" s="661"/>
      <c r="Y7" s="3621" t="s">
        <v>1679</v>
      </c>
      <c r="Z7" s="3622"/>
      <c r="AA7" s="50">
        <f>D7/F7</f>
        <v>1</v>
      </c>
      <c r="AB7" s="50">
        <f>D7/H7</f>
        <v>1</v>
      </c>
      <c r="AC7" s="50">
        <f>D7/J7</f>
        <v>1</v>
      </c>
    </row>
    <row r="8" spans="1:29" s="102" customFormat="1" ht="15.75" thickBot="1">
      <c r="A8" s="352" t="s">
        <v>1680</v>
      </c>
      <c r="B8" s="353"/>
      <c r="C8" s="358" t="s">
        <v>1681</v>
      </c>
      <c r="D8" s="355">
        <v>100</v>
      </c>
      <c r="E8" s="358" t="s">
        <v>3625</v>
      </c>
      <c r="F8" s="357">
        <f>SUMIF(72:72,E8,73:73)-SUMIF(72:72,C8,73:73)+100</f>
        <v>100</v>
      </c>
      <c r="G8" s="358" t="s">
        <v>3625</v>
      </c>
      <c r="H8" s="355">
        <f>SUMIF(72:72,G8,73:73)-SUMIF(72:72,C8,73:73)+100</f>
        <v>100</v>
      </c>
      <c r="I8" s="358" t="s">
        <v>3625</v>
      </c>
      <c r="J8" s="355">
        <f>SUMIF(72:72,I8,73:73)-SUMIF(72:72,C8,73:73)+100</f>
        <v>100</v>
      </c>
      <c r="K8" s="38"/>
      <c r="L8" s="2481"/>
      <c r="M8" s="2432"/>
      <c r="N8" s="2432"/>
      <c r="O8" s="2432"/>
      <c r="P8" s="3621" t="s">
        <v>1682</v>
      </c>
      <c r="Q8" s="3622"/>
      <c r="R8" s="659" t="s">
        <v>14</v>
      </c>
      <c r="S8" s="660">
        <f t="shared" si="0"/>
        <v>100</v>
      </c>
      <c r="T8" s="659" t="s">
        <v>14</v>
      </c>
      <c r="U8" s="660">
        <f t="shared" si="1"/>
        <v>100</v>
      </c>
      <c r="V8" s="659" t="s">
        <v>14</v>
      </c>
      <c r="W8" s="660">
        <f t="shared" si="2"/>
        <v>100</v>
      </c>
      <c r="X8" s="661"/>
      <c r="Y8" s="3621" t="s">
        <v>1682</v>
      </c>
      <c r="Z8" s="3622"/>
      <c r="AA8" s="50">
        <f t="shared" ref="AA8:AA45" si="3">D8/F8</f>
        <v>1</v>
      </c>
      <c r="AB8" s="50">
        <f t="shared" ref="AB8:AB45" si="4">D8/H8</f>
        <v>1</v>
      </c>
      <c r="AC8" s="50">
        <f t="shared" ref="AC8:AC45" si="5">D8/J8</f>
        <v>1</v>
      </c>
    </row>
    <row r="9" spans="1:29" s="102" customFormat="1">
      <c r="A9" s="359" t="s">
        <v>1683</v>
      </c>
      <c r="B9" s="60" t="s">
        <v>1684</v>
      </c>
      <c r="C9" s="1817"/>
      <c r="D9" s="59">
        <v>100</v>
      </c>
      <c r="E9" s="1817"/>
      <c r="F9" s="59">
        <f>SUMIF(74:74,E9,75:75)-SUMIF(74:74,C9,75:75)+100</f>
        <v>100</v>
      </c>
      <c r="G9" s="1817"/>
      <c r="H9" s="59">
        <f>SUMIF(74:74,G9,75:75)-SUMIF(74:74,C9,75:75)+100</f>
        <v>100</v>
      </c>
      <c r="I9" s="1817"/>
      <c r="J9" s="59">
        <f>SUMIF(74:74,I9,75:75)-SUMIF(74:74,C9,75:75)+100</f>
        <v>100</v>
      </c>
      <c r="K9" s="38"/>
      <c r="L9" s="2481"/>
      <c r="M9" s="2432"/>
      <c r="N9" s="2432"/>
      <c r="O9" s="2533"/>
      <c r="P9" s="3593"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593"/>
      <c r="Q10" s="528" t="str">
        <f t="shared" si="6"/>
        <v>土地使用年限（年）</v>
      </c>
      <c r="R10" s="659" t="s">
        <v>14</v>
      </c>
      <c r="S10" s="660">
        <f t="shared" si="0"/>
        <v>101</v>
      </c>
      <c r="T10" s="659" t="s">
        <v>14</v>
      </c>
      <c r="U10" s="660">
        <f t="shared" si="1"/>
        <v>101</v>
      </c>
      <c r="V10" s="659" t="s">
        <v>14</v>
      </c>
      <c r="W10" s="660">
        <f t="shared" si="2"/>
        <v>101</v>
      </c>
      <c r="X10" s="661"/>
      <c r="Y10" s="3490"/>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1.8</v>
      </c>
      <c r="H11" s="119">
        <f>LOOKUP(G11,79:79,80:80)-LOOKUP(C11,79:79,80:80)+100</f>
        <v>100</v>
      </c>
      <c r="I11" s="368">
        <v>2</v>
      </c>
      <c r="J11" s="119">
        <f>LOOKUP(I11,79:79,80:80)-LOOKUP(C11,79:79,80:80)+100</f>
        <v>98</v>
      </c>
      <c r="K11" s="588">
        <v>2</v>
      </c>
      <c r="L11" s="2484"/>
      <c r="M11" s="2480"/>
      <c r="N11" s="2480"/>
      <c r="O11" s="2535"/>
      <c r="P11" s="3593"/>
      <c r="Q11" s="528" t="str">
        <f t="shared" si="6"/>
        <v>容积率</v>
      </c>
      <c r="R11" s="659" t="s">
        <v>14</v>
      </c>
      <c r="S11" s="660">
        <f t="shared" si="0"/>
        <v>100</v>
      </c>
      <c r="T11" s="659" t="s">
        <v>14</v>
      </c>
      <c r="U11" s="660">
        <f t="shared" si="1"/>
        <v>100</v>
      </c>
      <c r="V11" s="659" t="s">
        <v>14</v>
      </c>
      <c r="W11" s="660">
        <f t="shared" si="2"/>
        <v>98</v>
      </c>
      <c r="X11" s="661"/>
      <c r="Y11" s="3490"/>
      <c r="Z11" s="50" t="str">
        <f t="shared" si="7"/>
        <v>容积率</v>
      </c>
      <c r="AA11" s="50">
        <f t="shared" si="3"/>
        <v>1</v>
      </c>
      <c r="AB11" s="50">
        <f t="shared" si="4"/>
        <v>1</v>
      </c>
      <c r="AC11" s="50">
        <f t="shared" si="5"/>
        <v>1.0204081632653061</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593"/>
      <c r="Q12" s="528" t="str">
        <f t="shared" si="6"/>
        <v>配建</v>
      </c>
      <c r="R12" s="659" t="s">
        <v>14</v>
      </c>
      <c r="S12" s="660">
        <f t="shared" si="0"/>
        <v>100</v>
      </c>
      <c r="T12" s="659" t="s">
        <v>14</v>
      </c>
      <c r="U12" s="660">
        <f t="shared" si="1"/>
        <v>100</v>
      </c>
      <c r="V12" s="659" t="s">
        <v>14</v>
      </c>
      <c r="W12" s="660">
        <f t="shared" si="2"/>
        <v>100</v>
      </c>
      <c r="X12" s="661"/>
      <c r="Y12" s="3490"/>
      <c r="Z12" s="50" t="str">
        <f t="shared" si="7"/>
        <v>配建</v>
      </c>
      <c r="AA12" s="50">
        <f>D12/F12</f>
        <v>1</v>
      </c>
      <c r="AB12" s="50">
        <f>D12/H12</f>
        <v>1</v>
      </c>
      <c r="AC12" s="50">
        <f>D12/J12</f>
        <v>1</v>
      </c>
    </row>
    <row r="13" spans="1:29" ht="15" hidden="1">
      <c r="A13" s="367"/>
      <c r="B13" s="3284" t="s">
        <v>4447</v>
      </c>
      <c r="C13" s="373"/>
      <c r="D13" s="374">
        <v>100</v>
      </c>
      <c r="E13" s="3285"/>
      <c r="F13" s="119">
        <f>SUMIF(83:83,E13,84:84)-SUMIF(83:83,C13,84:84)+100</f>
        <v>100</v>
      </c>
      <c r="G13" s="589"/>
      <c r="H13" s="374">
        <f>SUMIF(83:83,G13,84:84)-SUMIF(83:83,C13,84:84)+100</f>
        <v>100</v>
      </c>
      <c r="I13" s="589"/>
      <c r="J13" s="374">
        <f>SUMIF(83:83,I13,84:84)-SUMIF(83:83,C13,84:84)+100</f>
        <v>100</v>
      </c>
      <c r="K13" s="587"/>
      <c r="L13" s="2485"/>
      <c r="M13" s="2480"/>
      <c r="N13" s="2480"/>
      <c r="O13" s="2535"/>
      <c r="P13" s="3593"/>
      <c r="Q13" s="528" t="str">
        <f t="shared" si="6"/>
        <v>限价</v>
      </c>
      <c r="R13" s="659" t="s">
        <v>14</v>
      </c>
      <c r="S13" s="660">
        <f t="shared" si="0"/>
        <v>100</v>
      </c>
      <c r="T13" s="659" t="s">
        <v>14</v>
      </c>
      <c r="U13" s="660">
        <f t="shared" si="1"/>
        <v>100</v>
      </c>
      <c r="V13" s="659" t="s">
        <v>14</v>
      </c>
      <c r="W13" s="660">
        <f t="shared" si="2"/>
        <v>100</v>
      </c>
      <c r="X13" s="661"/>
      <c r="Y13" s="3490"/>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593"/>
      <c r="Q14" s="528">
        <f t="shared" si="6"/>
        <v>111</v>
      </c>
      <c r="R14" s="659" t="s">
        <v>14</v>
      </c>
      <c r="S14" s="660">
        <f t="shared" si="0"/>
        <v>100</v>
      </c>
      <c r="T14" s="659" t="s">
        <v>14</v>
      </c>
      <c r="U14" s="660">
        <f t="shared" si="1"/>
        <v>100</v>
      </c>
      <c r="V14" s="659" t="s">
        <v>14</v>
      </c>
      <c r="W14" s="660">
        <f t="shared" si="2"/>
        <v>100</v>
      </c>
      <c r="X14" s="661"/>
      <c r="Y14" s="3490"/>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97</v>
      </c>
      <c r="I15" s="383"/>
      <c r="J15" s="380">
        <f>SUMIF(87:87,I16,88:88)-SUMIF(87:87,C16,88:88)+100</f>
        <v>97</v>
      </c>
      <c r="K15" s="588">
        <v>3</v>
      </c>
      <c r="L15" s="2485"/>
      <c r="M15" s="2480"/>
      <c r="N15" s="2480"/>
      <c r="O15" s="2535"/>
      <c r="P15" s="3594" t="s">
        <v>1690</v>
      </c>
      <c r="Q15" s="1257" t="str">
        <f t="shared" si="6"/>
        <v>居住社区成熟度</v>
      </c>
      <c r="R15" s="662" t="s">
        <v>14</v>
      </c>
      <c r="S15" s="663">
        <f t="shared" si="0"/>
        <v>100</v>
      </c>
      <c r="T15" s="662" t="s">
        <v>14</v>
      </c>
      <c r="U15" s="663">
        <f t="shared" si="1"/>
        <v>97</v>
      </c>
      <c r="V15" s="662" t="s">
        <v>14</v>
      </c>
      <c r="W15" s="663">
        <f t="shared" si="2"/>
        <v>97</v>
      </c>
      <c r="X15" s="1259"/>
      <c r="Y15" s="3594" t="s">
        <v>1690</v>
      </c>
      <c r="Z15" s="1258" t="str">
        <f t="shared" si="7"/>
        <v>居住社区成熟度</v>
      </c>
      <c r="AA15" s="1258">
        <f t="shared" si="3"/>
        <v>1</v>
      </c>
      <c r="AB15" s="1258">
        <f t="shared" si="4"/>
        <v>1.0309278350515463</v>
      </c>
      <c r="AC15" s="1258">
        <f t="shared" si="5"/>
        <v>1.0309278350515463</v>
      </c>
    </row>
    <row r="16" spans="1:29" ht="15">
      <c r="A16" s="367"/>
      <c r="B16" s="385"/>
      <c r="C16" s="386" t="s">
        <v>3628</v>
      </c>
      <c r="D16" s="387"/>
      <c r="E16" s="386" t="s">
        <v>3628</v>
      </c>
      <c r="F16" s="387"/>
      <c r="G16" s="386" t="s">
        <v>3627</v>
      </c>
      <c r="H16" s="389"/>
      <c r="I16" s="386" t="s">
        <v>3627</v>
      </c>
      <c r="J16" s="387"/>
      <c r="K16" s="587"/>
      <c r="L16" s="2485"/>
      <c r="M16" s="2480"/>
      <c r="N16" s="2480"/>
      <c r="O16" s="2535"/>
      <c r="P16" s="3595"/>
      <c r="Q16" s="1257"/>
      <c r="R16" s="662"/>
      <c r="S16" s="663"/>
      <c r="T16" s="662"/>
      <c r="U16" s="663"/>
      <c r="V16" s="662"/>
      <c r="W16" s="663"/>
      <c r="X16" s="1259"/>
      <c r="Y16" s="3595"/>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595"/>
      <c r="Q17" s="1257" t="str">
        <f>B17</f>
        <v>商业繁华度</v>
      </c>
      <c r="R17" s="662" t="s">
        <v>14</v>
      </c>
      <c r="S17" s="663">
        <f>F17</f>
        <v>100</v>
      </c>
      <c r="T17" s="662" t="s">
        <v>14</v>
      </c>
      <c r="U17" s="663">
        <f>H17</f>
        <v>100</v>
      </c>
      <c r="V17" s="662" t="s">
        <v>14</v>
      </c>
      <c r="W17" s="663">
        <f>J17</f>
        <v>100</v>
      </c>
      <c r="X17" s="1259"/>
      <c r="Y17" s="3595"/>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595"/>
      <c r="Q18" s="1257"/>
      <c r="R18" s="662"/>
      <c r="S18" s="663"/>
      <c r="T18" s="662"/>
      <c r="U18" s="663"/>
      <c r="V18" s="662"/>
      <c r="W18" s="663"/>
      <c r="X18" s="1259"/>
      <c r="Y18" s="3595"/>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595"/>
      <c r="Q19" s="1257" t="str">
        <f>B19</f>
        <v>办公集聚程度</v>
      </c>
      <c r="R19" s="662" t="s">
        <v>14</v>
      </c>
      <c r="S19" s="663">
        <f>F19</f>
        <v>100</v>
      </c>
      <c r="T19" s="662" t="s">
        <v>14</v>
      </c>
      <c r="U19" s="663">
        <f>H19</f>
        <v>100</v>
      </c>
      <c r="V19" s="662" t="s">
        <v>14</v>
      </c>
      <c r="W19" s="663">
        <f>J19</f>
        <v>100</v>
      </c>
      <c r="X19" s="1259"/>
      <c r="Y19" s="3595"/>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595"/>
      <c r="Q20" s="1257"/>
      <c r="R20" s="662"/>
      <c r="S20" s="663"/>
      <c r="T20" s="662"/>
      <c r="U20" s="663"/>
      <c r="V20" s="662"/>
      <c r="W20" s="663"/>
      <c r="X20" s="1259"/>
      <c r="Y20" s="3595"/>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2</v>
      </c>
      <c r="L21" s="2485"/>
      <c r="M21" s="2480"/>
      <c r="N21" s="2480"/>
      <c r="O21" s="2535"/>
      <c r="P21" s="3595"/>
      <c r="Q21" s="1257" t="str">
        <f>B21</f>
        <v>交通便捷度</v>
      </c>
      <c r="R21" s="662" t="s">
        <v>14</v>
      </c>
      <c r="S21" s="663">
        <f>F21</f>
        <v>100</v>
      </c>
      <c r="T21" s="662" t="s">
        <v>14</v>
      </c>
      <c r="U21" s="663">
        <f>H21</f>
        <v>100</v>
      </c>
      <c r="V21" s="662" t="s">
        <v>14</v>
      </c>
      <c r="W21" s="663">
        <f>J21</f>
        <v>100</v>
      </c>
      <c r="X21" s="1259"/>
      <c r="Y21" s="3595"/>
      <c r="Z21" s="1258" t="str">
        <f>Q21</f>
        <v>交通便捷度</v>
      </c>
      <c r="AA21" s="1258">
        <f t="shared" si="3"/>
        <v>1</v>
      </c>
      <c r="AB21" s="1258">
        <f t="shared" si="4"/>
        <v>1</v>
      </c>
      <c r="AC21" s="1258">
        <f t="shared" si="5"/>
        <v>1</v>
      </c>
    </row>
    <row r="22" spans="1:29" ht="15">
      <c r="A22" s="367"/>
      <c r="B22" s="581"/>
      <c r="C22" s="386" t="s">
        <v>3627</v>
      </c>
      <c r="D22" s="389"/>
      <c r="E22" s="386" t="s">
        <v>3627</v>
      </c>
      <c r="F22" s="387"/>
      <c r="G22" s="386" t="s">
        <v>3627</v>
      </c>
      <c r="H22" s="387"/>
      <c r="I22" s="386" t="s">
        <v>3627</v>
      </c>
      <c r="J22" s="387"/>
      <c r="K22" s="587"/>
      <c r="L22" s="2485"/>
      <c r="M22" s="2480"/>
      <c r="N22" s="2480"/>
      <c r="O22" s="2535"/>
      <c r="P22" s="3595"/>
      <c r="Q22" s="1257"/>
      <c r="R22" s="662"/>
      <c r="S22" s="663"/>
      <c r="T22" s="662"/>
      <c r="U22" s="663"/>
      <c r="V22" s="662"/>
      <c r="W22" s="663"/>
      <c r="X22" s="1259"/>
      <c r="Y22" s="3595"/>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595"/>
      <c r="Q23" s="1257" t="str">
        <f t="shared" ref="Q23:Q37" si="8">B23</f>
        <v>区域土地利用方向</v>
      </c>
      <c r="R23" s="662" t="s">
        <v>14</v>
      </c>
      <c r="S23" s="663">
        <f>F23</f>
        <v>100</v>
      </c>
      <c r="T23" s="662" t="s">
        <v>14</v>
      </c>
      <c r="U23" s="663">
        <f>H23</f>
        <v>100</v>
      </c>
      <c r="V23" s="662" t="s">
        <v>14</v>
      </c>
      <c r="W23" s="663">
        <f>J23</f>
        <v>100</v>
      </c>
      <c r="X23" s="1259"/>
      <c r="Y23" s="3595"/>
      <c r="Z23" s="1258" t="str">
        <f>Q23</f>
        <v>区域土地利用方向</v>
      </c>
      <c r="AA23" s="1258">
        <f t="shared" si="3"/>
        <v>1</v>
      </c>
      <c r="AB23" s="1258">
        <f t="shared" si="4"/>
        <v>1</v>
      </c>
      <c r="AC23" s="1258">
        <f t="shared" si="5"/>
        <v>1</v>
      </c>
    </row>
    <row r="24" spans="1:29" ht="15">
      <c r="A24" s="348"/>
      <c r="B24" s="395"/>
      <c r="C24" s="540" t="s">
        <v>3628</v>
      </c>
      <c r="D24" s="387"/>
      <c r="E24" s="540" t="s">
        <v>3628</v>
      </c>
      <c r="F24" s="387"/>
      <c r="G24" s="540" t="s">
        <v>3628</v>
      </c>
      <c r="H24" s="387"/>
      <c r="I24" s="540" t="s">
        <v>3628</v>
      </c>
      <c r="J24" s="387"/>
      <c r="K24" s="693"/>
      <c r="L24" s="2485"/>
      <c r="M24" s="2480"/>
      <c r="N24" s="2480"/>
      <c r="O24" s="2535"/>
      <c r="P24" s="3595"/>
      <c r="Q24" s="1257"/>
      <c r="R24" s="662"/>
      <c r="S24" s="663"/>
      <c r="T24" s="662"/>
      <c r="U24" s="663"/>
      <c r="V24" s="662"/>
      <c r="W24" s="663"/>
      <c r="X24" s="1259"/>
      <c r="Y24" s="3595"/>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97</v>
      </c>
      <c r="I25" s="393"/>
      <c r="J25" s="389">
        <f>SUMIF(97:97,I26,98:98)-SUMIF(97:97,C26,98:98)+100</f>
        <v>97</v>
      </c>
      <c r="K25" s="588">
        <v>3</v>
      </c>
      <c r="L25" s="2485"/>
      <c r="M25" s="2480"/>
      <c r="N25" s="2480"/>
      <c r="O25" s="2535"/>
      <c r="P25" s="3595"/>
      <c r="Q25" s="1257" t="str">
        <f t="shared" si="8"/>
        <v>自然及人文环境状况</v>
      </c>
      <c r="R25" s="662" t="s">
        <v>14</v>
      </c>
      <c r="S25" s="663">
        <f>F25</f>
        <v>100</v>
      </c>
      <c r="T25" s="662" t="s">
        <v>14</v>
      </c>
      <c r="U25" s="663">
        <f>H25</f>
        <v>97</v>
      </c>
      <c r="V25" s="662" t="s">
        <v>14</v>
      </c>
      <c r="W25" s="663">
        <f>J25</f>
        <v>97</v>
      </c>
      <c r="X25" s="1259"/>
      <c r="Y25" s="3595"/>
      <c r="Z25" s="1258" t="str">
        <f>Q25</f>
        <v>自然及人文环境状况</v>
      </c>
      <c r="AA25" s="1258">
        <f t="shared" si="3"/>
        <v>1</v>
      </c>
      <c r="AB25" s="1258">
        <f t="shared" si="4"/>
        <v>1.0309278350515463</v>
      </c>
      <c r="AC25" s="1258">
        <f t="shared" si="5"/>
        <v>1.0309278350515463</v>
      </c>
    </row>
    <row r="26" spans="1:29" ht="15">
      <c r="A26" s="348"/>
      <c r="B26" s="395"/>
      <c r="C26" s="386" t="s">
        <v>3628</v>
      </c>
      <c r="D26" s="387"/>
      <c r="E26" s="1752" t="s">
        <v>3628</v>
      </c>
      <c r="F26" s="387"/>
      <c r="G26" s="1752" t="s">
        <v>3627</v>
      </c>
      <c r="H26" s="387"/>
      <c r="I26" s="1752" t="s">
        <v>3627</v>
      </c>
      <c r="J26" s="387"/>
      <c r="K26" s="587"/>
      <c r="L26" s="2485"/>
      <c r="M26" s="2480"/>
      <c r="N26" s="2480"/>
      <c r="O26" s="2535"/>
      <c r="P26" s="3595"/>
      <c r="Q26" s="1257"/>
      <c r="R26" s="662"/>
      <c r="S26" s="663"/>
      <c r="T26" s="662"/>
      <c r="U26" s="663"/>
      <c r="V26" s="662"/>
      <c r="W26" s="663"/>
      <c r="X26" s="1259"/>
      <c r="Y26" s="3595"/>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97</v>
      </c>
      <c r="I27" s="393"/>
      <c r="J27" s="389">
        <f>SUMIF(99:99,I28,100:100)-SUMIF(99:99,C28,100:100)+100</f>
        <v>97</v>
      </c>
      <c r="K27" s="588">
        <v>3</v>
      </c>
      <c r="L27" s="2481"/>
      <c r="M27" s="2432"/>
      <c r="N27" s="2432"/>
      <c r="O27" s="2533"/>
      <c r="P27" s="3595"/>
      <c r="Q27" s="528" t="str">
        <f t="shared" si="8"/>
        <v>公共配套设施</v>
      </c>
      <c r="R27" s="659" t="s">
        <v>14</v>
      </c>
      <c r="S27" s="660">
        <f>F27</f>
        <v>100</v>
      </c>
      <c r="T27" s="659" t="s">
        <v>14</v>
      </c>
      <c r="U27" s="660">
        <f>H27</f>
        <v>97</v>
      </c>
      <c r="V27" s="659" t="s">
        <v>14</v>
      </c>
      <c r="W27" s="660">
        <f>J27</f>
        <v>97</v>
      </c>
      <c r="X27" s="661"/>
      <c r="Y27" s="3595"/>
      <c r="Z27" s="50" t="str">
        <f>Q27</f>
        <v>公共配套设施</v>
      </c>
      <c r="AA27" s="1258">
        <f>D27/F27</f>
        <v>1</v>
      </c>
      <c r="AB27" s="1258">
        <f>D27/H27</f>
        <v>1.0309278350515463</v>
      </c>
      <c r="AC27" s="1258">
        <f>D27/J27</f>
        <v>1.0309278350515463</v>
      </c>
    </row>
    <row r="28" spans="1:29" s="102" customFormat="1" ht="15">
      <c r="A28" s="441"/>
      <c r="B28" s="395"/>
      <c r="C28" s="1818" t="s">
        <v>3627</v>
      </c>
      <c r="D28" s="387"/>
      <c r="E28" s="1818" t="s">
        <v>3627</v>
      </c>
      <c r="F28" s="387"/>
      <c r="G28" s="1752" t="s">
        <v>4452</v>
      </c>
      <c r="H28" s="387"/>
      <c r="I28" s="386" t="s">
        <v>4452</v>
      </c>
      <c r="J28" s="387"/>
      <c r="K28" s="587"/>
      <c r="L28" s="2481"/>
      <c r="M28" s="2432"/>
      <c r="N28" s="2432"/>
      <c r="O28" s="2533"/>
      <c r="P28" s="3595"/>
      <c r="Q28" s="528"/>
      <c r="R28" s="659"/>
      <c r="S28" s="660"/>
      <c r="T28" s="659"/>
      <c r="U28" s="660"/>
      <c r="V28" s="659"/>
      <c r="W28" s="660"/>
      <c r="X28" s="661"/>
      <c r="Y28" s="3595"/>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595"/>
      <c r="Q29" s="528" t="str">
        <f t="shared" ref="Q29" si="9">B29</f>
        <v>基础设施水平</v>
      </c>
      <c r="R29" s="659" t="s">
        <v>14</v>
      </c>
      <c r="S29" s="660">
        <f>F29</f>
        <v>100</v>
      </c>
      <c r="T29" s="659" t="s">
        <v>14</v>
      </c>
      <c r="U29" s="660">
        <f>H29</f>
        <v>100</v>
      </c>
      <c r="V29" s="659" t="s">
        <v>14</v>
      </c>
      <c r="W29" s="660">
        <f>J29</f>
        <v>100</v>
      </c>
      <c r="X29" s="661"/>
      <c r="Y29" s="3595"/>
      <c r="Z29" s="50" t="str">
        <f>Q29</f>
        <v>基础设施水平</v>
      </c>
      <c r="AA29" s="1258">
        <f>D29/F29</f>
        <v>1</v>
      </c>
      <c r="AB29" s="1258">
        <f>D29/H29</f>
        <v>1</v>
      </c>
      <c r="AC29" s="1258">
        <f>D29/J29</f>
        <v>1</v>
      </c>
    </row>
    <row r="30" spans="1:29" s="102" customFormat="1" ht="15.75" thickBot="1">
      <c r="A30" s="441"/>
      <c r="B30" s="395"/>
      <c r="C30" s="1818" t="s">
        <v>3629</v>
      </c>
      <c r="D30" s="387"/>
      <c r="E30" s="1818" t="s">
        <v>3629</v>
      </c>
      <c r="F30" s="387"/>
      <c r="G30" s="1818" t="s">
        <v>3629</v>
      </c>
      <c r="H30" s="387"/>
      <c r="I30" s="1818" t="s">
        <v>3629</v>
      </c>
      <c r="J30" s="387"/>
      <c r="K30" s="587"/>
      <c r="L30" s="2481"/>
      <c r="M30" s="2432"/>
      <c r="N30" s="2432"/>
      <c r="O30" s="2533"/>
      <c r="P30" s="3595"/>
      <c r="Q30" s="528"/>
      <c r="R30" s="659"/>
      <c r="S30" s="660"/>
      <c r="T30" s="659"/>
      <c r="U30" s="660"/>
      <c r="V30" s="659"/>
      <c r="W30" s="660"/>
      <c r="X30" s="661"/>
      <c r="Y30" s="3595"/>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595"/>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595"/>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595"/>
      <c r="Q32" s="1257" t="str">
        <f t="shared" si="8"/>
        <v>毗邻道路的类型与等级</v>
      </c>
      <c r="R32" s="662" t="s">
        <v>14</v>
      </c>
      <c r="S32" s="663">
        <f t="shared" si="10"/>
        <v>100</v>
      </c>
      <c r="T32" s="662" t="s">
        <v>14</v>
      </c>
      <c r="U32" s="663">
        <f t="shared" si="11"/>
        <v>100</v>
      </c>
      <c r="V32" s="662" t="s">
        <v>14</v>
      </c>
      <c r="W32" s="663">
        <f t="shared" si="12"/>
        <v>100</v>
      </c>
      <c r="X32" s="1259"/>
      <c r="Y32" s="3595"/>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595"/>
      <c r="Q33" s="1257"/>
      <c r="R33" s="662"/>
      <c r="S33" s="663"/>
      <c r="T33" s="662"/>
      <c r="U33" s="663"/>
      <c r="V33" s="662"/>
      <c r="W33" s="663"/>
      <c r="X33" s="1259"/>
      <c r="Y33" s="3595"/>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595"/>
      <c r="Q34" s="1257" t="str">
        <f t="shared" si="8"/>
        <v>土地级别</v>
      </c>
      <c r="R34" s="662" t="s">
        <v>14</v>
      </c>
      <c r="S34" s="663">
        <f t="shared" si="10"/>
        <v>100</v>
      </c>
      <c r="T34" s="662" t="s">
        <v>14</v>
      </c>
      <c r="U34" s="663">
        <f t="shared" si="11"/>
        <v>100</v>
      </c>
      <c r="V34" s="662" t="s">
        <v>14</v>
      </c>
      <c r="W34" s="663">
        <f t="shared" si="12"/>
        <v>100</v>
      </c>
      <c r="X34" s="1259"/>
      <c r="Y34" s="3595"/>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595"/>
      <c r="Q35" s="1257">
        <f t="shared" si="8"/>
        <v>111</v>
      </c>
      <c r="R35" s="662" t="s">
        <v>14</v>
      </c>
      <c r="S35" s="663">
        <f t="shared" si="10"/>
        <v>100</v>
      </c>
      <c r="T35" s="662" t="s">
        <v>14</v>
      </c>
      <c r="U35" s="663">
        <f t="shared" si="11"/>
        <v>100</v>
      </c>
      <c r="V35" s="662" t="s">
        <v>14</v>
      </c>
      <c r="W35" s="663">
        <f t="shared" si="12"/>
        <v>100</v>
      </c>
      <c r="X35" s="1259"/>
      <c r="Y35" s="3595"/>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596" t="s">
        <v>1695</v>
      </c>
      <c r="Q36" s="1257">
        <f t="shared" si="8"/>
        <v>111</v>
      </c>
      <c r="R36" s="662" t="s">
        <v>14</v>
      </c>
      <c r="S36" s="663">
        <f t="shared" si="10"/>
        <v>100</v>
      </c>
      <c r="T36" s="662" t="s">
        <v>14</v>
      </c>
      <c r="U36" s="663">
        <f t="shared" si="11"/>
        <v>100</v>
      </c>
      <c r="V36" s="662" t="s">
        <v>14</v>
      </c>
      <c r="W36" s="663">
        <f t="shared" si="12"/>
        <v>100</v>
      </c>
      <c r="X36" s="1259"/>
      <c r="Y36" s="3597"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597"/>
      <c r="Q37" s="1257">
        <f t="shared" si="8"/>
        <v>111</v>
      </c>
      <c r="R37" s="664" t="s">
        <v>14</v>
      </c>
      <c r="S37" s="665">
        <f t="shared" si="10"/>
        <v>100</v>
      </c>
      <c r="T37" s="664" t="s">
        <v>14</v>
      </c>
      <c r="U37" s="665">
        <f t="shared" si="11"/>
        <v>100</v>
      </c>
      <c r="V37" s="664" t="s">
        <v>14</v>
      </c>
      <c r="W37" s="665">
        <f t="shared" si="12"/>
        <v>100</v>
      </c>
      <c r="X37" s="666"/>
      <c r="Y37" s="3597"/>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土地成交案例!C2</f>
        <v>12997.77</v>
      </c>
      <c r="F38" s="405">
        <f>LOOKUP(E38,116:116,117:117)-LOOKUP(C38,116:116,117:117)+100</f>
        <v>100</v>
      </c>
      <c r="G38" s="594">
        <f>土地成交案例!C3</f>
        <v>30880.23</v>
      </c>
      <c r="H38" s="405">
        <f>LOOKUP(G38,116:116,117:117)-LOOKUP(C38,116:116,117:117)+100</f>
        <v>101</v>
      </c>
      <c r="I38" s="460">
        <f>土地成交案例!C7</f>
        <v>9953.99</v>
      </c>
      <c r="J38" s="405">
        <f>LOOKUP(I38,116:116,117:117)-LOOKUP(C38,116:116,117:117)+100</f>
        <v>100</v>
      </c>
      <c r="K38" s="537"/>
      <c r="L38" s="2485"/>
      <c r="M38" s="2480"/>
      <c r="N38" s="2480"/>
      <c r="O38" s="2535"/>
      <c r="P38" s="3597"/>
      <c r="Q38" s="1257" t="str">
        <f>B38</f>
        <v>宗地面积</v>
      </c>
      <c r="R38" s="662" t="s">
        <v>14</v>
      </c>
      <c r="S38" s="663">
        <f t="shared" si="10"/>
        <v>100</v>
      </c>
      <c r="T38" s="662" t="s">
        <v>14</v>
      </c>
      <c r="U38" s="663">
        <f t="shared" si="11"/>
        <v>101</v>
      </c>
      <c r="V38" s="662" t="s">
        <v>14</v>
      </c>
      <c r="W38" s="663">
        <f t="shared" si="12"/>
        <v>100</v>
      </c>
      <c r="X38" s="1259"/>
      <c r="Y38" s="3597"/>
      <c r="Z38" s="1258" t="str">
        <f t="shared" si="13"/>
        <v>宗地面积</v>
      </c>
      <c r="AA38" s="1258">
        <f t="shared" si="3"/>
        <v>1</v>
      </c>
      <c r="AB38" s="1258">
        <f t="shared" si="4"/>
        <v>0.99009900990099009</v>
      </c>
      <c r="AC38" s="1258">
        <f t="shared" si="5"/>
        <v>1</v>
      </c>
    </row>
    <row r="39" spans="1:29" ht="15">
      <c r="A39" s="409"/>
      <c r="B39" s="364" t="s">
        <v>1874</v>
      </c>
      <c r="C39" s="1754" t="s">
        <v>3720</v>
      </c>
      <c r="D39" s="374">
        <v>100</v>
      </c>
      <c r="E39" s="1754" t="s">
        <v>3720</v>
      </c>
      <c r="F39" s="374">
        <f>SUMIF(118:118,E39,119:119)-SUMIF(118:118,C39,119:119)+100</f>
        <v>100</v>
      </c>
      <c r="G39" s="1754" t="s">
        <v>3720</v>
      </c>
      <c r="H39" s="374">
        <f>SUMIF(118:118,G39,119:119)-SUMIF(118:118,C39,119:119)+100</f>
        <v>100</v>
      </c>
      <c r="I39" s="1754" t="s">
        <v>3720</v>
      </c>
      <c r="J39" s="374">
        <f>SUMIF(118:118,I39,119:119)-SUMIF(118:118,C39,119:119)+100</f>
        <v>100</v>
      </c>
      <c r="K39" s="536">
        <v>1</v>
      </c>
      <c r="L39" s="2485"/>
      <c r="M39" s="2480"/>
      <c r="N39" s="2480"/>
      <c r="O39" s="2535"/>
      <c r="P39" s="3597"/>
      <c r="Q39" s="1257" t="str">
        <f t="shared" ref="Q39:Q45" si="14">B39</f>
        <v>宗地形状</v>
      </c>
      <c r="R39" s="662" t="s">
        <v>14</v>
      </c>
      <c r="S39" s="663">
        <f t="shared" si="10"/>
        <v>100</v>
      </c>
      <c r="T39" s="662" t="s">
        <v>14</v>
      </c>
      <c r="U39" s="663">
        <f t="shared" si="11"/>
        <v>100</v>
      </c>
      <c r="V39" s="662" t="s">
        <v>14</v>
      </c>
      <c r="W39" s="663">
        <f t="shared" si="12"/>
        <v>100</v>
      </c>
      <c r="X39" s="1259"/>
      <c r="Y39" s="3597"/>
      <c r="Z39" s="1258" t="str">
        <f t="shared" si="13"/>
        <v>宗地形状</v>
      </c>
      <c r="AA39" s="1258">
        <f t="shared" si="3"/>
        <v>1</v>
      </c>
      <c r="AB39" s="1258">
        <f t="shared" si="4"/>
        <v>1</v>
      </c>
      <c r="AC39" s="1258">
        <f t="shared" si="5"/>
        <v>1</v>
      </c>
    </row>
    <row r="40" spans="1:29" ht="15">
      <c r="A40" s="409"/>
      <c r="B40" s="364" t="s">
        <v>1875</v>
      </c>
      <c r="C40" s="1754" t="s">
        <v>3722</v>
      </c>
      <c r="D40" s="374">
        <v>100</v>
      </c>
      <c r="E40" s="1754" t="s">
        <v>3722</v>
      </c>
      <c r="F40" s="374">
        <f>SUMIF(120:120,E40,121:121)-SUMIF(120:120,C40,121:121)+100</f>
        <v>100</v>
      </c>
      <c r="G40" s="1754" t="s">
        <v>3722</v>
      </c>
      <c r="H40" s="374">
        <f>SUMIF(120:120,G40,121:121)-SUMIF(120:120,C40,121:121)+100</f>
        <v>100</v>
      </c>
      <c r="I40" s="1754" t="s">
        <v>3722</v>
      </c>
      <c r="J40" s="374">
        <f>SUMIF(120:120,I40,121:121)-SUMIF(120:120,C40,121:121)+100</f>
        <v>100</v>
      </c>
      <c r="K40" s="536"/>
      <c r="L40" s="2485"/>
      <c r="M40" s="2480"/>
      <c r="N40" s="2480"/>
      <c r="O40" s="2535"/>
      <c r="P40" s="3597"/>
      <c r="Q40" s="1257" t="str">
        <f t="shared" si="14"/>
        <v>临街宽度及深度</v>
      </c>
      <c r="R40" s="662" t="s">
        <v>14</v>
      </c>
      <c r="S40" s="663">
        <f t="shared" si="10"/>
        <v>100</v>
      </c>
      <c r="T40" s="662" t="s">
        <v>14</v>
      </c>
      <c r="U40" s="663">
        <f t="shared" si="11"/>
        <v>100</v>
      </c>
      <c r="V40" s="662" t="s">
        <v>14</v>
      </c>
      <c r="W40" s="663">
        <f t="shared" si="12"/>
        <v>100</v>
      </c>
      <c r="X40" s="1259"/>
      <c r="Y40" s="3597"/>
      <c r="Z40" s="1258" t="str">
        <f t="shared" si="13"/>
        <v>临街宽度及深度</v>
      </c>
      <c r="AA40" s="1258">
        <f t="shared" si="3"/>
        <v>1</v>
      </c>
      <c r="AB40" s="1258">
        <f t="shared" si="4"/>
        <v>1</v>
      </c>
      <c r="AC40" s="1258">
        <f t="shared" si="5"/>
        <v>1</v>
      </c>
    </row>
    <row r="41" spans="1:29" s="102" customFormat="1" ht="15">
      <c r="A41" s="410"/>
      <c r="B41" s="364" t="s">
        <v>1876</v>
      </c>
      <c r="C41" s="1820" t="s">
        <v>3721</v>
      </c>
      <c r="D41" s="119">
        <v>100</v>
      </c>
      <c r="E41" s="1820" t="s">
        <v>3721</v>
      </c>
      <c r="F41" s="374">
        <f>SUMIF(122:122,E41,123:123)-SUMIF(122:122,C41,123:123)+100</f>
        <v>100</v>
      </c>
      <c r="G41" s="1820" t="s">
        <v>3721</v>
      </c>
      <c r="H41" s="374">
        <f>SUMIF(122:122,G41,123:123)-SUMIF(122:122,C41,123:123)+100</f>
        <v>100</v>
      </c>
      <c r="I41" s="1820" t="s">
        <v>3721</v>
      </c>
      <c r="J41" s="374">
        <f>SUMIF(122:122,I41,123:123)-SUMIF(122:122,C41,123:123)+100</f>
        <v>100</v>
      </c>
      <c r="K41" s="536">
        <v>1</v>
      </c>
      <c r="L41" s="2481"/>
      <c r="M41" s="2432"/>
      <c r="N41" s="2432"/>
      <c r="O41" s="2533"/>
      <c r="P41" s="3597"/>
      <c r="Q41" s="1257" t="str">
        <f t="shared" si="14"/>
        <v>宗地开发程度</v>
      </c>
      <c r="R41" s="659" t="s">
        <v>14</v>
      </c>
      <c r="S41" s="660">
        <f t="shared" si="10"/>
        <v>100</v>
      </c>
      <c r="T41" s="659" t="s">
        <v>14</v>
      </c>
      <c r="U41" s="660">
        <f t="shared" si="11"/>
        <v>100</v>
      </c>
      <c r="V41" s="659" t="s">
        <v>14</v>
      </c>
      <c r="W41" s="660">
        <f t="shared" si="12"/>
        <v>100</v>
      </c>
      <c r="X41" s="661"/>
      <c r="Y41" s="3597"/>
      <c r="Z41" s="50" t="str">
        <f t="shared" si="13"/>
        <v>宗地开发程度</v>
      </c>
      <c r="AA41" s="50">
        <f t="shared" si="3"/>
        <v>1</v>
      </c>
      <c r="AB41" s="50">
        <f t="shared" si="4"/>
        <v>1</v>
      </c>
      <c r="AC41" s="50">
        <f t="shared" si="5"/>
        <v>1</v>
      </c>
    </row>
    <row r="42" spans="1:29" ht="15">
      <c r="A42" s="409"/>
      <c r="B42" s="364" t="s">
        <v>1877</v>
      </c>
      <c r="C42" s="1754" t="s">
        <v>3628</v>
      </c>
      <c r="D42" s="374">
        <v>100</v>
      </c>
      <c r="E42" s="1754" t="s">
        <v>3628</v>
      </c>
      <c r="F42" s="374">
        <f>SUMIF(124:124,E42,125:125)-SUMIF(124:124,C42,125:125)+100</f>
        <v>100</v>
      </c>
      <c r="G42" s="1754" t="s">
        <v>3628</v>
      </c>
      <c r="H42" s="374">
        <f>SUMIF(124:124,G42,125:125)-SUMIF(124:124,C42,125:125)+100</f>
        <v>100</v>
      </c>
      <c r="I42" s="1754" t="s">
        <v>3628</v>
      </c>
      <c r="J42" s="374">
        <f>SUMIF(124:124,I42,125:125)-SUMIF(124:124,C42,125:125)+100</f>
        <v>100</v>
      </c>
      <c r="K42" s="536">
        <v>1</v>
      </c>
      <c r="L42" s="2485"/>
      <c r="M42" s="2480"/>
      <c r="N42" s="2480"/>
      <c r="O42" s="2535"/>
      <c r="P42" s="3597" t="s">
        <v>1695</v>
      </c>
      <c r="Q42" s="1257" t="str">
        <f t="shared" si="14"/>
        <v>工程地质条件</v>
      </c>
      <c r="R42" s="662" t="s">
        <v>14</v>
      </c>
      <c r="S42" s="663">
        <f t="shared" si="10"/>
        <v>100</v>
      </c>
      <c r="T42" s="662" t="s">
        <v>14</v>
      </c>
      <c r="U42" s="663">
        <f t="shared" si="11"/>
        <v>100</v>
      </c>
      <c r="V42" s="662" t="s">
        <v>14</v>
      </c>
      <c r="W42" s="663">
        <f t="shared" si="12"/>
        <v>100</v>
      </c>
      <c r="X42" s="1259"/>
      <c r="Y42" s="3597"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597"/>
      <c r="Q43" s="1257">
        <f t="shared" si="14"/>
        <v>111</v>
      </c>
      <c r="R43" s="662" t="s">
        <v>14</v>
      </c>
      <c r="S43" s="663">
        <f t="shared" si="10"/>
        <v>100</v>
      </c>
      <c r="T43" s="662" t="s">
        <v>14</v>
      </c>
      <c r="U43" s="663">
        <f t="shared" si="11"/>
        <v>100</v>
      </c>
      <c r="V43" s="662" t="s">
        <v>14</v>
      </c>
      <c r="W43" s="663">
        <f t="shared" si="12"/>
        <v>100</v>
      </c>
      <c r="X43" s="1259"/>
      <c r="Y43" s="3597"/>
      <c r="Z43" s="1258">
        <f t="shared" si="13"/>
        <v>111</v>
      </c>
      <c r="AA43" s="1258">
        <f t="shared" si="3"/>
        <v>1</v>
      </c>
      <c r="AB43" s="1258">
        <f t="shared" si="4"/>
        <v>1</v>
      </c>
      <c r="AC43" s="1258">
        <f t="shared" si="5"/>
        <v>1</v>
      </c>
    </row>
    <row r="44" spans="1:29" ht="100.5" thickBot="1">
      <c r="A44" s="409"/>
      <c r="B44" s="1062">
        <v>111</v>
      </c>
      <c r="C44" s="589"/>
      <c r="D44" s="374">
        <v>100</v>
      </c>
      <c r="E44" s="589"/>
      <c r="F44" s="374">
        <f>SUMIF(128:128,E44,129:129)-SUMIF(128:128,C44,129:129)+100</f>
        <v>100</v>
      </c>
      <c r="G44" s="3223" t="s">
        <v>3727</v>
      </c>
      <c r="H44" s="374">
        <f>SUMIF(128:128,G44,129:129)-SUMIF(128:128,C44,129:129)+100</f>
        <v>100</v>
      </c>
      <c r="I44" s="3222" t="s">
        <v>3724</v>
      </c>
      <c r="J44" s="374">
        <f>SUMIF(128:128,I44,129:129)-SUMIF(128:128,C44,129:129)+100</f>
        <v>100</v>
      </c>
      <c r="K44" s="537"/>
      <c r="L44" s="2485"/>
      <c r="M44" s="2480"/>
      <c r="N44" s="2480"/>
      <c r="O44" s="2535"/>
      <c r="P44" s="3597"/>
      <c r="Q44" s="1257">
        <f t="shared" si="14"/>
        <v>111</v>
      </c>
      <c r="R44" s="662" t="s">
        <v>14</v>
      </c>
      <c r="S44" s="663">
        <f t="shared" si="10"/>
        <v>100</v>
      </c>
      <c r="T44" s="662" t="s">
        <v>14</v>
      </c>
      <c r="U44" s="663">
        <f t="shared" si="11"/>
        <v>100</v>
      </c>
      <c r="V44" s="662" t="s">
        <v>14</v>
      </c>
      <c r="W44" s="663">
        <f t="shared" si="12"/>
        <v>100</v>
      </c>
      <c r="X44" s="1259"/>
      <c r="Y44" s="3597"/>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597"/>
      <c r="Q45" s="1257">
        <f t="shared" si="14"/>
        <v>111</v>
      </c>
      <c r="R45" s="664" t="s">
        <v>14</v>
      </c>
      <c r="S45" s="665">
        <f t="shared" si="10"/>
        <v>100</v>
      </c>
      <c r="T45" s="664" t="s">
        <v>14</v>
      </c>
      <c r="U45" s="665">
        <f t="shared" si="11"/>
        <v>100</v>
      </c>
      <c r="V45" s="664" t="s">
        <v>14</v>
      </c>
      <c r="W45" s="665">
        <f t="shared" si="12"/>
        <v>100</v>
      </c>
      <c r="X45" s="666"/>
      <c r="Y45" s="3597"/>
      <c r="Z45" s="667">
        <f t="shared" si="13"/>
        <v>111</v>
      </c>
      <c r="AA45" s="1258">
        <f t="shared" si="3"/>
        <v>1</v>
      </c>
      <c r="AB45" s="1258">
        <f t="shared" si="4"/>
        <v>1</v>
      </c>
      <c r="AC45" s="1258">
        <f t="shared" si="5"/>
        <v>1</v>
      </c>
    </row>
    <row r="46" spans="1:29" ht="15">
      <c r="A46" s="414" t="s">
        <v>1843</v>
      </c>
      <c r="B46" s="1822" t="s">
        <v>1878</v>
      </c>
      <c r="C46" s="597" t="s">
        <v>0</v>
      </c>
      <c r="D46" s="416"/>
      <c r="E46" s="417">
        <f>土地成交案例!Q2</f>
        <v>11829</v>
      </c>
      <c r="F46" s="418"/>
      <c r="G46" s="419">
        <f>土地成交案例!Q3</f>
        <v>8815</v>
      </c>
      <c r="H46" s="420"/>
      <c r="I46" s="417">
        <f>土地成交案例!Q7</f>
        <v>9042</v>
      </c>
      <c r="J46" s="420"/>
      <c r="K46" s="669"/>
      <c r="L46" s="2487"/>
      <c r="M46" s="2480"/>
      <c r="N46" s="2480"/>
      <c r="O46" s="2480"/>
      <c r="P46" s="3593" t="str">
        <f>A46</f>
        <v>成交单价</v>
      </c>
      <c r="Q46" s="3593"/>
      <c r="R46" s="3598">
        <f>E46</f>
        <v>11829</v>
      </c>
      <c r="S46" s="3598"/>
      <c r="T46" s="3598">
        <f>G46</f>
        <v>8815</v>
      </c>
      <c r="U46" s="3598"/>
      <c r="V46" s="3598">
        <f>I46</f>
        <v>9042</v>
      </c>
      <c r="W46" s="3598"/>
      <c r="X46" s="385"/>
      <c r="Y46" s="668"/>
      <c r="Z46" s="385"/>
      <c r="AA46" s="385"/>
      <c r="AB46" s="385"/>
      <c r="AC46" s="385"/>
    </row>
    <row r="47" spans="1:29" ht="15.75" thickBot="1">
      <c r="A47" s="421" t="s">
        <v>1792</v>
      </c>
      <c r="B47" s="598"/>
      <c r="C47" s="424">
        <f>R48</f>
        <v>10396</v>
      </c>
      <c r="D47" s="2133" t="s">
        <v>2137</v>
      </c>
      <c r="E47" s="424">
        <f>R47</f>
        <v>11712</v>
      </c>
      <c r="F47" s="2134"/>
      <c r="G47" s="423">
        <f>T47</f>
        <v>9468</v>
      </c>
      <c r="H47" s="2134"/>
      <c r="I47" s="424">
        <f>V47</f>
        <v>10009</v>
      </c>
      <c r="J47" s="2134"/>
      <c r="K47" s="2136">
        <f>F47+H47+J47</f>
        <v>0</v>
      </c>
      <c r="L47" s="2487"/>
      <c r="M47" s="2480"/>
      <c r="N47" s="2480"/>
      <c r="O47" s="2480"/>
      <c r="P47" s="3593" t="str">
        <f>A47</f>
        <v>比较价值（元/平方米）</v>
      </c>
      <c r="Q47" s="3593"/>
      <c r="R47" s="3586">
        <f>ROUND(PRODUCT(R46,AA7:AA45),0)</f>
        <v>11712</v>
      </c>
      <c r="S47" s="3586"/>
      <c r="T47" s="3586">
        <f>ROUND(PRODUCT(T46,AB7:AB45),0)</f>
        <v>9468</v>
      </c>
      <c r="U47" s="3586"/>
      <c r="V47" s="3586">
        <f>ROUND(PRODUCT(V46,AC7:AC45),0)</f>
        <v>10009</v>
      </c>
      <c r="W47" s="3586"/>
      <c r="X47" s="385"/>
      <c r="Y47" s="385"/>
      <c r="Z47" s="385"/>
      <c r="AA47" s="385"/>
      <c r="AB47" s="385"/>
      <c r="AC47" s="385"/>
    </row>
    <row r="48" spans="1:29" ht="15.75" thickBot="1">
      <c r="A48" s="425" t="s">
        <v>1879</v>
      </c>
      <c r="B48" s="426"/>
      <c r="C48" s="427">
        <f>R48</f>
        <v>10396</v>
      </c>
      <c r="D48" s="427"/>
      <c r="E48" s="427"/>
      <c r="F48" s="427"/>
      <c r="G48" s="427"/>
      <c r="H48" s="427"/>
      <c r="I48" s="427"/>
      <c r="J48" s="427"/>
      <c r="K48" s="670"/>
      <c r="L48" s="2487"/>
      <c r="M48" s="2480"/>
      <c r="N48" s="2480"/>
      <c r="O48" s="2480"/>
      <c r="P48" s="3587" t="str">
        <f>A48</f>
        <v>估价对象XX用房的比较价值（楼面单价，元/平方米）</v>
      </c>
      <c r="Q48" s="3588"/>
      <c r="R48" s="3589">
        <f>ROUND(IF(D47="简单平均",AVERAGE(R47:W47),R47*F47+T47*H47+V47*J47),0)</f>
        <v>10396</v>
      </c>
      <c r="S48" s="3589"/>
      <c r="T48" s="3589"/>
      <c r="U48" s="3589"/>
      <c r="V48" s="3589"/>
      <c r="W48" s="3589"/>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9.9897540983606703E-3</v>
      </c>
      <c r="F51" s="433" t="str">
        <f>IF(OR(E51&gt;=0.3,E51&lt;=-0.3),"超过30%","")</f>
        <v/>
      </c>
      <c r="G51" s="432">
        <f>IF(G46&lt;G47,G47/G46-1,G46/G47-1)</f>
        <v>7.4078275666477511E-2</v>
      </c>
      <c r="H51" s="433" t="str">
        <f>IF(OR(G51&gt;=0.3,G51&lt;=-0.3),"超过30%","")</f>
        <v/>
      </c>
      <c r="I51" s="432">
        <f>IF(I46&lt;I47,I47/I46-1,I46/I47-1)</f>
        <v>0.10694536606945371</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0.23700887198986065</v>
      </c>
      <c r="F52" s="433" t="str">
        <f>IF(OR(E52&gt;=0.2,E52&lt;=-0.2),"超过20%","")</f>
        <v>超过20%</v>
      </c>
      <c r="G52" s="432">
        <f>IF(G47&lt;I47,I47/G47-1,G47/I47-1)</f>
        <v>5.7139839459231068E-2</v>
      </c>
      <c r="H52" s="433" t="str">
        <f>IF(OR(G52&gt;=0.2,G52&lt;=-0.2),"超过20%","")</f>
        <v/>
      </c>
      <c r="I52" s="432">
        <f>IF(I47&lt;E47,E47/I47-1,I47/E47-1)</f>
        <v>0.17014686781896304</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0.3419171866137265</v>
      </c>
      <c r="F53" s="433" t="str">
        <f>IF(OR(E53&gt;=0.3,E53&lt;=-0.3),"超过30%","")</f>
        <v>超过30%</v>
      </c>
      <c r="G53" s="432">
        <f>IF(G46&lt;I46,I46/G46-1,G46/I46-1)</f>
        <v>2.5751559841179716E-2</v>
      </c>
      <c r="H53" s="433" t="str">
        <f>IF(OR(G53&gt;=0.3,G53&lt;=-0.3),"超过30%","")</f>
        <v/>
      </c>
      <c r="I53" s="432">
        <f>IF(I46&lt;E46,E46/I46-1,I46/E46-1)</f>
        <v>0.30822826808228276</v>
      </c>
      <c r="J53" s="433" t="str">
        <f>IF(OR(I53&gt;=0.3,I53&lt;=-0.3),"超过30%","")</f>
        <v>超过30%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590" t="s">
        <v>1886</v>
      </c>
      <c r="H55" s="3591"/>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10396</v>
      </c>
      <c r="C56" s="605">
        <v>1</v>
      </c>
      <c r="D56" s="885">
        <v>1</v>
      </c>
      <c r="E56" s="605">
        <f>'数据-汇总表'!E8+'数据-汇总表'!E9</f>
        <v>25142.180000000011</v>
      </c>
      <c r="F56" s="828">
        <f t="shared" ref="F56:F64" si="15">ROUND(B56*E56/10000,0)</f>
        <v>26138</v>
      </c>
      <c r="G56" s="3592"/>
      <c r="H56" s="3593"/>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1300</v>
      </c>
      <c r="C57" s="163">
        <f t="shared" ref="C57:C64" si="16">IF($C$55="北京市系数",I57,J57)</f>
        <v>0.5</v>
      </c>
      <c r="D57" s="886">
        <v>0.25</v>
      </c>
      <c r="E57" s="3745">
        <f>'数据-汇总表'!G22</f>
        <v>86.07</v>
      </c>
      <c r="F57" s="828">
        <f t="shared" si="15"/>
        <v>11</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520</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520</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520</v>
      </c>
      <c r="C61" s="163">
        <f t="shared" si="16"/>
        <v>0.2</v>
      </c>
      <c r="D61" s="886">
        <v>0.25</v>
      </c>
      <c r="E61" s="209">
        <f>'数据-汇总表'!E12</f>
        <v>2354.3700000000003</v>
      </c>
      <c r="F61" s="828">
        <f t="shared" si="15"/>
        <v>122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260</v>
      </c>
      <c r="C62" s="163">
        <f t="shared" si="16"/>
        <v>0.1</v>
      </c>
      <c r="D62" s="886">
        <v>0.25</v>
      </c>
      <c r="E62" s="209">
        <f>'数据-汇总表'!E13</f>
        <v>10240.050000000028</v>
      </c>
      <c r="F62" s="828">
        <f t="shared" si="15"/>
        <v>266</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260</v>
      </c>
      <c r="C63" s="163">
        <f t="shared" si="16"/>
        <v>0.1</v>
      </c>
      <c r="D63" s="886">
        <v>0.25</v>
      </c>
      <c r="E63" s="3746">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37822.670000000042</v>
      </c>
      <c r="F65" s="612">
        <f>IF(B46="楼面地价",SUM(F56:F64),ROUND(C48*E65/10000,0))</f>
        <v>26537</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98</v>
      </c>
      <c r="E80" s="473">
        <f t="shared" si="21"/>
        <v>96</v>
      </c>
      <c r="F80" s="473">
        <f t="shared" si="21"/>
        <v>94</v>
      </c>
      <c r="G80" s="473">
        <f t="shared" si="21"/>
        <v>92</v>
      </c>
      <c r="H80" s="473">
        <f t="shared" si="21"/>
        <v>90</v>
      </c>
      <c r="I80" s="473">
        <f t="shared" si="21"/>
        <v>88</v>
      </c>
      <c r="J80" s="473">
        <f t="shared" si="21"/>
        <v>86</v>
      </c>
      <c r="K80" s="473">
        <f t="shared" si="21"/>
        <v>84</v>
      </c>
      <c r="L80" s="473">
        <f t="shared" si="21"/>
        <v>82</v>
      </c>
      <c r="M80" s="473">
        <f t="shared" si="21"/>
        <v>80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4448</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20">
        <v>0</v>
      </c>
      <c r="D85" s="3220">
        <v>0.05</v>
      </c>
      <c r="E85" s="3220">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3714</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3723</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1" t="s">
        <v>3520</v>
      </c>
      <c r="D122" s="3221" t="s">
        <v>3715</v>
      </c>
      <c r="E122" s="3221" t="s">
        <v>3716</v>
      </c>
      <c r="F122" s="3221" t="s">
        <v>3717</v>
      </c>
      <c r="G122" s="3221" t="s">
        <v>3718</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3719</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30" t="s">
        <v>694</v>
      </c>
      <c r="C6" s="1006">
        <f ca="1">ROUND(F6*F8*F7*(1-F9)/10000,0)</f>
        <v>0</v>
      </c>
      <c r="D6" s="147" t="s">
        <v>2108</v>
      </c>
      <c r="E6" s="294" t="s">
        <v>696</v>
      </c>
      <c r="F6" s="295">
        <f ca="1">INDIRECT("'数据-取费表'!u"&amp;$G$1)</f>
        <v>0</v>
      </c>
      <c r="G6" s="1286"/>
      <c r="H6" s="1001" t="s">
        <v>398</v>
      </c>
      <c r="I6" s="3630" t="s">
        <v>694</v>
      </c>
      <c r="J6" s="293">
        <f ca="1">ROUND(M6*M8*M7*(1-M9)/10000,0)</f>
        <v>0</v>
      </c>
      <c r="K6" s="147" t="s">
        <v>2107</v>
      </c>
      <c r="L6" s="294" t="s">
        <v>696</v>
      </c>
      <c r="M6" s="295">
        <f ca="1">INDIRECT("'数据-取费表'!z"&amp;$G$1)</f>
        <v>0</v>
      </c>
    </row>
    <row r="7" spans="1:37" ht="18" customHeight="1">
      <c r="A7" s="1005"/>
      <c r="B7" s="3631"/>
      <c r="C7" s="1007"/>
      <c r="D7" s="299"/>
      <c r="E7" s="1008" t="s">
        <v>697</v>
      </c>
      <c r="F7" s="295">
        <f ca="1">IF(INDIRECT("'数据-取费表'!ah"&amp;$G$1)="",INDIRECT("'数据-取费表'!k"&amp;$G$1),INDIRECT("'数据-取费表'!ah"&amp;$G$1))</f>
        <v>0</v>
      </c>
      <c r="G7" s="1286"/>
      <c r="H7" s="296"/>
      <c r="I7" s="3631"/>
      <c r="J7" s="298"/>
      <c r="K7" s="299"/>
      <c r="L7" s="294" t="s">
        <v>697</v>
      </c>
      <c r="M7" s="295">
        <f ca="1">F7</f>
        <v>0</v>
      </c>
    </row>
    <row r="8" spans="1:37" ht="18" customHeight="1">
      <c r="A8" s="296"/>
      <c r="B8" s="3631"/>
      <c r="C8" s="298"/>
      <c r="D8" s="299"/>
      <c r="E8" s="294" t="s">
        <v>698</v>
      </c>
      <c r="F8" s="295">
        <f ca="1">INDIRECT("'数据-取费表'!ai"&amp;$G$1)</f>
        <v>0</v>
      </c>
      <c r="G8" s="1286"/>
      <c r="H8" s="296"/>
      <c r="I8" s="3631"/>
      <c r="J8" s="298"/>
      <c r="K8" s="299"/>
      <c r="L8" s="294" t="s">
        <v>698</v>
      </c>
      <c r="M8" s="295">
        <f ca="1">INDIRECT("'数据-取费表'!ai"&amp;$G$1)</f>
        <v>0</v>
      </c>
    </row>
    <row r="9" spans="1:37" ht="18" customHeight="1">
      <c r="A9" s="296"/>
      <c r="B9" s="3632"/>
      <c r="C9" s="298"/>
      <c r="D9" s="299"/>
      <c r="E9" s="294" t="s">
        <v>699</v>
      </c>
      <c r="F9" s="304">
        <f ca="1">INDIRECT("'数据-取费表'!w"&amp;$G$1)</f>
        <v>0</v>
      </c>
      <c r="G9" s="1286"/>
      <c r="H9" s="296"/>
      <c r="I9" s="3632"/>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28" t="s">
        <v>837</v>
      </c>
      <c r="L53" s="3629"/>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30" t="s">
        <v>694</v>
      </c>
      <c r="C6" s="1006">
        <f ca="1">ROUND(F6*F8*F7*(1-F9),0)</f>
        <v>0</v>
      </c>
      <c r="D6" s="147" t="s">
        <v>2105</v>
      </c>
      <c r="E6" s="294" t="s">
        <v>696</v>
      </c>
      <c r="F6" s="295">
        <f ca="1">INDIRECT("'数据-取费表'!u"&amp;$G$1)</f>
        <v>0</v>
      </c>
      <c r="G6" s="1286"/>
      <c r="H6" s="1001" t="s">
        <v>398</v>
      </c>
      <c r="I6" s="3630" t="s">
        <v>694</v>
      </c>
      <c r="J6" s="293">
        <f ca="1">ROUND(M6*M8*M7*(1-M9),0)</f>
        <v>0</v>
      </c>
      <c r="K6" s="1278" t="s">
        <v>2106</v>
      </c>
      <c r="L6" s="294" t="s">
        <v>696</v>
      </c>
      <c r="M6" s="295">
        <f ca="1">INDIRECT("'数据-取费表'!z"&amp;$G$1)</f>
        <v>0</v>
      </c>
    </row>
    <row r="7" spans="1:37" ht="18" customHeight="1">
      <c r="A7" s="1005"/>
      <c r="B7" s="3631"/>
      <c r="C7" s="1007"/>
      <c r="D7" s="299"/>
      <c r="E7" s="1008" t="s">
        <v>697</v>
      </c>
      <c r="F7" s="295">
        <f ca="1">IF(INDIRECT("'数据-取费表'!ah"&amp;$G$1)="",INDIRECT("'数据-取费表'!k"&amp;$G$1),INDIRECT("'数据-取费表'!ah"&amp;$G$1))</f>
        <v>0</v>
      </c>
      <c r="G7" s="1286"/>
      <c r="H7" s="296"/>
      <c r="I7" s="3631"/>
      <c r="J7" s="298"/>
      <c r="K7" s="299"/>
      <c r="L7" s="294" t="s">
        <v>697</v>
      </c>
      <c r="M7" s="295">
        <f ca="1">F7</f>
        <v>0</v>
      </c>
    </row>
    <row r="8" spans="1:37" ht="18" customHeight="1">
      <c r="A8" s="296"/>
      <c r="B8" s="3631"/>
      <c r="C8" s="298"/>
      <c r="D8" s="299"/>
      <c r="E8" s="294" t="s">
        <v>698</v>
      </c>
      <c r="F8" s="295">
        <f ca="1">INDIRECT("'数据-取费表'!ai"&amp;$G$1)</f>
        <v>0</v>
      </c>
      <c r="G8" s="1286"/>
      <c r="H8" s="296"/>
      <c r="I8" s="3631"/>
      <c r="J8" s="298"/>
      <c r="K8" s="299"/>
      <c r="L8" s="294" t="s">
        <v>698</v>
      </c>
      <c r="M8" s="295">
        <f ca="1">INDIRECT("'数据-取费表'!ai"&amp;$G$1)</f>
        <v>0</v>
      </c>
    </row>
    <row r="9" spans="1:37" ht="18" customHeight="1">
      <c r="A9" s="296"/>
      <c r="B9" s="3632"/>
      <c r="C9" s="298"/>
      <c r="D9" s="299"/>
      <c r="E9" s="294" t="s">
        <v>699</v>
      </c>
      <c r="F9" s="304">
        <f ca="1">INDIRECT("'数据-取费表'!w"&amp;$G$1)</f>
        <v>0</v>
      </c>
      <c r="G9" s="1286"/>
      <c r="H9" s="296"/>
      <c r="I9" s="3632"/>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28" t="s">
        <v>837</v>
      </c>
      <c r="L53" s="3629"/>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39" t="s">
        <v>2307</v>
      </c>
      <c r="K2" s="3640"/>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41" t="s">
        <v>2317</v>
      </c>
      <c r="K3" s="3642"/>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41" t="s">
        <v>2319</v>
      </c>
      <c r="K4" s="3642"/>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47" t="s">
        <v>2323</v>
      </c>
      <c r="B6" s="3648"/>
      <c r="C6" s="3649"/>
      <c r="D6" s="2612"/>
      <c r="E6" s="2613"/>
      <c r="F6" s="2614"/>
      <c r="G6" s="2615"/>
      <c r="H6" s="2590"/>
      <c r="I6" s="2591"/>
      <c r="J6" s="3633">
        <v>1</v>
      </c>
      <c r="K6" s="3634"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33"/>
      <c r="K7" s="3635"/>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50" t="s">
        <v>2337</v>
      </c>
      <c r="C8" s="3651"/>
      <c r="D8" s="2631" t="s">
        <v>2338</v>
      </c>
      <c r="E8" s="2632" t="s">
        <v>2339</v>
      </c>
      <c r="F8" s="2633" t="s">
        <v>2340</v>
      </c>
      <c r="G8" s="2634"/>
      <c r="H8" s="2590"/>
      <c r="I8" s="2591"/>
      <c r="J8" s="3633"/>
      <c r="K8" s="3635"/>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50" t="s">
        <v>2343</v>
      </c>
      <c r="C9" s="3651"/>
      <c r="D9" s="2631">
        <f>ROUND(D6*E9,0)</f>
        <v>0</v>
      </c>
      <c r="E9" s="2635"/>
      <c r="F9" s="2636" t="s">
        <v>2344</v>
      </c>
      <c r="G9" s="2615"/>
      <c r="H9" s="2590"/>
      <c r="I9" s="2591"/>
      <c r="J9" s="3633"/>
      <c r="K9" s="3635"/>
      <c r="L9" s="2625" t="s">
        <v>2345</v>
      </c>
      <c r="M9" s="2626"/>
      <c r="N9" s="2602"/>
      <c r="O9" s="2627"/>
      <c r="P9" s="2627"/>
      <c r="Q9" s="2628">
        <v>365</v>
      </c>
      <c r="R9" s="2629">
        <f t="shared" si="0"/>
        <v>0</v>
      </c>
      <c r="S9" s="2583"/>
      <c r="T9" s="2583"/>
      <c r="U9" s="2583"/>
      <c r="V9" s="2591"/>
    </row>
    <row r="10" spans="1:22" s="2595" customFormat="1" ht="13.15" customHeight="1">
      <c r="A10" s="2630">
        <v>2</v>
      </c>
      <c r="B10" s="3650" t="s">
        <v>2346</v>
      </c>
      <c r="C10" s="3651"/>
      <c r="D10" s="2631">
        <f>ROUND(D6*E10,0)</f>
        <v>0</v>
      </c>
      <c r="E10" s="2635"/>
      <c r="F10" s="2636" t="s">
        <v>2347</v>
      </c>
      <c r="G10" s="2615"/>
      <c r="H10" s="2590"/>
      <c r="I10" s="2591"/>
      <c r="J10" s="3633"/>
      <c r="K10" s="3635"/>
      <c r="L10" s="2625" t="s">
        <v>2348</v>
      </c>
      <c r="M10" s="2626"/>
      <c r="N10" s="2602"/>
      <c r="O10" s="2627"/>
      <c r="P10" s="2627"/>
      <c r="Q10" s="2628">
        <v>365</v>
      </c>
      <c r="R10" s="2629">
        <f t="shared" si="0"/>
        <v>0</v>
      </c>
      <c r="S10" s="2583"/>
      <c r="T10" s="2583"/>
      <c r="U10" s="2583"/>
      <c r="V10" s="2591"/>
    </row>
    <row r="11" spans="1:22" s="2595" customFormat="1" ht="13.15" customHeight="1">
      <c r="A11" s="2630">
        <v>3</v>
      </c>
      <c r="B11" s="3650" t="s">
        <v>2349</v>
      </c>
      <c r="C11" s="3651"/>
      <c r="D11" s="2631">
        <f>D12+D14+D15+D16</f>
        <v>0</v>
      </c>
      <c r="E11" s="2637" t="e">
        <f>D11/D6</f>
        <v>#DIV/0!</v>
      </c>
      <c r="F11" s="2633"/>
      <c r="G11" s="2634"/>
      <c r="H11" s="2590"/>
      <c r="I11" s="2591"/>
      <c r="J11" s="3633"/>
      <c r="K11" s="3635"/>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43" t="s">
        <v>2352</v>
      </c>
      <c r="C12" s="3644"/>
      <c r="D12" s="2639">
        <f>ROUND(D13*1.2%*(1-30%),0)</f>
        <v>0</v>
      </c>
      <c r="E12" s="2640">
        <v>1.2E-2</v>
      </c>
      <c r="F12" s="2633" t="s">
        <v>2353</v>
      </c>
      <c r="G12" s="2634"/>
      <c r="H12" s="2590"/>
      <c r="I12" s="2591"/>
      <c r="J12" s="3633"/>
      <c r="K12" s="3635"/>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33"/>
      <c r="K13" s="3635"/>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43" t="s">
        <v>2358</v>
      </c>
      <c r="C14" s="3644"/>
      <c r="D14" s="2639">
        <f>ROUND(E14*B5/10000,0)</f>
        <v>0</v>
      </c>
      <c r="E14" s="2628"/>
      <c r="F14" s="2633" t="s">
        <v>2359</v>
      </c>
      <c r="G14" s="2634"/>
      <c r="H14" s="2590"/>
      <c r="I14" s="2591"/>
      <c r="J14" s="3633"/>
      <c r="K14" s="3636"/>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43" t="s">
        <v>2362</v>
      </c>
      <c r="C15" s="3644"/>
      <c r="D15" s="2639">
        <f>ROUND(D6*E15,0)</f>
        <v>0</v>
      </c>
      <c r="E15" s="2640">
        <v>5.5E-2</v>
      </c>
      <c r="F15" s="2633" t="s">
        <v>2363</v>
      </c>
      <c r="G15" s="2615"/>
      <c r="H15" s="2590"/>
      <c r="I15" s="2591"/>
      <c r="J15" s="3633">
        <v>2</v>
      </c>
      <c r="K15" s="3634"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43" t="s">
        <v>2371</v>
      </c>
      <c r="C16" s="3644"/>
      <c r="D16" s="2650">
        <f>D6*E16</f>
        <v>0</v>
      </c>
      <c r="E16" s="2651"/>
      <c r="F16" s="2636" t="s">
        <v>2372</v>
      </c>
      <c r="G16" s="2615"/>
      <c r="H16" s="2590"/>
      <c r="I16" s="2591"/>
      <c r="J16" s="3633"/>
      <c r="K16" s="3635"/>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45" t="s">
        <v>2374</v>
      </c>
      <c r="C17" s="3646"/>
      <c r="D17" s="2653">
        <f>ROUND(D6*E17,0)</f>
        <v>0</v>
      </c>
      <c r="E17" s="2654"/>
      <c r="F17" s="2655" t="s">
        <v>2375</v>
      </c>
      <c r="G17" s="2615"/>
      <c r="H17" s="2590"/>
      <c r="I17" s="2591"/>
      <c r="J17" s="3633"/>
      <c r="K17" s="3635"/>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33"/>
      <c r="K18" s="3635"/>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33"/>
      <c r="K19" s="3636"/>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33">
        <v>3</v>
      </c>
      <c r="K20" s="3634"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33"/>
      <c r="K21" s="3635"/>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33"/>
      <c r="K22" s="3635"/>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33"/>
      <c r="K23" s="3635"/>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33"/>
      <c r="K24" s="3636"/>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37">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38"/>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39" t="s">
        <v>2307</v>
      </c>
      <c r="K32" s="3640"/>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41" t="s">
        <v>2317</v>
      </c>
      <c r="K33" s="3642"/>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41" t="s">
        <v>2319</v>
      </c>
      <c r="K34" s="3642"/>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33">
        <v>1</v>
      </c>
      <c r="K36" s="3634"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33"/>
      <c r="K37" s="3635"/>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33"/>
      <c r="K38" s="3635"/>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33"/>
      <c r="K39" s="3635"/>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33"/>
      <c r="K40" s="3636"/>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37">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38"/>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52" t="s">
        <v>1653</v>
      </c>
      <c r="C5" s="3653"/>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05" t="s">
        <v>1774</v>
      </c>
      <c r="Q4" s="3606"/>
      <c r="R4" s="3611" t="s">
        <v>1770</v>
      </c>
      <c r="S4" s="3612"/>
      <c r="T4" s="3611" t="s">
        <v>1771</v>
      </c>
      <c r="U4" s="3612"/>
      <c r="V4" s="3598" t="s">
        <v>1772</v>
      </c>
      <c r="W4" s="3598"/>
      <c r="X4" s="1259"/>
      <c r="Y4" s="3611" t="s">
        <v>1774</v>
      </c>
      <c r="Z4" s="3612"/>
      <c r="AA4" s="3599" t="s">
        <v>1770</v>
      </c>
      <c r="AB4" s="3598" t="s">
        <v>1771</v>
      </c>
      <c r="AC4" s="3599" t="s">
        <v>1772</v>
      </c>
    </row>
    <row r="5" spans="1:29" ht="15">
      <c r="A5" s="348"/>
      <c r="B5" s="349"/>
      <c r="C5" s="3619" t="s">
        <v>1672</v>
      </c>
      <c r="D5" s="3620"/>
      <c r="E5" s="3626" t="s">
        <v>1673</v>
      </c>
      <c r="F5" s="3627"/>
      <c r="G5" s="3619" t="s">
        <v>1674</v>
      </c>
      <c r="H5" s="3620"/>
      <c r="I5" s="3619" t="s">
        <v>1675</v>
      </c>
      <c r="J5" s="3620"/>
      <c r="K5" s="535"/>
      <c r="L5" s="2479"/>
      <c r="M5" s="2480"/>
      <c r="N5" s="2480"/>
      <c r="O5" s="2480"/>
      <c r="P5" s="3607"/>
      <c r="Q5" s="3608"/>
      <c r="R5" s="3613"/>
      <c r="S5" s="3614"/>
      <c r="T5" s="3613"/>
      <c r="U5" s="3614"/>
      <c r="V5" s="3598"/>
      <c r="W5" s="3598"/>
      <c r="X5" s="1259"/>
      <c r="Y5" s="3613"/>
      <c r="Z5" s="3614"/>
      <c r="AA5" s="3600"/>
      <c r="AB5" s="3598"/>
      <c r="AC5" s="3600"/>
    </row>
    <row r="6" spans="1:29" ht="15.75" thickBot="1">
      <c r="A6" s="350"/>
      <c r="B6" s="351"/>
      <c r="C6" s="3617" t="s">
        <v>1676</v>
      </c>
      <c r="D6" s="3618"/>
      <c r="E6" s="3624" t="s">
        <v>1676</v>
      </c>
      <c r="F6" s="3625"/>
      <c r="G6" s="3617" t="s">
        <v>1676</v>
      </c>
      <c r="H6" s="3618"/>
      <c r="I6" s="3617" t="s">
        <v>1676</v>
      </c>
      <c r="J6" s="3618"/>
      <c r="K6" s="535" t="s">
        <v>1677</v>
      </c>
      <c r="L6" s="2479"/>
      <c r="M6" s="2480"/>
      <c r="N6" s="2480"/>
      <c r="O6" s="2480"/>
      <c r="P6" s="3609"/>
      <c r="Q6" s="3610"/>
      <c r="R6" s="3613"/>
      <c r="S6" s="3614"/>
      <c r="T6" s="3615"/>
      <c r="U6" s="3616"/>
      <c r="V6" s="3598"/>
      <c r="W6" s="3598"/>
      <c r="X6" s="1259"/>
      <c r="Y6" s="3615"/>
      <c r="Z6" s="3616"/>
      <c r="AA6" s="3601"/>
      <c r="AB6" s="3598"/>
      <c r="AC6" s="3601"/>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621" t="s">
        <v>1679</v>
      </c>
      <c r="Q7" s="3623"/>
      <c r="R7" s="659" t="s">
        <v>14</v>
      </c>
      <c r="S7" s="660">
        <f t="shared" ref="S7:S15" si="0">F7</f>
        <v>0</v>
      </c>
      <c r="T7" s="659" t="s">
        <v>14</v>
      </c>
      <c r="U7" s="660">
        <f t="shared" ref="U7:U15" si="1">H7</f>
        <v>0</v>
      </c>
      <c r="V7" s="659" t="s">
        <v>14</v>
      </c>
      <c r="W7" s="660">
        <f t="shared" ref="W7:W15" si="2">J7</f>
        <v>0</v>
      </c>
      <c r="X7" s="661"/>
      <c r="Y7" s="3621" t="s">
        <v>1679</v>
      </c>
      <c r="Z7" s="3622"/>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621" t="s">
        <v>1682</v>
      </c>
      <c r="Q8" s="3622"/>
      <c r="R8" s="659" t="s">
        <v>14</v>
      </c>
      <c r="S8" s="660">
        <f t="shared" si="0"/>
        <v>100</v>
      </c>
      <c r="T8" s="659" t="s">
        <v>14</v>
      </c>
      <c r="U8" s="660">
        <f t="shared" si="1"/>
        <v>100</v>
      </c>
      <c r="V8" s="659" t="s">
        <v>14</v>
      </c>
      <c r="W8" s="660">
        <f t="shared" si="2"/>
        <v>100</v>
      </c>
      <c r="X8" s="661"/>
      <c r="Y8" s="3621" t="s">
        <v>1682</v>
      </c>
      <c r="Z8" s="3622"/>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592"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592"/>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592"/>
      <c r="Q11" s="528" t="str">
        <f t="shared" si="6"/>
        <v>容积率</v>
      </c>
      <c r="R11" s="659" t="s">
        <v>14</v>
      </c>
      <c r="S11" s="660" t="e">
        <f t="shared" si="0"/>
        <v>#N/A</v>
      </c>
      <c r="T11" s="659" t="s">
        <v>14</v>
      </c>
      <c r="U11" s="660" t="e">
        <f t="shared" si="1"/>
        <v>#N/A</v>
      </c>
      <c r="V11" s="659" t="s">
        <v>14</v>
      </c>
      <c r="W11" s="660" t="e">
        <f t="shared" si="2"/>
        <v>#N/A</v>
      </c>
      <c r="X11" s="661"/>
      <c r="Y11" s="3490"/>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592"/>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592"/>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592"/>
      <c r="Q14" s="528">
        <f t="shared" si="6"/>
        <v>111</v>
      </c>
      <c r="R14" s="659" t="s">
        <v>14</v>
      </c>
      <c r="S14" s="660">
        <f t="shared" si="0"/>
        <v>100</v>
      </c>
      <c r="T14" s="659" t="s">
        <v>14</v>
      </c>
      <c r="U14" s="660">
        <f t="shared" si="1"/>
        <v>100</v>
      </c>
      <c r="V14" s="659" t="s">
        <v>14</v>
      </c>
      <c r="W14" s="660">
        <f t="shared" si="2"/>
        <v>100</v>
      </c>
      <c r="X14" s="661"/>
      <c r="Y14" s="3490"/>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55" t="s">
        <v>1690</v>
      </c>
      <c r="Q15" s="1257" t="str">
        <f t="shared" si="6"/>
        <v>商业繁华度</v>
      </c>
      <c r="R15" s="662" t="s">
        <v>14</v>
      </c>
      <c r="S15" s="663">
        <f t="shared" si="0"/>
        <v>100</v>
      </c>
      <c r="T15" s="662" t="s">
        <v>14</v>
      </c>
      <c r="U15" s="663">
        <f t="shared" si="1"/>
        <v>100</v>
      </c>
      <c r="V15" s="662" t="s">
        <v>14</v>
      </c>
      <c r="W15" s="663">
        <f t="shared" si="2"/>
        <v>100</v>
      </c>
      <c r="X15" s="1259"/>
      <c r="Y15" s="3594"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56"/>
      <c r="Q16" s="1257"/>
      <c r="R16" s="662"/>
      <c r="S16" s="663"/>
      <c r="T16" s="662"/>
      <c r="U16" s="663"/>
      <c r="V16" s="662"/>
      <c r="W16" s="663"/>
      <c r="X16" s="1259"/>
      <c r="Y16" s="3595"/>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56"/>
      <c r="Q17" s="1257" t="str">
        <f>B17</f>
        <v>交通便捷度</v>
      </c>
      <c r="R17" s="662" t="s">
        <v>14</v>
      </c>
      <c r="S17" s="663">
        <f>F17</f>
        <v>100</v>
      </c>
      <c r="T17" s="662" t="s">
        <v>14</v>
      </c>
      <c r="U17" s="663">
        <f>H17</f>
        <v>100</v>
      </c>
      <c r="V17" s="662" t="s">
        <v>14</v>
      </c>
      <c r="W17" s="663">
        <f>J17</f>
        <v>100</v>
      </c>
      <c r="X17" s="1259"/>
      <c r="Y17" s="3595"/>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56"/>
      <c r="Q18" s="1257"/>
      <c r="R18" s="662"/>
      <c r="S18" s="663"/>
      <c r="T18" s="662"/>
      <c r="U18" s="663"/>
      <c r="V18" s="662"/>
      <c r="W18" s="663"/>
      <c r="X18" s="1259"/>
      <c r="Y18" s="3595"/>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56"/>
      <c r="Q19" s="1257" t="str">
        <f>B19</f>
        <v>公共配套设施</v>
      </c>
      <c r="R19" s="662" t="s">
        <v>14</v>
      </c>
      <c r="S19" s="663">
        <f>F19</f>
        <v>100</v>
      </c>
      <c r="T19" s="662" t="s">
        <v>14</v>
      </c>
      <c r="U19" s="663">
        <f>H19</f>
        <v>100</v>
      </c>
      <c r="V19" s="662" t="s">
        <v>14</v>
      </c>
      <c r="W19" s="663">
        <f>J19</f>
        <v>100</v>
      </c>
      <c r="X19" s="1259"/>
      <c r="Y19" s="3595"/>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56"/>
      <c r="Q20" s="1257"/>
      <c r="R20" s="662"/>
      <c r="S20" s="663"/>
      <c r="T20" s="662"/>
      <c r="U20" s="663"/>
      <c r="V20" s="662"/>
      <c r="W20" s="663"/>
      <c r="X20" s="1259"/>
      <c r="Y20" s="3595"/>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56"/>
      <c r="Q21" s="1257" t="str">
        <f>B21</f>
        <v>基础设施水平</v>
      </c>
      <c r="R21" s="662" t="s">
        <v>14</v>
      </c>
      <c r="S21" s="663">
        <f>F21</f>
        <v>100</v>
      </c>
      <c r="T21" s="662" t="s">
        <v>14</v>
      </c>
      <c r="U21" s="663">
        <f>H21</f>
        <v>100</v>
      </c>
      <c r="V21" s="662" t="s">
        <v>14</v>
      </c>
      <c r="W21" s="663">
        <f>J21</f>
        <v>100</v>
      </c>
      <c r="X21" s="1259"/>
      <c r="Y21" s="3595"/>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56"/>
      <c r="Q22" s="1257"/>
      <c r="R22" s="662"/>
      <c r="S22" s="663"/>
      <c r="T22" s="662"/>
      <c r="U22" s="663"/>
      <c r="V22" s="662"/>
      <c r="W22" s="663"/>
      <c r="X22" s="1259"/>
      <c r="Y22" s="3595"/>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56"/>
      <c r="Q23" s="1257" t="str">
        <f>B23</f>
        <v>自然及人文环境</v>
      </c>
      <c r="R23" s="662" t="s">
        <v>14</v>
      </c>
      <c r="S23" s="663">
        <f>F23</f>
        <v>100</v>
      </c>
      <c r="T23" s="662" t="s">
        <v>14</v>
      </c>
      <c r="U23" s="663">
        <f>H23</f>
        <v>100</v>
      </c>
      <c r="V23" s="662" t="s">
        <v>14</v>
      </c>
      <c r="W23" s="663">
        <f>J23</f>
        <v>100</v>
      </c>
      <c r="X23" s="1259"/>
      <c r="Y23" s="3595"/>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56"/>
      <c r="Q24" s="1257"/>
      <c r="R24" s="662"/>
      <c r="S24" s="663"/>
      <c r="T24" s="662"/>
      <c r="U24" s="663"/>
      <c r="V24" s="662"/>
      <c r="W24" s="663"/>
      <c r="X24" s="1259"/>
      <c r="Y24" s="3595"/>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56"/>
      <c r="Q25" s="1257" t="str">
        <f t="shared" ref="Q25:Q46" si="11">B25</f>
        <v>临街状况</v>
      </c>
      <c r="R25" s="662" t="s">
        <v>14</v>
      </c>
      <c r="S25" s="663">
        <f>F25</f>
        <v>100</v>
      </c>
      <c r="T25" s="662" t="s">
        <v>14</v>
      </c>
      <c r="U25" s="663">
        <f>H25</f>
        <v>100</v>
      </c>
      <c r="V25" s="662" t="s">
        <v>14</v>
      </c>
      <c r="W25" s="663">
        <f>J25</f>
        <v>100</v>
      </c>
      <c r="X25" s="1259"/>
      <c r="Y25" s="3595"/>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56"/>
      <c r="Q26" s="1257" t="str">
        <f t="shared" si="11"/>
        <v>平面位置/可视性</v>
      </c>
      <c r="R26" s="662" t="s">
        <v>14</v>
      </c>
      <c r="S26" s="663">
        <f>F26</f>
        <v>100</v>
      </c>
      <c r="T26" s="662" t="s">
        <v>14</v>
      </c>
      <c r="U26" s="663">
        <f>H26</f>
        <v>100</v>
      </c>
      <c r="V26" s="662" t="s">
        <v>14</v>
      </c>
      <c r="W26" s="663">
        <f>J26</f>
        <v>100</v>
      </c>
      <c r="X26" s="1259"/>
      <c r="Y26" s="3595"/>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56"/>
      <c r="Q27" s="528" t="str">
        <f t="shared" si="11"/>
        <v>人流量</v>
      </c>
      <c r="R27" s="659" t="s">
        <v>14</v>
      </c>
      <c r="S27" s="660">
        <f>F27</f>
        <v>100</v>
      </c>
      <c r="T27" s="659" t="s">
        <v>14</v>
      </c>
      <c r="U27" s="660">
        <f>H27</f>
        <v>100</v>
      </c>
      <c r="V27" s="659" t="s">
        <v>14</v>
      </c>
      <c r="W27" s="660">
        <f>J27</f>
        <v>100</v>
      </c>
      <c r="X27" s="661"/>
      <c r="Y27" s="3595"/>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56"/>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595"/>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56"/>
      <c r="Q29" s="1257">
        <f t="shared" si="11"/>
        <v>111</v>
      </c>
      <c r="R29" s="662" t="s">
        <v>14</v>
      </c>
      <c r="S29" s="663">
        <f t="shared" si="12"/>
        <v>100</v>
      </c>
      <c r="T29" s="662" t="s">
        <v>14</v>
      </c>
      <c r="U29" s="663">
        <f t="shared" si="13"/>
        <v>100</v>
      </c>
      <c r="V29" s="662" t="s">
        <v>14</v>
      </c>
      <c r="W29" s="663">
        <f t="shared" si="14"/>
        <v>100</v>
      </c>
      <c r="X29" s="1259"/>
      <c r="Y29" s="3595"/>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56"/>
      <c r="Q30" s="1257">
        <f t="shared" si="11"/>
        <v>111</v>
      </c>
      <c r="R30" s="662" t="s">
        <v>14</v>
      </c>
      <c r="S30" s="663">
        <f t="shared" si="12"/>
        <v>100</v>
      </c>
      <c r="T30" s="662" t="s">
        <v>14</v>
      </c>
      <c r="U30" s="663">
        <f t="shared" si="13"/>
        <v>100</v>
      </c>
      <c r="V30" s="662" t="s">
        <v>14</v>
      </c>
      <c r="W30" s="663">
        <f t="shared" si="14"/>
        <v>100</v>
      </c>
      <c r="X30" s="1259"/>
      <c r="Y30" s="3595"/>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56"/>
      <c r="Q31" s="1257">
        <f t="shared" si="11"/>
        <v>111</v>
      </c>
      <c r="R31" s="662" t="s">
        <v>14</v>
      </c>
      <c r="S31" s="663">
        <f t="shared" si="12"/>
        <v>100</v>
      </c>
      <c r="T31" s="662" t="s">
        <v>14</v>
      </c>
      <c r="U31" s="663">
        <f t="shared" si="13"/>
        <v>100</v>
      </c>
      <c r="V31" s="662" t="s">
        <v>14</v>
      </c>
      <c r="W31" s="663">
        <f t="shared" si="14"/>
        <v>100</v>
      </c>
      <c r="X31" s="1259"/>
      <c r="Y31" s="3595"/>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57" t="s">
        <v>1695</v>
      </c>
      <c r="Q32" s="1257" t="str">
        <f t="shared" si="11"/>
        <v>商业类型</v>
      </c>
      <c r="R32" s="662" t="s">
        <v>14</v>
      </c>
      <c r="S32" s="663">
        <f t="shared" si="12"/>
        <v>100</v>
      </c>
      <c r="T32" s="662" t="s">
        <v>14</v>
      </c>
      <c r="U32" s="663">
        <f t="shared" si="13"/>
        <v>100</v>
      </c>
      <c r="V32" s="662" t="s">
        <v>14</v>
      </c>
      <c r="W32" s="663">
        <f t="shared" si="14"/>
        <v>100</v>
      </c>
      <c r="X32" s="1259"/>
      <c r="Y32" s="3597"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58"/>
      <c r="Q33" s="529" t="str">
        <f t="shared" si="11"/>
        <v>项目建筑规模</v>
      </c>
      <c r="R33" s="664" t="s">
        <v>14</v>
      </c>
      <c r="S33" s="665" t="e">
        <f t="shared" si="12"/>
        <v>#N/A</v>
      </c>
      <c r="T33" s="664" t="s">
        <v>14</v>
      </c>
      <c r="U33" s="665" t="e">
        <f t="shared" si="13"/>
        <v>#N/A</v>
      </c>
      <c r="V33" s="664" t="s">
        <v>14</v>
      </c>
      <c r="W33" s="665" t="e">
        <f t="shared" si="14"/>
        <v>#N/A</v>
      </c>
      <c r="X33" s="666"/>
      <c r="Y33" s="3597"/>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58"/>
      <c r="Q34" s="1257" t="str">
        <f t="shared" si="11"/>
        <v>建筑结构</v>
      </c>
      <c r="R34" s="662" t="s">
        <v>14</v>
      </c>
      <c r="S34" s="663">
        <f t="shared" si="12"/>
        <v>100</v>
      </c>
      <c r="T34" s="662" t="s">
        <v>14</v>
      </c>
      <c r="U34" s="663">
        <f t="shared" si="13"/>
        <v>100</v>
      </c>
      <c r="V34" s="662" t="s">
        <v>14</v>
      </c>
      <c r="W34" s="663">
        <f t="shared" si="14"/>
        <v>100</v>
      </c>
      <c r="X34" s="1259"/>
      <c r="Y34" s="3597"/>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58"/>
      <c r="Q35" s="1257" t="str">
        <f t="shared" si="11"/>
        <v>公共部分装修</v>
      </c>
      <c r="R35" s="662" t="s">
        <v>14</v>
      </c>
      <c r="S35" s="663">
        <f t="shared" si="12"/>
        <v>100</v>
      </c>
      <c r="T35" s="662" t="s">
        <v>14</v>
      </c>
      <c r="U35" s="663">
        <f t="shared" si="13"/>
        <v>100</v>
      </c>
      <c r="V35" s="662" t="s">
        <v>14</v>
      </c>
      <c r="W35" s="663">
        <f t="shared" si="14"/>
        <v>100</v>
      </c>
      <c r="X35" s="1259"/>
      <c r="Y35" s="3597"/>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58"/>
      <c r="Q36" s="1257" t="str">
        <f t="shared" si="11"/>
        <v>成新度</v>
      </c>
      <c r="R36" s="662" t="s">
        <v>14</v>
      </c>
      <c r="S36" s="663" t="e">
        <f t="shared" si="12"/>
        <v>#N/A</v>
      </c>
      <c r="T36" s="662" t="s">
        <v>14</v>
      </c>
      <c r="U36" s="663" t="e">
        <f t="shared" si="13"/>
        <v>#N/A</v>
      </c>
      <c r="V36" s="662" t="s">
        <v>14</v>
      </c>
      <c r="W36" s="663" t="e">
        <f t="shared" si="14"/>
        <v>#N/A</v>
      </c>
      <c r="X36" s="1259"/>
      <c r="Y36" s="3597"/>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58"/>
      <c r="Q37" s="528" t="str">
        <f t="shared" si="11"/>
        <v>市政基础设施</v>
      </c>
      <c r="R37" s="659" t="s">
        <v>14</v>
      </c>
      <c r="S37" s="660">
        <f t="shared" si="12"/>
        <v>100</v>
      </c>
      <c r="T37" s="659" t="s">
        <v>14</v>
      </c>
      <c r="U37" s="660">
        <f t="shared" si="13"/>
        <v>100</v>
      </c>
      <c r="V37" s="659" t="s">
        <v>14</v>
      </c>
      <c r="W37" s="660">
        <f t="shared" si="14"/>
        <v>100</v>
      </c>
      <c r="X37" s="661"/>
      <c r="Y37" s="3597"/>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58" t="s">
        <v>1695</v>
      </c>
      <c r="Q38" s="1257" t="str">
        <f t="shared" si="11"/>
        <v>业态</v>
      </c>
      <c r="R38" s="662" t="s">
        <v>14</v>
      </c>
      <c r="S38" s="663">
        <f t="shared" si="12"/>
        <v>100</v>
      </c>
      <c r="T38" s="662" t="s">
        <v>14</v>
      </c>
      <c r="U38" s="663">
        <f t="shared" si="13"/>
        <v>100</v>
      </c>
      <c r="V38" s="662" t="s">
        <v>14</v>
      </c>
      <c r="W38" s="663">
        <f t="shared" si="14"/>
        <v>100</v>
      </c>
      <c r="X38" s="1259"/>
      <c r="Y38" s="3597"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58"/>
      <c r="Q39" s="1257" t="str">
        <f t="shared" si="11"/>
        <v>层高</v>
      </c>
      <c r="R39" s="662" t="s">
        <v>14</v>
      </c>
      <c r="S39" s="663">
        <f t="shared" si="12"/>
        <v>100</v>
      </c>
      <c r="T39" s="662" t="s">
        <v>14</v>
      </c>
      <c r="U39" s="663">
        <f t="shared" si="13"/>
        <v>100</v>
      </c>
      <c r="V39" s="662" t="s">
        <v>14</v>
      </c>
      <c r="W39" s="663">
        <f t="shared" si="14"/>
        <v>100</v>
      </c>
      <c r="X39" s="1259"/>
      <c r="Y39" s="3597"/>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58"/>
      <c r="Q40" s="1257" t="str">
        <f t="shared" si="11"/>
        <v>单套建筑面积</v>
      </c>
      <c r="R40" s="662" t="s">
        <v>14</v>
      </c>
      <c r="S40" s="663">
        <f t="shared" si="12"/>
        <v>100</v>
      </c>
      <c r="T40" s="662" t="s">
        <v>14</v>
      </c>
      <c r="U40" s="663">
        <f t="shared" si="13"/>
        <v>100</v>
      </c>
      <c r="V40" s="662" t="s">
        <v>14</v>
      </c>
      <c r="W40" s="663">
        <f t="shared" si="14"/>
        <v>100</v>
      </c>
      <c r="X40" s="1259"/>
      <c r="Y40" s="3597"/>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58"/>
      <c r="Q41" s="529" t="str">
        <f t="shared" si="11"/>
        <v>进深比</v>
      </c>
      <c r="R41" s="664" t="s">
        <v>14</v>
      </c>
      <c r="S41" s="665">
        <f t="shared" si="12"/>
        <v>100</v>
      </c>
      <c r="T41" s="664" t="s">
        <v>14</v>
      </c>
      <c r="U41" s="665">
        <f t="shared" si="13"/>
        <v>100</v>
      </c>
      <c r="V41" s="664" t="s">
        <v>14</v>
      </c>
      <c r="W41" s="665">
        <f t="shared" si="14"/>
        <v>100</v>
      </c>
      <c r="X41" s="666"/>
      <c r="Y41" s="3597"/>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58"/>
      <c r="Q42" s="1257" t="str">
        <f t="shared" si="11"/>
        <v>内部装修</v>
      </c>
      <c r="R42" s="662" t="s">
        <v>14</v>
      </c>
      <c r="S42" s="663">
        <f t="shared" si="12"/>
        <v>100</v>
      </c>
      <c r="T42" s="662" t="s">
        <v>14</v>
      </c>
      <c r="U42" s="663">
        <f t="shared" si="13"/>
        <v>100</v>
      </c>
      <c r="V42" s="662" t="s">
        <v>14</v>
      </c>
      <c r="W42" s="663">
        <f t="shared" si="14"/>
        <v>100</v>
      </c>
      <c r="X42" s="1259"/>
      <c r="Y42" s="3597"/>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58"/>
      <c r="Q43" s="1257" t="str">
        <f t="shared" si="11"/>
        <v>内部装修维护情况</v>
      </c>
      <c r="R43" s="662" t="s">
        <v>14</v>
      </c>
      <c r="S43" s="663">
        <f t="shared" si="12"/>
        <v>100</v>
      </c>
      <c r="T43" s="662" t="s">
        <v>14</v>
      </c>
      <c r="U43" s="663">
        <f t="shared" si="13"/>
        <v>100</v>
      </c>
      <c r="V43" s="662" t="s">
        <v>14</v>
      </c>
      <c r="W43" s="663">
        <f t="shared" si="14"/>
        <v>100</v>
      </c>
      <c r="X43" s="1259"/>
      <c r="Y43" s="3597"/>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58"/>
      <c r="Q44" s="528">
        <f t="shared" si="11"/>
        <v>111</v>
      </c>
      <c r="R44" s="659" t="s">
        <v>14</v>
      </c>
      <c r="S44" s="660">
        <f t="shared" si="12"/>
        <v>100</v>
      </c>
      <c r="T44" s="659" t="s">
        <v>14</v>
      </c>
      <c r="U44" s="660">
        <f t="shared" si="13"/>
        <v>100</v>
      </c>
      <c r="V44" s="659" t="s">
        <v>14</v>
      </c>
      <c r="W44" s="660">
        <f t="shared" si="14"/>
        <v>100</v>
      </c>
      <c r="X44" s="661"/>
      <c r="Y44" s="3597"/>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58"/>
      <c r="Q45" s="1257">
        <f t="shared" si="11"/>
        <v>111</v>
      </c>
      <c r="R45" s="662" t="s">
        <v>14</v>
      </c>
      <c r="S45" s="663">
        <f t="shared" si="12"/>
        <v>100</v>
      </c>
      <c r="T45" s="662" t="s">
        <v>14</v>
      </c>
      <c r="U45" s="663">
        <f t="shared" si="13"/>
        <v>100</v>
      </c>
      <c r="V45" s="662" t="s">
        <v>14</v>
      </c>
      <c r="W45" s="663">
        <f t="shared" si="14"/>
        <v>100</v>
      </c>
      <c r="X45" s="1259"/>
      <c r="Y45" s="3597"/>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59"/>
      <c r="Q46" s="1257">
        <f t="shared" si="11"/>
        <v>111</v>
      </c>
      <c r="R46" s="662" t="s">
        <v>14</v>
      </c>
      <c r="S46" s="663">
        <f t="shared" si="12"/>
        <v>100</v>
      </c>
      <c r="T46" s="662" t="s">
        <v>14</v>
      </c>
      <c r="U46" s="663">
        <f t="shared" si="13"/>
        <v>100</v>
      </c>
      <c r="V46" s="662" t="s">
        <v>14</v>
      </c>
      <c r="W46" s="663">
        <f t="shared" si="14"/>
        <v>100</v>
      </c>
      <c r="X46" s="1259"/>
      <c r="Y46" s="3660"/>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593" t="str">
        <f>A47</f>
        <v>成交单价（元/平方米）</v>
      </c>
      <c r="Q47" s="3593"/>
      <c r="R47" s="3598">
        <f>E47</f>
        <v>0</v>
      </c>
      <c r="S47" s="3598"/>
      <c r="T47" s="3598">
        <f>G47</f>
        <v>0</v>
      </c>
      <c r="U47" s="3598"/>
      <c r="V47" s="3598">
        <f>I47</f>
        <v>0</v>
      </c>
      <c r="W47" s="3598"/>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593" t="str">
        <f>A48</f>
        <v>比较价值（元/平方米）</v>
      </c>
      <c r="Q48" s="3593"/>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587" t="str">
        <f>A49</f>
        <v>估价对象XX用房的比较价值（楼面单价，元/平方米）</v>
      </c>
      <c r="Q49" s="3588"/>
      <c r="R49" s="3654" t="e">
        <f>IF(F1="售价",ROUND(IF(D48="简单平均",AVERAGE(R48:V48),R48*F48+T48*H48+V48*J48),0),ROUND(IF(D48="简单平均",AVERAGE(R48:V48),R48*F48+T48*H48+V48*J48),1))</f>
        <v>#DIV/0!</v>
      </c>
      <c r="S49" s="3654"/>
      <c r="T49" s="3654"/>
      <c r="U49" s="3654"/>
      <c r="V49" s="3654"/>
      <c r="W49" s="3654"/>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67" t="s">
        <v>1774</v>
      </c>
      <c r="Q4" s="3668"/>
      <c r="R4" s="3671" t="s">
        <v>1770</v>
      </c>
      <c r="S4" s="3672"/>
      <c r="T4" s="3671" t="s">
        <v>1771</v>
      </c>
      <c r="U4" s="3672"/>
      <c r="V4" s="3673" t="s">
        <v>1772</v>
      </c>
      <c r="W4" s="3673"/>
      <c r="X4" s="1801"/>
      <c r="Y4" s="3671" t="s">
        <v>1774</v>
      </c>
      <c r="Z4" s="3672"/>
      <c r="AA4" s="3675" t="s">
        <v>1770</v>
      </c>
      <c r="AB4" s="3675" t="s">
        <v>1771</v>
      </c>
      <c r="AC4" s="3664" t="s">
        <v>1772</v>
      </c>
    </row>
    <row r="5" spans="1:29" ht="15">
      <c r="A5" s="348"/>
      <c r="B5" s="349"/>
      <c r="C5" s="3619" t="s">
        <v>1672</v>
      </c>
      <c r="D5" s="3620"/>
      <c r="E5" s="3626" t="s">
        <v>1673</v>
      </c>
      <c r="F5" s="3627"/>
      <c r="G5" s="3619" t="s">
        <v>1674</v>
      </c>
      <c r="H5" s="3620"/>
      <c r="I5" s="3619" t="s">
        <v>1675</v>
      </c>
      <c r="J5" s="3620"/>
      <c r="K5" s="535"/>
      <c r="L5" s="2479"/>
      <c r="M5" s="2480"/>
      <c r="N5" s="2480"/>
      <c r="O5" s="2480"/>
      <c r="P5" s="3669"/>
      <c r="Q5" s="3608"/>
      <c r="R5" s="3613"/>
      <c r="S5" s="3614"/>
      <c r="T5" s="3613"/>
      <c r="U5" s="3614"/>
      <c r="V5" s="3598"/>
      <c r="W5" s="3598"/>
      <c r="X5" s="1259"/>
      <c r="Y5" s="3613"/>
      <c r="Z5" s="3614"/>
      <c r="AA5" s="3600"/>
      <c r="AB5" s="3600"/>
      <c r="AC5" s="3665"/>
    </row>
    <row r="6" spans="1:29" ht="15.75" thickBot="1">
      <c r="A6" s="350"/>
      <c r="B6" s="351"/>
      <c r="C6" s="3617" t="s">
        <v>1676</v>
      </c>
      <c r="D6" s="3618"/>
      <c r="E6" s="3624" t="s">
        <v>1676</v>
      </c>
      <c r="F6" s="3625"/>
      <c r="G6" s="3617" t="s">
        <v>1676</v>
      </c>
      <c r="H6" s="3618"/>
      <c r="I6" s="3617" t="s">
        <v>1676</v>
      </c>
      <c r="J6" s="3618"/>
      <c r="K6" s="535" t="s">
        <v>1677</v>
      </c>
      <c r="L6" s="2479"/>
      <c r="M6" s="2480"/>
      <c r="N6" s="2480"/>
      <c r="O6" s="2480"/>
      <c r="P6" s="3670"/>
      <c r="Q6" s="3610"/>
      <c r="R6" s="3613"/>
      <c r="S6" s="3614"/>
      <c r="T6" s="3615"/>
      <c r="U6" s="3616"/>
      <c r="V6" s="3598"/>
      <c r="W6" s="3598"/>
      <c r="X6" s="1259"/>
      <c r="Y6" s="3615"/>
      <c r="Z6" s="3616"/>
      <c r="AA6" s="3601"/>
      <c r="AB6" s="3601"/>
      <c r="AC6" s="3666"/>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74" t="s">
        <v>1679</v>
      </c>
      <c r="Q7" s="3623"/>
      <c r="R7" s="659" t="s">
        <v>14</v>
      </c>
      <c r="S7" s="660">
        <f t="shared" ref="S7:S15" si="0">F7</f>
        <v>0</v>
      </c>
      <c r="T7" s="659" t="s">
        <v>14</v>
      </c>
      <c r="U7" s="660">
        <f t="shared" ref="U7:U15" si="1">H7</f>
        <v>0</v>
      </c>
      <c r="V7" s="659" t="s">
        <v>14</v>
      </c>
      <c r="W7" s="660">
        <f t="shared" ref="W7:W15" si="2">J7</f>
        <v>0</v>
      </c>
      <c r="X7" s="661"/>
      <c r="Y7" s="3621" t="s">
        <v>1679</v>
      </c>
      <c r="Z7" s="3622"/>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74" t="s">
        <v>1682</v>
      </c>
      <c r="Q8" s="3622"/>
      <c r="R8" s="659" t="s">
        <v>14</v>
      </c>
      <c r="S8" s="660">
        <f t="shared" si="0"/>
        <v>100</v>
      </c>
      <c r="T8" s="659" t="s">
        <v>14</v>
      </c>
      <c r="U8" s="660">
        <f t="shared" si="1"/>
        <v>100</v>
      </c>
      <c r="V8" s="659" t="s">
        <v>14</v>
      </c>
      <c r="W8" s="660">
        <f t="shared" si="2"/>
        <v>100</v>
      </c>
      <c r="X8" s="661"/>
      <c r="Y8" s="3621" t="s">
        <v>1682</v>
      </c>
      <c r="Z8" s="3622"/>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592"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592"/>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592"/>
      <c r="Q11" s="528" t="str">
        <f t="shared" si="6"/>
        <v>容积率</v>
      </c>
      <c r="R11" s="659" t="s">
        <v>14</v>
      </c>
      <c r="S11" s="660">
        <f t="shared" si="0"/>
        <v>100</v>
      </c>
      <c r="T11" s="659" t="s">
        <v>14</v>
      </c>
      <c r="U11" s="660">
        <f t="shared" si="1"/>
        <v>100</v>
      </c>
      <c r="V11" s="659" t="s">
        <v>14</v>
      </c>
      <c r="W11" s="660">
        <f t="shared" si="2"/>
        <v>100</v>
      </c>
      <c r="X11" s="661"/>
      <c r="Y11" s="3490"/>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592"/>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592"/>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592"/>
      <c r="Q14" s="528">
        <f t="shared" si="6"/>
        <v>111</v>
      </c>
      <c r="R14" s="659" t="s">
        <v>14</v>
      </c>
      <c r="S14" s="660">
        <f t="shared" si="0"/>
        <v>100</v>
      </c>
      <c r="T14" s="659" t="s">
        <v>14</v>
      </c>
      <c r="U14" s="660">
        <f t="shared" si="1"/>
        <v>100</v>
      </c>
      <c r="V14" s="659" t="s">
        <v>14</v>
      </c>
      <c r="W14" s="660">
        <f t="shared" si="2"/>
        <v>100</v>
      </c>
      <c r="X14" s="661"/>
      <c r="Y14" s="3490"/>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55" t="s">
        <v>1690</v>
      </c>
      <c r="Q15" s="1257" t="str">
        <f t="shared" si="6"/>
        <v>办公集聚程度</v>
      </c>
      <c r="R15" s="662" t="s">
        <v>14</v>
      </c>
      <c r="S15" s="663">
        <f t="shared" si="0"/>
        <v>100</v>
      </c>
      <c r="T15" s="662" t="s">
        <v>14</v>
      </c>
      <c r="U15" s="663">
        <f t="shared" si="1"/>
        <v>100</v>
      </c>
      <c r="V15" s="662" t="s">
        <v>14</v>
      </c>
      <c r="W15" s="663">
        <f t="shared" si="2"/>
        <v>100</v>
      </c>
      <c r="X15" s="1259"/>
      <c r="Y15" s="3594"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56"/>
      <c r="Q16" s="1257"/>
      <c r="R16" s="662"/>
      <c r="S16" s="663"/>
      <c r="T16" s="662"/>
      <c r="U16" s="663"/>
      <c r="V16" s="662"/>
      <c r="W16" s="663"/>
      <c r="X16" s="1259"/>
      <c r="Y16" s="3595"/>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56"/>
      <c r="Q17" s="1257" t="str">
        <f>B17</f>
        <v>交通便捷度</v>
      </c>
      <c r="R17" s="662" t="s">
        <v>14</v>
      </c>
      <c r="S17" s="663">
        <f>F17</f>
        <v>100</v>
      </c>
      <c r="T17" s="662" t="s">
        <v>14</v>
      </c>
      <c r="U17" s="663">
        <f>H17</f>
        <v>100</v>
      </c>
      <c r="V17" s="662" t="s">
        <v>14</v>
      </c>
      <c r="W17" s="663">
        <f>J17</f>
        <v>100</v>
      </c>
      <c r="X17" s="1259"/>
      <c r="Y17" s="3595"/>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56"/>
      <c r="Q18" s="1257"/>
      <c r="R18" s="662"/>
      <c r="S18" s="663"/>
      <c r="T18" s="662"/>
      <c r="U18" s="663"/>
      <c r="V18" s="662"/>
      <c r="W18" s="663"/>
      <c r="X18" s="1259"/>
      <c r="Y18" s="3595"/>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56"/>
      <c r="Q19" s="1257" t="str">
        <f>B19</f>
        <v>公共配套设施</v>
      </c>
      <c r="R19" s="662" t="s">
        <v>14</v>
      </c>
      <c r="S19" s="663">
        <f>F19</f>
        <v>100</v>
      </c>
      <c r="T19" s="662" t="s">
        <v>14</v>
      </c>
      <c r="U19" s="663">
        <f>H19</f>
        <v>100</v>
      </c>
      <c r="V19" s="662" t="s">
        <v>14</v>
      </c>
      <c r="W19" s="663">
        <f>J19</f>
        <v>100</v>
      </c>
      <c r="X19" s="1259"/>
      <c r="Y19" s="3595"/>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56"/>
      <c r="Q20" s="1257"/>
      <c r="R20" s="662"/>
      <c r="S20" s="663"/>
      <c r="T20" s="662"/>
      <c r="U20" s="663"/>
      <c r="V20" s="662"/>
      <c r="W20" s="663"/>
      <c r="X20" s="1259"/>
      <c r="Y20" s="3595"/>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56"/>
      <c r="Q21" s="1257" t="str">
        <f>B21</f>
        <v>基础设施水平</v>
      </c>
      <c r="R21" s="662" t="s">
        <v>14</v>
      </c>
      <c r="S21" s="663">
        <f>F21</f>
        <v>100</v>
      </c>
      <c r="T21" s="662" t="s">
        <v>14</v>
      </c>
      <c r="U21" s="663">
        <f>H21</f>
        <v>100</v>
      </c>
      <c r="V21" s="662" t="s">
        <v>14</v>
      </c>
      <c r="W21" s="663">
        <f>J21</f>
        <v>100</v>
      </c>
      <c r="X21" s="1259"/>
      <c r="Y21" s="3595"/>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56"/>
      <c r="Q22" s="1257"/>
      <c r="R22" s="662"/>
      <c r="S22" s="663"/>
      <c r="T22" s="662"/>
      <c r="U22" s="663"/>
      <c r="V22" s="662"/>
      <c r="W22" s="663"/>
      <c r="X22" s="1259"/>
      <c r="Y22" s="3595"/>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56"/>
      <c r="Q23" s="1257" t="str">
        <f>B23</f>
        <v>环境质量</v>
      </c>
      <c r="R23" s="662" t="s">
        <v>14</v>
      </c>
      <c r="S23" s="663">
        <f>F23</f>
        <v>100</v>
      </c>
      <c r="T23" s="662" t="s">
        <v>14</v>
      </c>
      <c r="U23" s="663">
        <f>H23</f>
        <v>100</v>
      </c>
      <c r="V23" s="662" t="s">
        <v>14</v>
      </c>
      <c r="W23" s="663">
        <f>J23</f>
        <v>100</v>
      </c>
      <c r="X23" s="1259"/>
      <c r="Y23" s="3595"/>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56"/>
      <c r="Q24" s="1257"/>
      <c r="R24" s="662"/>
      <c r="S24" s="663"/>
      <c r="T24" s="662"/>
      <c r="U24" s="663"/>
      <c r="V24" s="662"/>
      <c r="W24" s="663"/>
      <c r="X24" s="1259"/>
      <c r="Y24" s="3595"/>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56"/>
      <c r="Q25" s="1257" t="str">
        <f>B25</f>
        <v>毗邻道路的类型与等级</v>
      </c>
      <c r="R25" s="662" t="s">
        <v>14</v>
      </c>
      <c r="S25" s="663">
        <f>F25</f>
        <v>100</v>
      </c>
      <c r="T25" s="662" t="s">
        <v>14</v>
      </c>
      <c r="U25" s="663">
        <f>H25</f>
        <v>100</v>
      </c>
      <c r="V25" s="662" t="s">
        <v>14</v>
      </c>
      <c r="W25" s="663">
        <f>J25</f>
        <v>100</v>
      </c>
      <c r="X25" s="1259"/>
      <c r="Y25" s="3595"/>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56"/>
      <c r="Q26" s="1257"/>
      <c r="R26" s="662"/>
      <c r="S26" s="663"/>
      <c r="T26" s="662"/>
      <c r="U26" s="663"/>
      <c r="V26" s="662"/>
      <c r="W26" s="663"/>
      <c r="X26" s="1259"/>
      <c r="Y26" s="3595"/>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56"/>
      <c r="Q27" s="1257" t="str">
        <f t="shared" ref="Q27:Q47" si="11">B27</f>
        <v>楼层</v>
      </c>
      <c r="R27" s="662" t="s">
        <v>14</v>
      </c>
      <c r="S27" s="663">
        <f>F27</f>
        <v>100</v>
      </c>
      <c r="T27" s="662" t="s">
        <v>14</v>
      </c>
      <c r="U27" s="663">
        <f>H27</f>
        <v>100</v>
      </c>
      <c r="V27" s="662" t="s">
        <v>14</v>
      </c>
      <c r="W27" s="663">
        <f>J27</f>
        <v>100</v>
      </c>
      <c r="X27" s="1259"/>
      <c r="Y27" s="3595"/>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56"/>
      <c r="Q28" s="528" t="str">
        <f t="shared" si="11"/>
        <v>朝向</v>
      </c>
      <c r="R28" s="659" t="s">
        <v>14</v>
      </c>
      <c r="S28" s="660">
        <f>F28</f>
        <v>100</v>
      </c>
      <c r="T28" s="659" t="s">
        <v>14</v>
      </c>
      <c r="U28" s="660">
        <f>H28</f>
        <v>100</v>
      </c>
      <c r="V28" s="659" t="s">
        <v>14</v>
      </c>
      <c r="W28" s="660">
        <f>J28</f>
        <v>100</v>
      </c>
      <c r="X28" s="661"/>
      <c r="Y28" s="3595"/>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56"/>
      <c r="Q29" s="1257">
        <f t="shared" si="11"/>
        <v>111</v>
      </c>
      <c r="R29" s="662" t="s">
        <v>14</v>
      </c>
      <c r="S29" s="663">
        <f t="shared" ref="S29:S47" si="12">F29</f>
        <v>100</v>
      </c>
      <c r="T29" s="662" t="s">
        <v>14</v>
      </c>
      <c r="U29" s="663">
        <f t="shared" ref="U29:U47" si="13">H29</f>
        <v>100</v>
      </c>
      <c r="V29" s="662" t="s">
        <v>14</v>
      </c>
      <c r="W29" s="663">
        <f t="shared" ref="W29:W47" si="14">J29</f>
        <v>100</v>
      </c>
      <c r="X29" s="1259"/>
      <c r="Y29" s="3595"/>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56"/>
      <c r="Q30" s="1257">
        <f t="shared" si="11"/>
        <v>111</v>
      </c>
      <c r="R30" s="662" t="s">
        <v>14</v>
      </c>
      <c r="S30" s="663">
        <f t="shared" si="12"/>
        <v>100</v>
      </c>
      <c r="T30" s="662" t="s">
        <v>14</v>
      </c>
      <c r="U30" s="663">
        <f t="shared" si="13"/>
        <v>100</v>
      </c>
      <c r="V30" s="662" t="s">
        <v>14</v>
      </c>
      <c r="W30" s="663">
        <f t="shared" si="14"/>
        <v>100</v>
      </c>
      <c r="X30" s="1259"/>
      <c r="Y30" s="3595"/>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56"/>
      <c r="Q31" s="1257">
        <f t="shared" si="11"/>
        <v>111</v>
      </c>
      <c r="R31" s="662" t="s">
        <v>14</v>
      </c>
      <c r="S31" s="663">
        <f t="shared" si="12"/>
        <v>100</v>
      </c>
      <c r="T31" s="662" t="s">
        <v>14</v>
      </c>
      <c r="U31" s="663">
        <f t="shared" si="13"/>
        <v>100</v>
      </c>
      <c r="V31" s="662" t="s">
        <v>14</v>
      </c>
      <c r="W31" s="663">
        <f t="shared" si="14"/>
        <v>100</v>
      </c>
      <c r="X31" s="1259"/>
      <c r="Y31" s="3595"/>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56"/>
      <c r="Q32" s="1257">
        <f t="shared" si="11"/>
        <v>111</v>
      </c>
      <c r="R32" s="662" t="s">
        <v>14</v>
      </c>
      <c r="S32" s="663">
        <f t="shared" si="12"/>
        <v>100</v>
      </c>
      <c r="T32" s="662" t="s">
        <v>14</v>
      </c>
      <c r="U32" s="663">
        <f t="shared" si="13"/>
        <v>100</v>
      </c>
      <c r="V32" s="662" t="s">
        <v>14</v>
      </c>
      <c r="W32" s="663">
        <f t="shared" si="14"/>
        <v>100</v>
      </c>
      <c r="X32" s="1259"/>
      <c r="Y32" s="3595"/>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57" t="s">
        <v>1695</v>
      </c>
      <c r="Q33" s="1257" t="str">
        <f t="shared" si="11"/>
        <v>建筑类型</v>
      </c>
      <c r="R33" s="662" t="s">
        <v>14</v>
      </c>
      <c r="S33" s="663">
        <f t="shared" si="12"/>
        <v>100</v>
      </c>
      <c r="T33" s="662" t="s">
        <v>14</v>
      </c>
      <c r="U33" s="663">
        <f t="shared" si="13"/>
        <v>100</v>
      </c>
      <c r="V33" s="662" t="s">
        <v>14</v>
      </c>
      <c r="W33" s="663">
        <f t="shared" si="14"/>
        <v>100</v>
      </c>
      <c r="X33" s="1259"/>
      <c r="Y33" s="3597"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58"/>
      <c r="Q34" s="529" t="str">
        <f t="shared" si="11"/>
        <v>项目建筑规模</v>
      </c>
      <c r="R34" s="664" t="s">
        <v>14</v>
      </c>
      <c r="S34" s="665" t="e">
        <f t="shared" si="12"/>
        <v>#N/A</v>
      </c>
      <c r="T34" s="664" t="s">
        <v>14</v>
      </c>
      <c r="U34" s="665" t="e">
        <f t="shared" si="13"/>
        <v>#N/A</v>
      </c>
      <c r="V34" s="664" t="s">
        <v>14</v>
      </c>
      <c r="W34" s="665" t="e">
        <f t="shared" si="14"/>
        <v>#N/A</v>
      </c>
      <c r="X34" s="666"/>
      <c r="Y34" s="3597"/>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58"/>
      <c r="Q35" s="1257" t="str">
        <f t="shared" si="11"/>
        <v>建筑结构</v>
      </c>
      <c r="R35" s="662" t="s">
        <v>14</v>
      </c>
      <c r="S35" s="663">
        <f t="shared" si="12"/>
        <v>100</v>
      </c>
      <c r="T35" s="662" t="s">
        <v>14</v>
      </c>
      <c r="U35" s="663">
        <f t="shared" si="13"/>
        <v>100</v>
      </c>
      <c r="V35" s="662" t="s">
        <v>14</v>
      </c>
      <c r="W35" s="663">
        <f t="shared" si="14"/>
        <v>100</v>
      </c>
      <c r="X35" s="1259"/>
      <c r="Y35" s="3597"/>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58"/>
      <c r="Q36" s="1257" t="str">
        <f t="shared" si="11"/>
        <v>公共部分装修</v>
      </c>
      <c r="R36" s="662" t="s">
        <v>14</v>
      </c>
      <c r="S36" s="663">
        <f t="shared" si="12"/>
        <v>100</v>
      </c>
      <c r="T36" s="662" t="s">
        <v>14</v>
      </c>
      <c r="U36" s="663">
        <f t="shared" si="13"/>
        <v>100</v>
      </c>
      <c r="V36" s="662" t="s">
        <v>14</v>
      </c>
      <c r="W36" s="663">
        <f t="shared" si="14"/>
        <v>100</v>
      </c>
      <c r="X36" s="1259"/>
      <c r="Y36" s="3597"/>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58"/>
      <c r="Q37" s="1257" t="str">
        <f t="shared" si="11"/>
        <v>成新度</v>
      </c>
      <c r="R37" s="662" t="s">
        <v>14</v>
      </c>
      <c r="S37" s="663" t="e">
        <f t="shared" si="12"/>
        <v>#N/A</v>
      </c>
      <c r="T37" s="662" t="s">
        <v>14</v>
      </c>
      <c r="U37" s="663" t="e">
        <f t="shared" si="13"/>
        <v>#N/A</v>
      </c>
      <c r="V37" s="662" t="s">
        <v>14</v>
      </c>
      <c r="W37" s="663" t="e">
        <f t="shared" si="14"/>
        <v>#N/A</v>
      </c>
      <c r="X37" s="1259"/>
      <c r="Y37" s="3597"/>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58"/>
      <c r="Q38" s="528" t="str">
        <f t="shared" si="11"/>
        <v>写字楼等级</v>
      </c>
      <c r="R38" s="659" t="s">
        <v>14</v>
      </c>
      <c r="S38" s="660">
        <f t="shared" si="12"/>
        <v>100</v>
      </c>
      <c r="T38" s="659" t="s">
        <v>14</v>
      </c>
      <c r="U38" s="660">
        <f t="shared" si="13"/>
        <v>100</v>
      </c>
      <c r="V38" s="659" t="s">
        <v>14</v>
      </c>
      <c r="W38" s="660">
        <f t="shared" si="14"/>
        <v>100</v>
      </c>
      <c r="X38" s="661"/>
      <c r="Y38" s="3597"/>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58" t="s">
        <v>1695</v>
      </c>
      <c r="Q39" s="1257" t="str">
        <f t="shared" si="11"/>
        <v>物业管理</v>
      </c>
      <c r="R39" s="662" t="s">
        <v>14</v>
      </c>
      <c r="S39" s="663">
        <f t="shared" si="12"/>
        <v>100</v>
      </c>
      <c r="T39" s="662" t="s">
        <v>14</v>
      </c>
      <c r="U39" s="663">
        <f t="shared" si="13"/>
        <v>100</v>
      </c>
      <c r="V39" s="662" t="s">
        <v>14</v>
      </c>
      <c r="W39" s="663">
        <f t="shared" si="14"/>
        <v>100</v>
      </c>
      <c r="X39" s="1259"/>
      <c r="Y39" s="3597"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58"/>
      <c r="Q40" s="1257" t="str">
        <f t="shared" si="11"/>
        <v>市政基础设施</v>
      </c>
      <c r="R40" s="662" t="s">
        <v>14</v>
      </c>
      <c r="S40" s="663">
        <f t="shared" si="12"/>
        <v>100</v>
      </c>
      <c r="T40" s="662" t="s">
        <v>14</v>
      </c>
      <c r="U40" s="663">
        <f t="shared" si="13"/>
        <v>100</v>
      </c>
      <c r="V40" s="662" t="s">
        <v>14</v>
      </c>
      <c r="W40" s="663">
        <f t="shared" si="14"/>
        <v>100</v>
      </c>
      <c r="X40" s="1259"/>
      <c r="Y40" s="3597"/>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58"/>
      <c r="Q41" s="1257" t="str">
        <f t="shared" si="11"/>
        <v>层高</v>
      </c>
      <c r="R41" s="662" t="s">
        <v>14</v>
      </c>
      <c r="S41" s="663">
        <f t="shared" si="12"/>
        <v>100</v>
      </c>
      <c r="T41" s="662" t="s">
        <v>14</v>
      </c>
      <c r="U41" s="663">
        <f t="shared" si="13"/>
        <v>100</v>
      </c>
      <c r="V41" s="662" t="s">
        <v>14</v>
      </c>
      <c r="W41" s="663">
        <f t="shared" si="14"/>
        <v>100</v>
      </c>
      <c r="X41" s="1259"/>
      <c r="Y41" s="3597"/>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58"/>
      <c r="Q42" s="529" t="str">
        <f t="shared" si="11"/>
        <v>单套建筑面积</v>
      </c>
      <c r="R42" s="664" t="s">
        <v>14</v>
      </c>
      <c r="S42" s="665">
        <f t="shared" si="12"/>
        <v>100</v>
      </c>
      <c r="T42" s="664" t="s">
        <v>14</v>
      </c>
      <c r="U42" s="665">
        <f t="shared" si="13"/>
        <v>100</v>
      </c>
      <c r="V42" s="664" t="s">
        <v>14</v>
      </c>
      <c r="W42" s="665">
        <f t="shared" si="14"/>
        <v>100</v>
      </c>
      <c r="X42" s="666"/>
      <c r="Y42" s="3597"/>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58"/>
      <c r="Q43" s="1257" t="str">
        <f t="shared" si="11"/>
        <v>内部装修</v>
      </c>
      <c r="R43" s="662" t="s">
        <v>14</v>
      </c>
      <c r="S43" s="663">
        <f t="shared" si="12"/>
        <v>100</v>
      </c>
      <c r="T43" s="662" t="s">
        <v>14</v>
      </c>
      <c r="U43" s="663">
        <f t="shared" si="13"/>
        <v>100</v>
      </c>
      <c r="V43" s="662" t="s">
        <v>14</v>
      </c>
      <c r="W43" s="663">
        <f t="shared" si="14"/>
        <v>100</v>
      </c>
      <c r="X43" s="1259"/>
      <c r="Y43" s="3597"/>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58"/>
      <c r="Q44" s="1257" t="str">
        <f t="shared" si="11"/>
        <v>内部装修维护情况</v>
      </c>
      <c r="R44" s="662" t="s">
        <v>14</v>
      </c>
      <c r="S44" s="663">
        <f t="shared" si="12"/>
        <v>100</v>
      </c>
      <c r="T44" s="662" t="s">
        <v>14</v>
      </c>
      <c r="U44" s="663">
        <f t="shared" si="13"/>
        <v>100</v>
      </c>
      <c r="V44" s="662" t="s">
        <v>14</v>
      </c>
      <c r="W44" s="663">
        <f t="shared" si="14"/>
        <v>100</v>
      </c>
      <c r="X44" s="1259"/>
      <c r="Y44" s="3597"/>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58"/>
      <c r="Q45" s="528">
        <f t="shared" si="11"/>
        <v>111</v>
      </c>
      <c r="R45" s="659" t="s">
        <v>14</v>
      </c>
      <c r="S45" s="660">
        <f t="shared" si="12"/>
        <v>100</v>
      </c>
      <c r="T45" s="659" t="s">
        <v>14</v>
      </c>
      <c r="U45" s="660">
        <f t="shared" si="13"/>
        <v>100</v>
      </c>
      <c r="V45" s="659" t="s">
        <v>14</v>
      </c>
      <c r="W45" s="660">
        <f t="shared" si="14"/>
        <v>100</v>
      </c>
      <c r="X45" s="661"/>
      <c r="Y45" s="3597"/>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58"/>
      <c r="Q46" s="1257">
        <f t="shared" si="11"/>
        <v>111</v>
      </c>
      <c r="R46" s="662" t="s">
        <v>14</v>
      </c>
      <c r="S46" s="663">
        <f t="shared" si="12"/>
        <v>100</v>
      </c>
      <c r="T46" s="662" t="s">
        <v>14</v>
      </c>
      <c r="U46" s="663">
        <f t="shared" si="13"/>
        <v>100</v>
      </c>
      <c r="V46" s="662" t="s">
        <v>14</v>
      </c>
      <c r="W46" s="663">
        <f t="shared" si="14"/>
        <v>100</v>
      </c>
      <c r="X46" s="1259"/>
      <c r="Y46" s="3597"/>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59"/>
      <c r="Q47" s="1257">
        <f t="shared" si="11"/>
        <v>111</v>
      </c>
      <c r="R47" s="662" t="s">
        <v>14</v>
      </c>
      <c r="S47" s="663">
        <f t="shared" si="12"/>
        <v>100</v>
      </c>
      <c r="T47" s="662" t="s">
        <v>14</v>
      </c>
      <c r="U47" s="663">
        <f t="shared" si="13"/>
        <v>100</v>
      </c>
      <c r="V47" s="662" t="s">
        <v>14</v>
      </c>
      <c r="W47" s="663">
        <f t="shared" si="14"/>
        <v>100</v>
      </c>
      <c r="X47" s="1259"/>
      <c r="Y47" s="3660"/>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592" t="str">
        <f>A48</f>
        <v>成交单价（元/平方米）</v>
      </c>
      <c r="Q48" s="3593"/>
      <c r="R48" s="3598">
        <f>E48</f>
        <v>0</v>
      </c>
      <c r="S48" s="3598"/>
      <c r="T48" s="3598">
        <f>G48</f>
        <v>0</v>
      </c>
      <c r="U48" s="3598"/>
      <c r="V48" s="3598">
        <f>I48</f>
        <v>0</v>
      </c>
      <c r="W48" s="3598"/>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592" t="str">
        <f>A49</f>
        <v>比较价值（元/平方米）</v>
      </c>
      <c r="Q49" s="3593"/>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61" t="str">
        <f>A50</f>
        <v>估价对象XX用房的比较价值（楼面单价，元/平方米）</v>
      </c>
      <c r="Q50" s="3662"/>
      <c r="R50" s="3663" t="e">
        <f>IF(F1="售价",ROUND(IF(D49="简单平均",AVERAGE(R49:V49),R49*F49+T49*H49+V49*J49),0),ROUND(IF(D49="简单平均",AVERAGE(R49:V49),R49*F49+T49*H49+V49*J49),1))</f>
        <v>#DIV/0!</v>
      </c>
      <c r="S50" s="3663"/>
      <c r="T50" s="3663"/>
      <c r="U50" s="3663"/>
      <c r="V50" s="3663"/>
      <c r="W50" s="3663"/>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590" t="s">
        <v>1769</v>
      </c>
      <c r="D4" s="3602"/>
      <c r="E4" s="3603" t="s">
        <v>1770</v>
      </c>
      <c r="F4" s="3604"/>
      <c r="G4" s="3590" t="s">
        <v>1771</v>
      </c>
      <c r="H4" s="3602"/>
      <c r="I4" s="3590" t="s">
        <v>1772</v>
      </c>
      <c r="J4" s="3602"/>
      <c r="K4" s="535" t="s">
        <v>1773</v>
      </c>
      <c r="L4" s="855"/>
      <c r="M4" s="856"/>
      <c r="N4" s="856"/>
      <c r="O4" s="856"/>
      <c r="P4" s="3605" t="s">
        <v>1774</v>
      </c>
      <c r="Q4" s="3606"/>
      <c r="R4" s="3611" t="s">
        <v>1770</v>
      </c>
      <c r="S4" s="3612"/>
      <c r="T4" s="3611" t="s">
        <v>1771</v>
      </c>
      <c r="U4" s="3612"/>
      <c r="V4" s="3598" t="s">
        <v>1772</v>
      </c>
      <c r="W4" s="3598"/>
      <c r="X4" s="1259"/>
      <c r="Y4" s="3611" t="s">
        <v>1774</v>
      </c>
      <c r="Z4" s="3612"/>
      <c r="AA4" s="3599" t="s">
        <v>1770</v>
      </c>
      <c r="AB4" s="3600" t="s">
        <v>1771</v>
      </c>
      <c r="AC4" s="3599" t="s">
        <v>1772</v>
      </c>
    </row>
    <row r="5" spans="1:29" ht="15">
      <c r="A5" s="348"/>
      <c r="B5" s="349"/>
      <c r="C5" s="3619" t="s">
        <v>1672</v>
      </c>
      <c r="D5" s="3620"/>
      <c r="E5" s="3626" t="s">
        <v>1673</v>
      </c>
      <c r="F5" s="3627"/>
      <c r="G5" s="3619" t="s">
        <v>1674</v>
      </c>
      <c r="H5" s="3620"/>
      <c r="I5" s="3619" t="s">
        <v>1675</v>
      </c>
      <c r="J5" s="3620"/>
      <c r="K5" s="535"/>
      <c r="L5" s="855"/>
      <c r="M5" s="856"/>
      <c r="N5" s="856"/>
      <c r="O5" s="856"/>
      <c r="P5" s="3607"/>
      <c r="Q5" s="3608"/>
      <c r="R5" s="3613"/>
      <c r="S5" s="3614"/>
      <c r="T5" s="3613"/>
      <c r="U5" s="3614"/>
      <c r="V5" s="3598"/>
      <c r="W5" s="3598"/>
      <c r="X5" s="1259"/>
      <c r="Y5" s="3613"/>
      <c r="Z5" s="3614"/>
      <c r="AA5" s="3600"/>
      <c r="AB5" s="3600"/>
      <c r="AC5" s="3600"/>
    </row>
    <row r="6" spans="1:29" ht="15.75" thickBot="1">
      <c r="A6" s="350"/>
      <c r="B6" s="351"/>
      <c r="C6" s="3617" t="s">
        <v>1676</v>
      </c>
      <c r="D6" s="3618"/>
      <c r="E6" s="3624" t="s">
        <v>1676</v>
      </c>
      <c r="F6" s="3625"/>
      <c r="G6" s="3617" t="s">
        <v>1676</v>
      </c>
      <c r="H6" s="3618"/>
      <c r="I6" s="3617" t="s">
        <v>1676</v>
      </c>
      <c r="J6" s="3618"/>
      <c r="K6" s="535" t="s">
        <v>1677</v>
      </c>
      <c r="L6" s="855"/>
      <c r="M6" s="856"/>
      <c r="N6" s="856"/>
      <c r="O6" s="856"/>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621" t="s">
        <v>1679</v>
      </c>
      <c r="Q7" s="3623"/>
      <c r="R7" s="659" t="s">
        <v>14</v>
      </c>
      <c r="S7" s="660">
        <f t="shared" ref="S7:S15" si="0">F7</f>
        <v>0</v>
      </c>
      <c r="T7" s="659" t="s">
        <v>14</v>
      </c>
      <c r="U7" s="660">
        <f t="shared" ref="U7:U15" si="1">H7</f>
        <v>0</v>
      </c>
      <c r="V7" s="659" t="s">
        <v>14</v>
      </c>
      <c r="W7" s="660">
        <f t="shared" ref="W7:W15" si="2">J7</f>
        <v>0</v>
      </c>
      <c r="X7" s="661"/>
      <c r="Y7" s="3621" t="s">
        <v>1679</v>
      </c>
      <c r="Z7" s="3622"/>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621" t="s">
        <v>1682</v>
      </c>
      <c r="Q8" s="3622"/>
      <c r="R8" s="659" t="s">
        <v>14</v>
      </c>
      <c r="S8" s="660">
        <f t="shared" si="0"/>
        <v>100</v>
      </c>
      <c r="T8" s="659" t="s">
        <v>14</v>
      </c>
      <c r="U8" s="660">
        <f t="shared" si="1"/>
        <v>100</v>
      </c>
      <c r="V8" s="659" t="s">
        <v>14</v>
      </c>
      <c r="W8" s="660">
        <f t="shared" si="2"/>
        <v>100</v>
      </c>
      <c r="X8" s="661"/>
      <c r="Y8" s="3621" t="s">
        <v>1682</v>
      </c>
      <c r="Z8" s="3622"/>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593"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593"/>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593"/>
      <c r="Q11" s="528" t="str">
        <f t="shared" si="6"/>
        <v>容积率</v>
      </c>
      <c r="R11" s="659" t="s">
        <v>14</v>
      </c>
      <c r="S11" s="660">
        <f t="shared" si="0"/>
        <v>100</v>
      </c>
      <c r="T11" s="659" t="s">
        <v>14</v>
      </c>
      <c r="U11" s="660">
        <f t="shared" si="1"/>
        <v>100</v>
      </c>
      <c r="V11" s="659" t="s">
        <v>14</v>
      </c>
      <c r="W11" s="660">
        <f t="shared" si="2"/>
        <v>100</v>
      </c>
      <c r="X11" s="661"/>
      <c r="Y11" s="3490"/>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593"/>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593"/>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593"/>
      <c r="Q14" s="528">
        <f t="shared" si="6"/>
        <v>111</v>
      </c>
      <c r="R14" s="659" t="s">
        <v>14</v>
      </c>
      <c r="S14" s="660">
        <f t="shared" si="0"/>
        <v>100</v>
      </c>
      <c r="T14" s="659" t="s">
        <v>14</v>
      </c>
      <c r="U14" s="660">
        <f t="shared" si="1"/>
        <v>100</v>
      </c>
      <c r="V14" s="659" t="s">
        <v>14</v>
      </c>
      <c r="W14" s="660">
        <f t="shared" si="2"/>
        <v>100</v>
      </c>
      <c r="X14" s="661"/>
      <c r="Y14" s="3490"/>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594" t="s">
        <v>1690</v>
      </c>
      <c r="Q15" s="1257" t="str">
        <f t="shared" si="6"/>
        <v>产业集聚程度</v>
      </c>
      <c r="R15" s="662" t="s">
        <v>14</v>
      </c>
      <c r="S15" s="663">
        <f t="shared" si="0"/>
        <v>100</v>
      </c>
      <c r="T15" s="662" t="s">
        <v>14</v>
      </c>
      <c r="U15" s="663">
        <f t="shared" si="1"/>
        <v>100</v>
      </c>
      <c r="V15" s="662" t="s">
        <v>14</v>
      </c>
      <c r="W15" s="663">
        <f t="shared" si="2"/>
        <v>100</v>
      </c>
      <c r="X15" s="1259"/>
      <c r="Y15" s="3594"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595"/>
      <c r="Q16" s="1257"/>
      <c r="R16" s="662"/>
      <c r="S16" s="663"/>
      <c r="T16" s="662"/>
      <c r="U16" s="663"/>
      <c r="V16" s="662"/>
      <c r="W16" s="663"/>
      <c r="X16" s="1259"/>
      <c r="Y16" s="3595"/>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595"/>
      <c r="Q17" s="1257" t="str">
        <f>B17</f>
        <v>交通便捷度</v>
      </c>
      <c r="R17" s="662" t="s">
        <v>14</v>
      </c>
      <c r="S17" s="663">
        <f>F17</f>
        <v>100</v>
      </c>
      <c r="T17" s="662" t="s">
        <v>14</v>
      </c>
      <c r="U17" s="663">
        <f>H17</f>
        <v>100</v>
      </c>
      <c r="V17" s="662" t="s">
        <v>14</v>
      </c>
      <c r="W17" s="663">
        <f>J17</f>
        <v>100</v>
      </c>
      <c r="X17" s="1259"/>
      <c r="Y17" s="3595"/>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595"/>
      <c r="Q18" s="1257"/>
      <c r="R18" s="662"/>
      <c r="S18" s="663"/>
      <c r="T18" s="662"/>
      <c r="U18" s="663"/>
      <c r="V18" s="662"/>
      <c r="W18" s="663"/>
      <c r="X18" s="1259"/>
      <c r="Y18" s="3595"/>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595"/>
      <c r="Q19" s="1257" t="str">
        <f>B19</f>
        <v>公共配套设施</v>
      </c>
      <c r="R19" s="662" t="s">
        <v>14</v>
      </c>
      <c r="S19" s="663">
        <f>F19</f>
        <v>100</v>
      </c>
      <c r="T19" s="662" t="s">
        <v>14</v>
      </c>
      <c r="U19" s="663">
        <f>H19</f>
        <v>100</v>
      </c>
      <c r="V19" s="662" t="s">
        <v>14</v>
      </c>
      <c r="W19" s="663">
        <f>J19</f>
        <v>100</v>
      </c>
      <c r="X19" s="1259"/>
      <c r="Y19" s="3595"/>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595"/>
      <c r="Q20" s="1257"/>
      <c r="R20" s="662"/>
      <c r="S20" s="663"/>
      <c r="T20" s="662"/>
      <c r="U20" s="663"/>
      <c r="V20" s="662"/>
      <c r="W20" s="663"/>
      <c r="X20" s="1259"/>
      <c r="Y20" s="3595"/>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595"/>
      <c r="Q21" s="1257" t="str">
        <f>B21</f>
        <v>基础设施水平</v>
      </c>
      <c r="R21" s="662" t="s">
        <v>14</v>
      </c>
      <c r="S21" s="663">
        <f>F21</f>
        <v>100</v>
      </c>
      <c r="T21" s="662" t="s">
        <v>14</v>
      </c>
      <c r="U21" s="663">
        <f>H21</f>
        <v>100</v>
      </c>
      <c r="V21" s="662" t="s">
        <v>14</v>
      </c>
      <c r="W21" s="663">
        <f>J21</f>
        <v>100</v>
      </c>
      <c r="X21" s="1259"/>
      <c r="Y21" s="3595"/>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595"/>
      <c r="Q22" s="1257"/>
      <c r="R22" s="662"/>
      <c r="S22" s="663"/>
      <c r="T22" s="662"/>
      <c r="U22" s="663"/>
      <c r="V22" s="662"/>
      <c r="W22" s="663"/>
      <c r="X22" s="1259"/>
      <c r="Y22" s="3595"/>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595"/>
      <c r="Q23" s="1257" t="str">
        <f>B23</f>
        <v>环境质量</v>
      </c>
      <c r="R23" s="662" t="s">
        <v>14</v>
      </c>
      <c r="S23" s="663">
        <f>F23</f>
        <v>100</v>
      </c>
      <c r="T23" s="662" t="s">
        <v>14</v>
      </c>
      <c r="U23" s="663">
        <f>H23</f>
        <v>100</v>
      </c>
      <c r="V23" s="662" t="s">
        <v>14</v>
      </c>
      <c r="W23" s="663">
        <f>J23</f>
        <v>100</v>
      </c>
      <c r="X23" s="1259"/>
      <c r="Y23" s="3595"/>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595"/>
      <c r="Q24" s="1257"/>
      <c r="R24" s="662"/>
      <c r="S24" s="663"/>
      <c r="T24" s="662"/>
      <c r="U24" s="663"/>
      <c r="V24" s="662"/>
      <c r="W24" s="663"/>
      <c r="X24" s="1259"/>
      <c r="Y24" s="3595"/>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595"/>
      <c r="Q25" s="1257">
        <f>B25</f>
        <v>111</v>
      </c>
      <c r="R25" s="662" t="s">
        <v>14</v>
      </c>
      <c r="S25" s="663">
        <f>F25</f>
        <v>100</v>
      </c>
      <c r="T25" s="662" t="s">
        <v>14</v>
      </c>
      <c r="U25" s="663">
        <f>H25</f>
        <v>100</v>
      </c>
      <c r="V25" s="662" t="s">
        <v>14</v>
      </c>
      <c r="W25" s="663">
        <f>J25</f>
        <v>100</v>
      </c>
      <c r="X25" s="1259"/>
      <c r="Y25" s="3595"/>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595"/>
      <c r="Q26" s="1257">
        <f t="shared" ref="Q26:Q40" si="11">B26</f>
        <v>111</v>
      </c>
      <c r="R26" s="662" t="s">
        <v>14</v>
      </c>
      <c r="S26" s="663">
        <f>F26</f>
        <v>100</v>
      </c>
      <c r="T26" s="662" t="s">
        <v>14</v>
      </c>
      <c r="U26" s="663">
        <f>H26</f>
        <v>100</v>
      </c>
      <c r="V26" s="662" t="s">
        <v>14</v>
      </c>
      <c r="W26" s="663">
        <f>J26</f>
        <v>100</v>
      </c>
      <c r="X26" s="1259"/>
      <c r="Y26" s="3595"/>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595"/>
      <c r="Q27" s="528">
        <f t="shared" si="11"/>
        <v>111</v>
      </c>
      <c r="R27" s="659" t="s">
        <v>14</v>
      </c>
      <c r="S27" s="660">
        <f>F27</f>
        <v>100</v>
      </c>
      <c r="T27" s="659" t="s">
        <v>14</v>
      </c>
      <c r="U27" s="660">
        <f>H27</f>
        <v>100</v>
      </c>
      <c r="V27" s="659" t="s">
        <v>14</v>
      </c>
      <c r="W27" s="660">
        <f>J27</f>
        <v>100</v>
      </c>
      <c r="X27" s="661"/>
      <c r="Y27" s="3595"/>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595"/>
      <c r="Q28" s="1257">
        <f t="shared" si="11"/>
        <v>111</v>
      </c>
      <c r="R28" s="662" t="s">
        <v>14</v>
      </c>
      <c r="S28" s="663">
        <f t="shared" ref="S28:S40" si="12">F28</f>
        <v>100</v>
      </c>
      <c r="T28" s="662" t="s">
        <v>14</v>
      </c>
      <c r="U28" s="663">
        <f t="shared" ref="U28:U40" si="13">H28</f>
        <v>100</v>
      </c>
      <c r="V28" s="662" t="s">
        <v>14</v>
      </c>
      <c r="W28" s="663">
        <f t="shared" ref="W28:W40" si="14">J28</f>
        <v>100</v>
      </c>
      <c r="X28" s="1259"/>
      <c r="Y28" s="3595"/>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596" t="s">
        <v>1695</v>
      </c>
      <c r="Q29" s="1257" t="str">
        <f t="shared" si="11"/>
        <v>建筑类型</v>
      </c>
      <c r="R29" s="662" t="s">
        <v>14</v>
      </c>
      <c r="S29" s="663">
        <f t="shared" si="12"/>
        <v>100</v>
      </c>
      <c r="T29" s="662" t="s">
        <v>14</v>
      </c>
      <c r="U29" s="663">
        <f t="shared" si="13"/>
        <v>100</v>
      </c>
      <c r="V29" s="662" t="s">
        <v>14</v>
      </c>
      <c r="W29" s="663">
        <f t="shared" si="14"/>
        <v>100</v>
      </c>
      <c r="X29" s="1259"/>
      <c r="Y29" s="3597"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597"/>
      <c r="Q30" s="529" t="str">
        <f t="shared" si="11"/>
        <v>项目建筑规模</v>
      </c>
      <c r="R30" s="664" t="s">
        <v>14</v>
      </c>
      <c r="S30" s="665" t="e">
        <f t="shared" si="12"/>
        <v>#N/A</v>
      </c>
      <c r="T30" s="664" t="s">
        <v>14</v>
      </c>
      <c r="U30" s="665" t="e">
        <f t="shared" si="13"/>
        <v>#N/A</v>
      </c>
      <c r="V30" s="664" t="s">
        <v>14</v>
      </c>
      <c r="W30" s="665" t="e">
        <f t="shared" si="14"/>
        <v>#N/A</v>
      </c>
      <c r="X30" s="666"/>
      <c r="Y30" s="3597"/>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597"/>
      <c r="Q31" s="1257" t="str">
        <f t="shared" si="11"/>
        <v>建筑结构</v>
      </c>
      <c r="R31" s="662" t="s">
        <v>14</v>
      </c>
      <c r="S31" s="663">
        <f t="shared" si="12"/>
        <v>100</v>
      </c>
      <c r="T31" s="662" t="s">
        <v>14</v>
      </c>
      <c r="U31" s="663">
        <f t="shared" si="13"/>
        <v>100</v>
      </c>
      <c r="V31" s="662" t="s">
        <v>14</v>
      </c>
      <c r="W31" s="663">
        <f t="shared" si="14"/>
        <v>100</v>
      </c>
      <c r="X31" s="1259"/>
      <c r="Y31" s="3597"/>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597"/>
      <c r="Q32" s="1257" t="str">
        <f t="shared" si="11"/>
        <v>公共部分装修</v>
      </c>
      <c r="R32" s="662" t="s">
        <v>14</v>
      </c>
      <c r="S32" s="663">
        <f t="shared" si="12"/>
        <v>100</v>
      </c>
      <c r="T32" s="662" t="s">
        <v>14</v>
      </c>
      <c r="U32" s="663">
        <f t="shared" si="13"/>
        <v>100</v>
      </c>
      <c r="V32" s="662" t="s">
        <v>14</v>
      </c>
      <c r="W32" s="663">
        <f t="shared" si="14"/>
        <v>100</v>
      </c>
      <c r="X32" s="1259"/>
      <c r="Y32" s="3597"/>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597"/>
      <c r="Q33" s="1257" t="str">
        <f t="shared" si="11"/>
        <v>成新度</v>
      </c>
      <c r="R33" s="662" t="s">
        <v>14</v>
      </c>
      <c r="S33" s="663" t="e">
        <f t="shared" si="12"/>
        <v>#N/A</v>
      </c>
      <c r="T33" s="662" t="s">
        <v>14</v>
      </c>
      <c r="U33" s="663" t="e">
        <f t="shared" si="13"/>
        <v>#N/A</v>
      </c>
      <c r="V33" s="662" t="s">
        <v>14</v>
      </c>
      <c r="W33" s="663" t="e">
        <f t="shared" si="14"/>
        <v>#N/A</v>
      </c>
      <c r="X33" s="1259"/>
      <c r="Y33" s="3597"/>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597"/>
      <c r="Q34" s="528" t="str">
        <f t="shared" si="11"/>
        <v>物业管理</v>
      </c>
      <c r="R34" s="659" t="s">
        <v>14</v>
      </c>
      <c r="S34" s="660">
        <f t="shared" si="12"/>
        <v>100</v>
      </c>
      <c r="T34" s="659" t="s">
        <v>14</v>
      </c>
      <c r="U34" s="660">
        <f t="shared" si="13"/>
        <v>100</v>
      </c>
      <c r="V34" s="659" t="s">
        <v>14</v>
      </c>
      <c r="W34" s="660">
        <f t="shared" si="14"/>
        <v>100</v>
      </c>
      <c r="X34" s="661"/>
      <c r="Y34" s="3597"/>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597" t="s">
        <v>1695</v>
      </c>
      <c r="Q35" s="1257" t="str">
        <f t="shared" si="11"/>
        <v>市政基础设施</v>
      </c>
      <c r="R35" s="662" t="s">
        <v>14</v>
      </c>
      <c r="S35" s="663">
        <f t="shared" si="12"/>
        <v>100</v>
      </c>
      <c r="T35" s="662" t="s">
        <v>14</v>
      </c>
      <c r="U35" s="663">
        <f t="shared" si="13"/>
        <v>100</v>
      </c>
      <c r="V35" s="662" t="s">
        <v>14</v>
      </c>
      <c r="W35" s="663">
        <f t="shared" si="14"/>
        <v>100</v>
      </c>
      <c r="X35" s="1259"/>
      <c r="Y35" s="3597"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597"/>
      <c r="Q36" s="1257" t="str">
        <f t="shared" si="11"/>
        <v>内部装修</v>
      </c>
      <c r="R36" s="662" t="s">
        <v>14</v>
      </c>
      <c r="S36" s="663">
        <f t="shared" si="12"/>
        <v>100</v>
      </c>
      <c r="T36" s="662" t="s">
        <v>14</v>
      </c>
      <c r="U36" s="663">
        <f t="shared" si="13"/>
        <v>100</v>
      </c>
      <c r="V36" s="662" t="s">
        <v>14</v>
      </c>
      <c r="W36" s="663">
        <f t="shared" si="14"/>
        <v>100</v>
      </c>
      <c r="X36" s="1259"/>
      <c r="Y36" s="3597"/>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597"/>
      <c r="Q37" s="1257" t="str">
        <f t="shared" si="11"/>
        <v>内部装修状况</v>
      </c>
      <c r="R37" s="662" t="s">
        <v>14</v>
      </c>
      <c r="S37" s="663">
        <f t="shared" si="12"/>
        <v>100</v>
      </c>
      <c r="T37" s="662" t="s">
        <v>14</v>
      </c>
      <c r="U37" s="663">
        <f t="shared" si="13"/>
        <v>100</v>
      </c>
      <c r="V37" s="662" t="s">
        <v>14</v>
      </c>
      <c r="W37" s="663">
        <f t="shared" si="14"/>
        <v>100</v>
      </c>
      <c r="X37" s="1259"/>
      <c r="Y37" s="3597"/>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597"/>
      <c r="Q38" s="529">
        <f t="shared" si="11"/>
        <v>111</v>
      </c>
      <c r="R38" s="664" t="s">
        <v>14</v>
      </c>
      <c r="S38" s="665">
        <f t="shared" si="12"/>
        <v>100</v>
      </c>
      <c r="T38" s="664" t="s">
        <v>14</v>
      </c>
      <c r="U38" s="665">
        <f t="shared" si="13"/>
        <v>100</v>
      </c>
      <c r="V38" s="664" t="s">
        <v>14</v>
      </c>
      <c r="W38" s="665">
        <f t="shared" si="14"/>
        <v>100</v>
      </c>
      <c r="X38" s="666"/>
      <c r="Y38" s="3597"/>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597"/>
      <c r="Q39" s="1257">
        <f t="shared" si="11"/>
        <v>111</v>
      </c>
      <c r="R39" s="662" t="s">
        <v>14</v>
      </c>
      <c r="S39" s="663">
        <f t="shared" si="12"/>
        <v>100</v>
      </c>
      <c r="T39" s="662" t="s">
        <v>14</v>
      </c>
      <c r="U39" s="663">
        <f t="shared" si="13"/>
        <v>100</v>
      </c>
      <c r="V39" s="662" t="s">
        <v>14</v>
      </c>
      <c r="W39" s="663">
        <f t="shared" si="14"/>
        <v>100</v>
      </c>
      <c r="X39" s="1259"/>
      <c r="Y39" s="3597"/>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60"/>
      <c r="Q40" s="1257">
        <f t="shared" si="11"/>
        <v>111</v>
      </c>
      <c r="R40" s="662" t="s">
        <v>14</v>
      </c>
      <c r="S40" s="663">
        <f t="shared" si="12"/>
        <v>100</v>
      </c>
      <c r="T40" s="662" t="s">
        <v>14</v>
      </c>
      <c r="U40" s="663">
        <f t="shared" si="13"/>
        <v>100</v>
      </c>
      <c r="V40" s="662" t="s">
        <v>14</v>
      </c>
      <c r="W40" s="663">
        <f t="shared" si="14"/>
        <v>100</v>
      </c>
      <c r="X40" s="1259"/>
      <c r="Y40" s="3660"/>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593" t="str">
        <f>A41</f>
        <v>成交单价（元/平方米）</v>
      </c>
      <c r="Q41" s="3593"/>
      <c r="R41" s="3598">
        <f>E41</f>
        <v>0</v>
      </c>
      <c r="S41" s="3598"/>
      <c r="T41" s="3598">
        <f>G41</f>
        <v>0</v>
      </c>
      <c r="U41" s="3598"/>
      <c r="V41" s="3598">
        <f>I41</f>
        <v>0</v>
      </c>
      <c r="W41" s="3598"/>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593" t="str">
        <f>A42</f>
        <v>比较价值（元/平方米）</v>
      </c>
      <c r="Q42" s="3593"/>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587" t="str">
        <f>A43</f>
        <v>估价对象XX用房的比较价值（楼面单价，元/平方米）</v>
      </c>
      <c r="Q43" s="3588"/>
      <c r="R43" s="3654" t="e">
        <f>IF(F1="售价",ROUND(IF(D42="简单平均",AVERAGE(R42:V42),R42*F42+T42*H42+V42*J42),0),ROUND(IF(D42="简单平均",AVERAGE(R42:V42),R42*F42+T42*H42+V42*J42),1))</f>
        <v>#DIV/0!</v>
      </c>
      <c r="S43" s="3654"/>
      <c r="T43" s="3654"/>
      <c r="U43" s="3654"/>
      <c r="V43" s="3654"/>
      <c r="W43" s="3654"/>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05" t="s">
        <v>1774</v>
      </c>
      <c r="Q4" s="3606"/>
      <c r="R4" s="3611" t="s">
        <v>1770</v>
      </c>
      <c r="S4" s="3612"/>
      <c r="T4" s="3611" t="s">
        <v>1771</v>
      </c>
      <c r="U4" s="3612"/>
      <c r="V4" s="3598" t="s">
        <v>1772</v>
      </c>
      <c r="W4" s="3598"/>
      <c r="X4" s="1259"/>
      <c r="Y4" s="3611" t="s">
        <v>1774</v>
      </c>
      <c r="Z4" s="3612"/>
      <c r="AA4" s="3599" t="s">
        <v>1770</v>
      </c>
      <c r="AB4" s="3600" t="s">
        <v>1771</v>
      </c>
      <c r="AC4" s="3599" t="s">
        <v>1772</v>
      </c>
    </row>
    <row r="5" spans="1:29" ht="15">
      <c r="A5" s="348"/>
      <c r="B5" s="349"/>
      <c r="C5" s="3619" t="s">
        <v>1672</v>
      </c>
      <c r="D5" s="3620"/>
      <c r="E5" s="3626" t="s">
        <v>1673</v>
      </c>
      <c r="F5" s="3627"/>
      <c r="G5" s="3619" t="s">
        <v>1674</v>
      </c>
      <c r="H5" s="3620"/>
      <c r="I5" s="3619" t="s">
        <v>1675</v>
      </c>
      <c r="J5" s="3620"/>
      <c r="K5" s="535"/>
      <c r="L5" s="2479"/>
      <c r="M5" s="2480"/>
      <c r="N5" s="2480"/>
      <c r="O5" s="2480"/>
      <c r="P5" s="3607"/>
      <c r="Q5" s="3608"/>
      <c r="R5" s="3613"/>
      <c r="S5" s="3614"/>
      <c r="T5" s="3613"/>
      <c r="U5" s="3614"/>
      <c r="V5" s="3598"/>
      <c r="W5" s="3598"/>
      <c r="X5" s="1259"/>
      <c r="Y5" s="3613"/>
      <c r="Z5" s="3614"/>
      <c r="AA5" s="3600"/>
      <c r="AB5" s="3600"/>
      <c r="AC5" s="3600"/>
    </row>
    <row r="6" spans="1:29" ht="15.75" thickBot="1">
      <c r="A6" s="350"/>
      <c r="B6" s="351"/>
      <c r="C6" s="3676" t="s">
        <v>1918</v>
      </c>
      <c r="D6" s="3677"/>
      <c r="E6" s="3678" t="s">
        <v>1918</v>
      </c>
      <c r="F6" s="3679"/>
      <c r="G6" s="3676" t="s">
        <v>1918</v>
      </c>
      <c r="H6" s="3677"/>
      <c r="I6" s="3676" t="s">
        <v>1918</v>
      </c>
      <c r="J6" s="3677"/>
      <c r="K6" s="535" t="s">
        <v>1677</v>
      </c>
      <c r="L6" s="2479"/>
      <c r="M6" s="2480"/>
      <c r="N6" s="2480"/>
      <c r="O6" s="2480"/>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621" t="s">
        <v>1679</v>
      </c>
      <c r="Q7" s="3623"/>
      <c r="R7" s="659" t="s">
        <v>14</v>
      </c>
      <c r="S7" s="660">
        <f t="shared" ref="S7:S15" si="0">F7</f>
        <v>0</v>
      </c>
      <c r="T7" s="659" t="s">
        <v>14</v>
      </c>
      <c r="U7" s="660">
        <f t="shared" ref="U7:U15" si="1">H7</f>
        <v>0</v>
      </c>
      <c r="V7" s="659" t="s">
        <v>14</v>
      </c>
      <c r="W7" s="660">
        <f t="shared" ref="W7:W15" si="2">J7</f>
        <v>0</v>
      </c>
      <c r="X7" s="661"/>
      <c r="Y7" s="3621" t="s">
        <v>1679</v>
      </c>
      <c r="Z7" s="3622"/>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621" t="s">
        <v>1682</v>
      </c>
      <c r="Q8" s="3622"/>
      <c r="R8" s="659" t="s">
        <v>14</v>
      </c>
      <c r="S8" s="660">
        <f t="shared" si="0"/>
        <v>0</v>
      </c>
      <c r="T8" s="659" t="s">
        <v>14</v>
      </c>
      <c r="U8" s="660">
        <f t="shared" si="1"/>
        <v>0</v>
      </c>
      <c r="V8" s="659" t="s">
        <v>14</v>
      </c>
      <c r="W8" s="660">
        <f t="shared" si="2"/>
        <v>0</v>
      </c>
      <c r="X8" s="661"/>
      <c r="Y8" s="3621" t="s">
        <v>1682</v>
      </c>
      <c r="Z8" s="3622"/>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593"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593"/>
      <c r="Q10" s="528" t="str">
        <f t="shared" si="6"/>
        <v>土地使用年限（年）</v>
      </c>
      <c r="R10" s="659" t="s">
        <v>14</v>
      </c>
      <c r="S10" s="660">
        <f t="shared" si="0"/>
        <v>101</v>
      </c>
      <c r="T10" s="659" t="s">
        <v>14</v>
      </c>
      <c r="U10" s="660">
        <f t="shared" si="1"/>
        <v>101</v>
      </c>
      <c r="V10" s="659" t="s">
        <v>14</v>
      </c>
      <c r="W10" s="660">
        <f t="shared" si="2"/>
        <v>101</v>
      </c>
      <c r="X10" s="661"/>
      <c r="Y10" s="3490"/>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593"/>
      <c r="Q11" s="528" t="str">
        <f t="shared" si="6"/>
        <v>容积率</v>
      </c>
      <c r="R11" s="659" t="s">
        <v>14</v>
      </c>
      <c r="S11" s="660" t="e">
        <f t="shared" si="0"/>
        <v>#N/A</v>
      </c>
      <c r="T11" s="659" t="s">
        <v>14</v>
      </c>
      <c r="U11" s="660" t="e">
        <f t="shared" si="1"/>
        <v>#N/A</v>
      </c>
      <c r="V11" s="659" t="s">
        <v>14</v>
      </c>
      <c r="W11" s="660" t="e">
        <f t="shared" si="2"/>
        <v>#N/A</v>
      </c>
      <c r="X11" s="661"/>
      <c r="Y11" s="3490"/>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593"/>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593"/>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593"/>
      <c r="Q14" s="528">
        <f t="shared" si="6"/>
        <v>111</v>
      </c>
      <c r="R14" s="659" t="s">
        <v>14</v>
      </c>
      <c r="S14" s="660">
        <f t="shared" si="0"/>
        <v>100</v>
      </c>
      <c r="T14" s="659" t="s">
        <v>14</v>
      </c>
      <c r="U14" s="660">
        <f t="shared" si="1"/>
        <v>100</v>
      </c>
      <c r="V14" s="659" t="s">
        <v>14</v>
      </c>
      <c r="W14" s="660">
        <f t="shared" si="2"/>
        <v>100</v>
      </c>
      <c r="X14" s="661"/>
      <c r="Y14" s="3490"/>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594" t="s">
        <v>1690</v>
      </c>
      <c r="Q15" s="1257" t="str">
        <f t="shared" si="6"/>
        <v>产业集聚程度</v>
      </c>
      <c r="R15" s="662" t="s">
        <v>14</v>
      </c>
      <c r="S15" s="663">
        <f t="shared" si="0"/>
        <v>100</v>
      </c>
      <c r="T15" s="662" t="s">
        <v>14</v>
      </c>
      <c r="U15" s="663">
        <f t="shared" si="1"/>
        <v>100</v>
      </c>
      <c r="V15" s="662" t="s">
        <v>14</v>
      </c>
      <c r="W15" s="663">
        <f t="shared" si="2"/>
        <v>100</v>
      </c>
      <c r="X15" s="1259"/>
      <c r="Y15" s="3594"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595"/>
      <c r="Q16" s="1257"/>
      <c r="R16" s="662"/>
      <c r="S16" s="663"/>
      <c r="T16" s="662"/>
      <c r="U16" s="663"/>
      <c r="V16" s="662"/>
      <c r="W16" s="663"/>
      <c r="X16" s="1259"/>
      <c r="Y16" s="3595"/>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595"/>
      <c r="Q17" s="1257" t="str">
        <f>B17</f>
        <v>交通便捷度</v>
      </c>
      <c r="R17" s="662" t="s">
        <v>14</v>
      </c>
      <c r="S17" s="663">
        <f>F17</f>
        <v>100</v>
      </c>
      <c r="T17" s="662" t="s">
        <v>14</v>
      </c>
      <c r="U17" s="663">
        <f>H17</f>
        <v>100</v>
      </c>
      <c r="V17" s="662" t="s">
        <v>14</v>
      </c>
      <c r="W17" s="663">
        <f>J17</f>
        <v>100</v>
      </c>
      <c r="X17" s="1259"/>
      <c r="Y17" s="3595"/>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595"/>
      <c r="Q18" s="1257"/>
      <c r="R18" s="662"/>
      <c r="S18" s="663"/>
      <c r="T18" s="662"/>
      <c r="U18" s="663"/>
      <c r="V18" s="662"/>
      <c r="W18" s="663"/>
      <c r="X18" s="1259"/>
      <c r="Y18" s="3595"/>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595"/>
      <c r="Q19" s="1257" t="str">
        <f t="shared" ref="Q19:Q33" si="8">B19</f>
        <v>区域土地利用方向</v>
      </c>
      <c r="R19" s="662" t="s">
        <v>14</v>
      </c>
      <c r="S19" s="663">
        <f>F19</f>
        <v>100</v>
      </c>
      <c r="T19" s="662" t="s">
        <v>14</v>
      </c>
      <c r="U19" s="663">
        <f>H19</f>
        <v>100</v>
      </c>
      <c r="V19" s="662" t="s">
        <v>14</v>
      </c>
      <c r="W19" s="663">
        <f>J19</f>
        <v>100</v>
      </c>
      <c r="X19" s="1259"/>
      <c r="Y19" s="3595"/>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595"/>
      <c r="Q20" s="1257"/>
      <c r="R20" s="662"/>
      <c r="S20" s="663"/>
      <c r="T20" s="662"/>
      <c r="U20" s="663"/>
      <c r="V20" s="662"/>
      <c r="W20" s="663"/>
      <c r="X20" s="1259"/>
      <c r="Y20" s="3595"/>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595"/>
      <c r="Q21" s="1257" t="str">
        <f t="shared" si="8"/>
        <v>环境状况</v>
      </c>
      <c r="R21" s="662" t="s">
        <v>14</v>
      </c>
      <c r="S21" s="663">
        <f>F21</f>
        <v>100</v>
      </c>
      <c r="T21" s="662" t="s">
        <v>14</v>
      </c>
      <c r="U21" s="663">
        <f>H21</f>
        <v>100</v>
      </c>
      <c r="V21" s="662" t="s">
        <v>14</v>
      </c>
      <c r="W21" s="663">
        <f>J21</f>
        <v>100</v>
      </c>
      <c r="X21" s="1259"/>
      <c r="Y21" s="3595"/>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595"/>
      <c r="Q22" s="1257"/>
      <c r="R22" s="662"/>
      <c r="S22" s="663"/>
      <c r="T22" s="662"/>
      <c r="U22" s="663"/>
      <c r="V22" s="662"/>
      <c r="W22" s="663"/>
      <c r="X22" s="1259"/>
      <c r="Y22" s="3595"/>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595"/>
      <c r="Q23" s="528" t="str">
        <f t="shared" si="8"/>
        <v>公共配套设施</v>
      </c>
      <c r="R23" s="659" t="s">
        <v>14</v>
      </c>
      <c r="S23" s="660">
        <f>F23</f>
        <v>100</v>
      </c>
      <c r="T23" s="659" t="s">
        <v>14</v>
      </c>
      <c r="U23" s="660">
        <f>H23</f>
        <v>100</v>
      </c>
      <c r="V23" s="659" t="s">
        <v>14</v>
      </c>
      <c r="W23" s="660">
        <f>J23</f>
        <v>100</v>
      </c>
      <c r="X23" s="661"/>
      <c r="Y23" s="3595"/>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595"/>
      <c r="Q24" s="528"/>
      <c r="R24" s="659"/>
      <c r="S24" s="660"/>
      <c r="T24" s="659"/>
      <c r="U24" s="660"/>
      <c r="V24" s="659"/>
      <c r="W24" s="660"/>
      <c r="X24" s="661"/>
      <c r="Y24" s="3595"/>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595"/>
      <c r="Q25" s="528" t="str">
        <f t="shared" ref="Q25" si="9">B25</f>
        <v>基础设施水平</v>
      </c>
      <c r="R25" s="659" t="s">
        <v>14</v>
      </c>
      <c r="S25" s="660">
        <f>F25</f>
        <v>100</v>
      </c>
      <c r="T25" s="659" t="s">
        <v>14</v>
      </c>
      <c r="U25" s="660">
        <f>H25</f>
        <v>100</v>
      </c>
      <c r="V25" s="659" t="s">
        <v>14</v>
      </c>
      <c r="W25" s="660">
        <f>J25</f>
        <v>100</v>
      </c>
      <c r="X25" s="661"/>
      <c r="Y25" s="3595"/>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595"/>
      <c r="Q26" s="528"/>
      <c r="R26" s="659"/>
      <c r="S26" s="660"/>
      <c r="T26" s="659"/>
      <c r="U26" s="660"/>
      <c r="V26" s="659"/>
      <c r="W26" s="660"/>
      <c r="X26" s="661"/>
      <c r="Y26" s="3595"/>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595"/>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595"/>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595"/>
      <c r="Q28" s="1257" t="str">
        <f t="shared" si="8"/>
        <v>毗邻道路的类型与等级</v>
      </c>
      <c r="R28" s="662" t="s">
        <v>14</v>
      </c>
      <c r="S28" s="663">
        <f t="shared" si="10"/>
        <v>100</v>
      </c>
      <c r="T28" s="662" t="s">
        <v>14</v>
      </c>
      <c r="U28" s="663">
        <f t="shared" si="11"/>
        <v>100</v>
      </c>
      <c r="V28" s="662" t="s">
        <v>14</v>
      </c>
      <c r="W28" s="663">
        <f t="shared" si="12"/>
        <v>100</v>
      </c>
      <c r="X28" s="1259"/>
      <c r="Y28" s="3595"/>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595"/>
      <c r="Q29" s="1257"/>
      <c r="R29" s="662"/>
      <c r="S29" s="663"/>
      <c r="T29" s="662"/>
      <c r="U29" s="663"/>
      <c r="V29" s="662"/>
      <c r="W29" s="663"/>
      <c r="X29" s="1259"/>
      <c r="Y29" s="3595"/>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595"/>
      <c r="Q30" s="1257" t="str">
        <f t="shared" si="8"/>
        <v>土地级别</v>
      </c>
      <c r="R30" s="662" t="s">
        <v>14</v>
      </c>
      <c r="S30" s="663">
        <f t="shared" si="10"/>
        <v>100</v>
      </c>
      <c r="T30" s="662" t="s">
        <v>14</v>
      </c>
      <c r="U30" s="663">
        <f t="shared" si="11"/>
        <v>100</v>
      </c>
      <c r="V30" s="662" t="s">
        <v>14</v>
      </c>
      <c r="W30" s="663">
        <f t="shared" si="12"/>
        <v>100</v>
      </c>
      <c r="X30" s="1259"/>
      <c r="Y30" s="3595"/>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595"/>
      <c r="Q31" s="1257">
        <f t="shared" si="8"/>
        <v>111</v>
      </c>
      <c r="R31" s="662" t="s">
        <v>14</v>
      </c>
      <c r="S31" s="663">
        <f t="shared" si="10"/>
        <v>100</v>
      </c>
      <c r="T31" s="662" t="s">
        <v>14</v>
      </c>
      <c r="U31" s="663">
        <f t="shared" si="11"/>
        <v>100</v>
      </c>
      <c r="V31" s="662" t="s">
        <v>14</v>
      </c>
      <c r="W31" s="663">
        <f t="shared" si="12"/>
        <v>100</v>
      </c>
      <c r="X31" s="1259"/>
      <c r="Y31" s="3595"/>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596" t="s">
        <v>1695</v>
      </c>
      <c r="Q32" s="1257">
        <f t="shared" si="8"/>
        <v>111</v>
      </c>
      <c r="R32" s="662" t="s">
        <v>14</v>
      </c>
      <c r="S32" s="663">
        <f t="shared" si="10"/>
        <v>100</v>
      </c>
      <c r="T32" s="662" t="s">
        <v>14</v>
      </c>
      <c r="U32" s="663">
        <f t="shared" si="11"/>
        <v>100</v>
      </c>
      <c r="V32" s="662" t="s">
        <v>14</v>
      </c>
      <c r="W32" s="663">
        <f t="shared" si="12"/>
        <v>100</v>
      </c>
      <c r="X32" s="1259"/>
      <c r="Y32" s="3597"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597"/>
      <c r="Q33" s="1257">
        <f t="shared" si="8"/>
        <v>111</v>
      </c>
      <c r="R33" s="664" t="s">
        <v>14</v>
      </c>
      <c r="S33" s="665">
        <f t="shared" si="10"/>
        <v>100</v>
      </c>
      <c r="T33" s="664" t="s">
        <v>14</v>
      </c>
      <c r="U33" s="665">
        <f t="shared" si="11"/>
        <v>100</v>
      </c>
      <c r="V33" s="664" t="s">
        <v>14</v>
      </c>
      <c r="W33" s="665">
        <f t="shared" si="12"/>
        <v>100</v>
      </c>
      <c r="X33" s="666"/>
      <c r="Y33" s="3597"/>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597"/>
      <c r="Q34" s="1257" t="str">
        <f>B34</f>
        <v>宗地面积</v>
      </c>
      <c r="R34" s="662" t="s">
        <v>14</v>
      </c>
      <c r="S34" s="663" t="e">
        <f t="shared" si="10"/>
        <v>#N/A</v>
      </c>
      <c r="T34" s="662" t="s">
        <v>14</v>
      </c>
      <c r="U34" s="663" t="e">
        <f t="shared" si="11"/>
        <v>#N/A</v>
      </c>
      <c r="V34" s="662" t="s">
        <v>14</v>
      </c>
      <c r="W34" s="663" t="e">
        <f t="shared" si="12"/>
        <v>#N/A</v>
      </c>
      <c r="X34" s="1259"/>
      <c r="Y34" s="3597"/>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597"/>
      <c r="Q35" s="1257" t="str">
        <f t="shared" ref="Q35:Q40" si="14">B35</f>
        <v>宗地形状</v>
      </c>
      <c r="R35" s="662" t="s">
        <v>14</v>
      </c>
      <c r="S35" s="663">
        <f t="shared" si="10"/>
        <v>100</v>
      </c>
      <c r="T35" s="662" t="s">
        <v>14</v>
      </c>
      <c r="U35" s="663">
        <f t="shared" si="11"/>
        <v>100</v>
      </c>
      <c r="V35" s="662" t="s">
        <v>14</v>
      </c>
      <c r="W35" s="663">
        <f t="shared" si="12"/>
        <v>100</v>
      </c>
      <c r="X35" s="1259"/>
      <c r="Y35" s="3597"/>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597"/>
      <c r="Q36" s="1257" t="str">
        <f t="shared" si="14"/>
        <v>宗地开发程度</v>
      </c>
      <c r="R36" s="659" t="s">
        <v>14</v>
      </c>
      <c r="S36" s="660">
        <f t="shared" si="10"/>
        <v>100</v>
      </c>
      <c r="T36" s="659" t="s">
        <v>14</v>
      </c>
      <c r="U36" s="660">
        <f t="shared" si="11"/>
        <v>100</v>
      </c>
      <c r="V36" s="659" t="s">
        <v>14</v>
      </c>
      <c r="W36" s="660">
        <f t="shared" si="12"/>
        <v>100</v>
      </c>
      <c r="X36" s="661"/>
      <c r="Y36" s="3597"/>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597" t="s">
        <v>1695</v>
      </c>
      <c r="Q37" s="1257" t="str">
        <f t="shared" si="14"/>
        <v>工程地质条件</v>
      </c>
      <c r="R37" s="662" t="s">
        <v>14</v>
      </c>
      <c r="S37" s="663">
        <f t="shared" si="10"/>
        <v>100</v>
      </c>
      <c r="T37" s="662" t="s">
        <v>14</v>
      </c>
      <c r="U37" s="663">
        <f t="shared" si="11"/>
        <v>100</v>
      </c>
      <c r="V37" s="662" t="s">
        <v>14</v>
      </c>
      <c r="W37" s="663">
        <f t="shared" si="12"/>
        <v>100</v>
      </c>
      <c r="X37" s="1259"/>
      <c r="Y37" s="3597"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597"/>
      <c r="Q38" s="1257">
        <f t="shared" si="14"/>
        <v>111</v>
      </c>
      <c r="R38" s="662" t="s">
        <v>14</v>
      </c>
      <c r="S38" s="663">
        <f t="shared" si="10"/>
        <v>100</v>
      </c>
      <c r="T38" s="662" t="s">
        <v>14</v>
      </c>
      <c r="U38" s="663">
        <f t="shared" si="11"/>
        <v>100</v>
      </c>
      <c r="V38" s="662" t="s">
        <v>14</v>
      </c>
      <c r="W38" s="663">
        <f t="shared" si="12"/>
        <v>100</v>
      </c>
      <c r="X38" s="1259"/>
      <c r="Y38" s="3597"/>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597"/>
      <c r="Q39" s="1257">
        <f t="shared" si="14"/>
        <v>111</v>
      </c>
      <c r="R39" s="662" t="s">
        <v>14</v>
      </c>
      <c r="S39" s="663">
        <f t="shared" si="10"/>
        <v>100</v>
      </c>
      <c r="T39" s="662" t="s">
        <v>14</v>
      </c>
      <c r="U39" s="663">
        <f t="shared" si="11"/>
        <v>100</v>
      </c>
      <c r="V39" s="662" t="s">
        <v>14</v>
      </c>
      <c r="W39" s="663">
        <f t="shared" si="12"/>
        <v>100</v>
      </c>
      <c r="X39" s="1259"/>
      <c r="Y39" s="3597"/>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597"/>
      <c r="Q40" s="1257">
        <f t="shared" si="14"/>
        <v>111</v>
      </c>
      <c r="R40" s="664" t="s">
        <v>14</v>
      </c>
      <c r="S40" s="665">
        <f t="shared" si="10"/>
        <v>100</v>
      </c>
      <c r="T40" s="664" t="s">
        <v>14</v>
      </c>
      <c r="U40" s="665">
        <f t="shared" si="11"/>
        <v>100</v>
      </c>
      <c r="V40" s="664" t="s">
        <v>14</v>
      </c>
      <c r="W40" s="665">
        <f t="shared" si="12"/>
        <v>100</v>
      </c>
      <c r="X40" s="666"/>
      <c r="Y40" s="3597"/>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593" t="str">
        <f>A41</f>
        <v>成交单价</v>
      </c>
      <c r="Q41" s="3593"/>
      <c r="R41" s="3598">
        <f>E41</f>
        <v>0</v>
      </c>
      <c r="S41" s="3598"/>
      <c r="T41" s="3598">
        <f>G41</f>
        <v>0</v>
      </c>
      <c r="U41" s="3598"/>
      <c r="V41" s="3598">
        <f>I41</f>
        <v>0</v>
      </c>
      <c r="W41" s="3598"/>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593" t="str">
        <f>A42</f>
        <v>比较价值（元/平方米）</v>
      </c>
      <c r="Q42" s="3593"/>
      <c r="R42" s="3586" t="e">
        <f>ROUND(PRODUCT(R41,AA7:AA40),0)</f>
        <v>#DIV/0!</v>
      </c>
      <c r="S42" s="3586"/>
      <c r="T42" s="3586" t="e">
        <f>ROUND(PRODUCT(T41,AB7:AB40),0)</f>
        <v>#DIV/0!</v>
      </c>
      <c r="U42" s="3586"/>
      <c r="V42" s="3586" t="e">
        <f>ROUND(PRODUCT(V41,AC7:AC40),0)</f>
        <v>#DIV/0!</v>
      </c>
      <c r="W42" s="3586"/>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587" t="str">
        <f>A43</f>
        <v>估价对象XX用房的比较价值（楼面单价，元/平方米）</v>
      </c>
      <c r="Q43" s="3588"/>
      <c r="R43" s="3589" t="e">
        <f>ROUND(IF(D42="简单平均",AVERAGE(R42:W42),R42*F42+T42*H42+V42*J42),0)</f>
        <v>#DIV/0!</v>
      </c>
      <c r="S43" s="3589"/>
      <c r="T43" s="3589"/>
      <c r="U43" s="3589"/>
      <c r="V43" s="3589"/>
      <c r="W43" s="3589"/>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590" t="s">
        <v>1886</v>
      </c>
      <c r="H50" s="3591"/>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592"/>
      <c r="H51" s="3593"/>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683" t="s">
        <v>2083</v>
      </c>
      <c r="D1" s="3684"/>
      <c r="E1" s="3684"/>
      <c r="F1" s="3684"/>
      <c r="G1" s="3684"/>
      <c r="H1" s="3684"/>
      <c r="I1" s="3684"/>
      <c r="J1" s="3684"/>
      <c r="K1" s="3684"/>
      <c r="L1" s="3684"/>
      <c r="M1" s="3684"/>
      <c r="N1" s="3684"/>
      <c r="O1" s="3684"/>
      <c r="P1" s="3684"/>
      <c r="Q1" s="3684"/>
      <c r="R1" s="3684"/>
      <c r="S1" s="3685"/>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80" t="s">
        <v>27</v>
      </c>
      <c r="D22" s="3681"/>
      <c r="E22" s="3681"/>
      <c r="F22" s="3681"/>
      <c r="G22" s="3681"/>
      <c r="H22" s="3681"/>
      <c r="I22" s="3681"/>
      <c r="J22" s="3681"/>
      <c r="K22" s="3681"/>
      <c r="L22" s="3681"/>
      <c r="M22" s="3681"/>
      <c r="N22" s="3681"/>
      <c r="O22" s="3681"/>
      <c r="P22" s="3681"/>
      <c r="Q22" s="368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spans="1:5" ht="18">
      <c r="A3" s="3373" t="str">
        <f>IF(项目基本情况!B9="房地产市场价值","估价结果一览表（市场价值不需“结果表-1”）","估价结果一览表")</f>
        <v>估价结果一览表</v>
      </c>
      <c r="B3" s="3373"/>
      <c r="C3" s="3373"/>
      <c r="D3" s="3373"/>
      <c r="E3" s="3373"/>
    </row>
    <row r="4" spans="1:5" ht="19.5" thickBot="1">
      <c r="A4" s="1385"/>
      <c r="B4" s="3371" t="s">
        <v>917</v>
      </c>
      <c r="C4" s="3371"/>
      <c r="D4" s="3371"/>
      <c r="E4" s="1385"/>
    </row>
    <row r="5" spans="1:5" ht="16.5" thickTop="1">
      <c r="B5" s="3369" t="s">
        <v>909</v>
      </c>
      <c r="C5" s="1386" t="s">
        <v>910</v>
      </c>
      <c r="D5" s="792">
        <f ca="1">结果表!H101</f>
        <v>54555</v>
      </c>
    </row>
    <row r="6" spans="1:5" ht="15.75">
      <c r="B6" s="3369"/>
      <c r="C6" s="1386" t="s">
        <v>911</v>
      </c>
      <c r="D6" s="792" t="str">
        <f ca="1">NUMBERSTRING(INT(D5*10000),2)&amp;"元整"</f>
        <v>伍亿肆仟伍佰伍拾伍万元整</v>
      </c>
    </row>
    <row r="7" spans="1:5" ht="15.75">
      <c r="B7" s="3374"/>
      <c r="C7" s="1387" t="s">
        <v>912</v>
      </c>
      <c r="D7" s="793">
        <f ca="1">结果表!H102</f>
        <v>14424</v>
      </c>
    </row>
    <row r="8" spans="1:5" ht="15.75">
      <c r="B8" s="3375" t="str">
        <f>结果表!E103</f>
        <v>2.估价师知悉的法定优先受偿款</v>
      </c>
      <c r="C8" s="1388" t="s">
        <v>913</v>
      </c>
      <c r="D8" s="793">
        <f>结果表!H103</f>
        <v>0</v>
      </c>
    </row>
    <row r="9" spans="1:5" ht="15.75">
      <c r="B9" s="3377"/>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68" t="str">
        <f>结果表!E107</f>
        <v>3.房地产抵押价值</v>
      </c>
      <c r="C13" s="1391" t="s">
        <v>910</v>
      </c>
      <c r="D13" s="795">
        <f ca="1">结果表!H107</f>
        <v>54555</v>
      </c>
    </row>
    <row r="14" spans="1:5" ht="15.75">
      <c r="B14" s="3369"/>
      <c r="C14" s="1386" t="s">
        <v>911</v>
      </c>
      <c r="D14" s="792" t="str">
        <f ca="1">NUMBERSTRING(INT(D13*10000),2)&amp;"元整"</f>
        <v>伍亿肆仟伍佰伍拾伍万元整</v>
      </c>
    </row>
    <row r="15" spans="1:5" ht="15">
      <c r="B15" s="3374"/>
      <c r="C15" s="1387" t="s">
        <v>921</v>
      </c>
      <c r="D15" s="801">
        <f ca="1">结果表!H108</f>
        <v>14424</v>
      </c>
    </row>
    <row r="16" spans="1:5" ht="15">
      <c r="B16" s="3375" t="str">
        <f>结果表!E109</f>
        <v>——</v>
      </c>
      <c r="C16" s="1391" t="s">
        <v>922</v>
      </c>
      <c r="D16" s="1392" t="str">
        <f>结果表!H109</f>
        <v>——</v>
      </c>
    </row>
    <row r="17" spans="1:5" ht="15.75">
      <c r="B17" s="3376"/>
      <c r="C17" s="1386" t="s">
        <v>923</v>
      </c>
      <c r="D17" s="792" t="e">
        <f>NUMBERSTRING(INT(D16*10000),2)&amp;"元整"</f>
        <v>#VALUE!</v>
      </c>
    </row>
    <row r="18" spans="1:5" ht="15">
      <c r="B18" s="3377"/>
      <c r="C18" s="1387" t="s">
        <v>912</v>
      </c>
      <c r="D18" s="801" t="str">
        <f>结果表!H110</f>
        <v>——</v>
      </c>
    </row>
    <row r="19" spans="1:5" ht="15.75">
      <c r="B19" s="3368" t="str">
        <f>结果表!E111</f>
        <v>——</v>
      </c>
      <c r="C19" s="1391" t="s">
        <v>910</v>
      </c>
      <c r="D19" s="793" t="str">
        <f>结果表!H111</f>
        <v>——</v>
      </c>
    </row>
    <row r="20" spans="1:5" ht="15.75">
      <c r="B20" s="3369"/>
      <c r="C20" s="1386" t="s">
        <v>923</v>
      </c>
      <c r="D20" s="792" t="e">
        <f>NUMBERSTRING(INT(D19*10000),2)&amp;"元整"</f>
        <v>#VALUE!</v>
      </c>
    </row>
    <row r="21" spans="1:5" ht="15.75" thickBot="1">
      <c r="B21" s="3370"/>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693"/>
      <c r="B4" s="3694"/>
      <c r="C4" s="3694"/>
      <c r="D4" s="3695"/>
      <c r="E4" s="3695"/>
      <c r="F4" s="3695"/>
      <c r="G4" s="3695"/>
      <c r="H4" s="3695"/>
      <c r="I4" s="3695"/>
      <c r="J4" s="3696"/>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690" t="s">
        <v>1959</v>
      </c>
      <c r="X8" s="3691"/>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692"/>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692"/>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697" t="s">
        <v>3244</v>
      </c>
      <c r="B20" s="159" t="s">
        <v>1993</v>
      </c>
      <c r="C20" s="3022" t="e">
        <f>ROUND(IF(F21="与级别开发程度一致",0,(G21-E21)/C21),0)</f>
        <v>#DIV/0!</v>
      </c>
      <c r="D20" s="3037" t="s">
        <v>1997</v>
      </c>
      <c r="E20" s="3038"/>
      <c r="F20" s="3703" t="s">
        <v>1994</v>
      </c>
      <c r="G20" s="3704"/>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698"/>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01"/>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02"/>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02"/>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699" t="s">
        <v>3284</v>
      </c>
      <c r="B103" s="3699"/>
      <c r="C103" s="3699"/>
      <c r="D103" s="3699"/>
      <c r="E103" s="3699"/>
      <c r="F103" s="3699"/>
      <c r="G103" s="3699"/>
      <c r="H103" s="3699"/>
      <c r="I103" s="3699"/>
      <c r="J103" s="3699"/>
      <c r="K103" s="1661"/>
      <c r="L103" s="1661"/>
      <c r="M103" s="1661"/>
      <c r="N103" s="1661"/>
    </row>
    <row r="104" spans="1:14">
      <c r="A104" s="3700" t="s">
        <v>3285</v>
      </c>
      <c r="B104" s="3700" t="s">
        <v>3286</v>
      </c>
      <c r="C104" s="3081" t="s">
        <v>3287</v>
      </c>
      <c r="D104" s="3082"/>
      <c r="E104" s="3082"/>
      <c r="F104" s="3082"/>
      <c r="G104" s="3082"/>
      <c r="H104" s="3082"/>
      <c r="I104" s="3082"/>
      <c r="J104" s="3083"/>
      <c r="K104" s="3084"/>
      <c r="L104" s="3084"/>
      <c r="M104" s="3084"/>
      <c r="N104" s="3084"/>
    </row>
    <row r="105" spans="1:14">
      <c r="A105" s="3700"/>
      <c r="B105" s="3700"/>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686"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687"/>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687"/>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687"/>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687"/>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687"/>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688"/>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689" t="s">
        <v>3301</v>
      </c>
      <c r="B113" s="3689"/>
      <c r="C113" s="3689"/>
      <c r="D113" s="3689"/>
      <c r="E113" s="3689"/>
      <c r="F113" s="3689"/>
      <c r="G113" s="3689"/>
      <c r="H113" s="3689"/>
      <c r="I113" s="3689"/>
      <c r="J113" s="3689"/>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K59" sqref="K5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4444</v>
      </c>
      <c r="E1" s="3115" t="s">
        <v>3636</v>
      </c>
      <c r="F1" s="1729" t="s">
        <v>3637</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71346</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28377</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590" t="s">
        <v>1666</v>
      </c>
      <c r="D4" s="3602"/>
      <c r="E4" s="3603" t="s">
        <v>1667</v>
      </c>
      <c r="F4" s="3604"/>
      <c r="G4" s="3590" t="s">
        <v>1668</v>
      </c>
      <c r="H4" s="3602"/>
      <c r="I4" s="3590" t="s">
        <v>1669</v>
      </c>
      <c r="J4" s="3602"/>
      <c r="K4" s="1738" t="s">
        <v>1670</v>
      </c>
      <c r="L4" s="2479"/>
      <c r="M4" s="2480"/>
      <c r="N4" s="2480"/>
      <c r="O4" s="2480"/>
      <c r="P4" s="3605" t="s">
        <v>1671</v>
      </c>
      <c r="Q4" s="3606"/>
      <c r="R4" s="3611" t="s">
        <v>1667</v>
      </c>
      <c r="S4" s="3612"/>
      <c r="T4" s="3611" t="s">
        <v>1668</v>
      </c>
      <c r="U4" s="3612"/>
      <c r="V4" s="3598" t="s">
        <v>1669</v>
      </c>
      <c r="W4" s="3598"/>
      <c r="X4" s="1259"/>
      <c r="Y4" s="3611" t="s">
        <v>1671</v>
      </c>
      <c r="Z4" s="3612"/>
      <c r="AA4" s="3599" t="s">
        <v>1667</v>
      </c>
      <c r="AB4" s="3599" t="s">
        <v>1668</v>
      </c>
      <c r="AC4" s="3599" t="s">
        <v>1669</v>
      </c>
    </row>
    <row r="5" spans="1:29" ht="15">
      <c r="A5" s="348"/>
      <c r="B5" s="349"/>
      <c r="C5" s="3619" t="s">
        <v>1672</v>
      </c>
      <c r="D5" s="3620"/>
      <c r="E5" s="3705" t="str">
        <f>中指住宅!A6</f>
        <v>住总山澜赋</v>
      </c>
      <c r="F5" s="3627"/>
      <c r="G5" s="3619" t="str">
        <f>中指住宅!A7</f>
        <v>上源府</v>
      </c>
      <c r="H5" s="3620"/>
      <c r="I5" s="3619" t="str">
        <f>中指住宅!A8</f>
        <v>北京住总山澜阙府</v>
      </c>
      <c r="J5" s="3620"/>
      <c r="K5" s="1739"/>
      <c r="L5" s="2479"/>
      <c r="M5" s="2480"/>
      <c r="N5" s="2480"/>
      <c r="O5" s="2480"/>
      <c r="P5" s="3607"/>
      <c r="Q5" s="3608"/>
      <c r="R5" s="3613"/>
      <c r="S5" s="3614"/>
      <c r="T5" s="3613"/>
      <c r="U5" s="3614"/>
      <c r="V5" s="3598"/>
      <c r="W5" s="3598"/>
      <c r="X5" s="1259"/>
      <c r="Y5" s="3613"/>
      <c r="Z5" s="3614"/>
      <c r="AA5" s="3600"/>
      <c r="AB5" s="3600"/>
      <c r="AC5" s="3600"/>
    </row>
    <row r="6" spans="1:29" ht="15.75" thickBot="1">
      <c r="A6" s="350"/>
      <c r="B6" s="351"/>
      <c r="C6" s="3617" t="s">
        <v>1676</v>
      </c>
      <c r="D6" s="3618"/>
      <c r="E6" s="3624" t="s">
        <v>1676</v>
      </c>
      <c r="F6" s="3625"/>
      <c r="G6" s="3617" t="s">
        <v>1676</v>
      </c>
      <c r="H6" s="3618"/>
      <c r="I6" s="3617" t="s">
        <v>1676</v>
      </c>
      <c r="J6" s="3618"/>
      <c r="K6" s="1739" t="s">
        <v>1677</v>
      </c>
      <c r="L6" s="2479"/>
      <c r="M6" s="2480"/>
      <c r="N6" s="2480"/>
      <c r="O6" s="2480"/>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621" t="s">
        <v>1679</v>
      </c>
      <c r="Q7" s="3623"/>
      <c r="R7" s="659" t="s">
        <v>20</v>
      </c>
      <c r="S7" s="660">
        <f t="shared" ref="S7:S15" si="0">F7</f>
        <v>100</v>
      </c>
      <c r="T7" s="659" t="s">
        <v>20</v>
      </c>
      <c r="U7" s="660">
        <f t="shared" ref="U7:U15" si="1">H7</f>
        <v>100</v>
      </c>
      <c r="V7" s="659" t="s">
        <v>20</v>
      </c>
      <c r="W7" s="660">
        <f t="shared" ref="W7:W15" si="2">J7</f>
        <v>100</v>
      </c>
      <c r="X7" s="661"/>
      <c r="Y7" s="3621" t="s">
        <v>1679</v>
      </c>
      <c r="Z7" s="3622"/>
      <c r="AA7" s="50">
        <f>D7/F7</f>
        <v>1</v>
      </c>
      <c r="AB7" s="50">
        <f>D7/H7</f>
        <v>1</v>
      </c>
      <c r="AC7" s="50">
        <f>D7/J7</f>
        <v>1</v>
      </c>
    </row>
    <row r="8" spans="1:29" s="102" customFormat="1" ht="15.75" thickBot="1">
      <c r="A8" s="352" t="s">
        <v>1680</v>
      </c>
      <c r="B8" s="353"/>
      <c r="C8" s="358" t="s">
        <v>3625</v>
      </c>
      <c r="D8" s="355">
        <v>100</v>
      </c>
      <c r="E8" s="1741" t="s">
        <v>3625</v>
      </c>
      <c r="F8" s="357">
        <f>SUMIF(61:61,E8,62:62)-SUMIF(61:61,C8,62:62)+100</f>
        <v>100</v>
      </c>
      <c r="G8" s="358" t="s">
        <v>3625</v>
      </c>
      <c r="H8" s="355">
        <f>SUMIF(61:61,G8,62:62)-SUMIF(61:61,C8,62:62)+100</f>
        <v>100</v>
      </c>
      <c r="I8" s="1741" t="s">
        <v>3625</v>
      </c>
      <c r="J8" s="355">
        <f>SUMIF(61:61,I8,62:62)-SUMIF(61:61,C8,62:62)+100</f>
        <v>100</v>
      </c>
      <c r="K8" s="1740"/>
      <c r="L8" s="2481"/>
      <c r="M8" s="2432"/>
      <c r="N8" s="2432"/>
      <c r="O8" s="2432"/>
      <c r="P8" s="3621" t="s">
        <v>1682</v>
      </c>
      <c r="Q8" s="3622"/>
      <c r="R8" s="659" t="s">
        <v>20</v>
      </c>
      <c r="S8" s="660">
        <f t="shared" si="0"/>
        <v>100</v>
      </c>
      <c r="T8" s="659" t="s">
        <v>20</v>
      </c>
      <c r="U8" s="660">
        <f t="shared" si="1"/>
        <v>100</v>
      </c>
      <c r="V8" s="659" t="s">
        <v>20</v>
      </c>
      <c r="W8" s="660">
        <f t="shared" si="2"/>
        <v>100</v>
      </c>
      <c r="X8" s="661"/>
      <c r="Y8" s="3621" t="s">
        <v>1682</v>
      </c>
      <c r="Z8" s="3622"/>
      <c r="AA8" s="50">
        <f t="shared" ref="AA8:AA19" si="3">D8/F8</f>
        <v>1</v>
      </c>
      <c r="AB8" s="50">
        <f t="shared" ref="AB8:AB19" si="4">D8/H8</f>
        <v>1</v>
      </c>
      <c r="AC8" s="50">
        <f t="shared" ref="AC8:AC19" si="5">D8/J8</f>
        <v>1</v>
      </c>
    </row>
    <row r="9" spans="1:29" s="102" customFormat="1">
      <c r="A9" s="359" t="s">
        <v>1683</v>
      </c>
      <c r="B9" s="60" t="s">
        <v>1684</v>
      </c>
      <c r="C9" s="3215" t="s">
        <v>3626</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592" t="s">
        <v>1685</v>
      </c>
      <c r="Q9" s="528" t="str">
        <f t="shared" ref="Q9:Q15" si="6">B9</f>
        <v>用途</v>
      </c>
      <c r="R9" s="659" t="s">
        <v>14</v>
      </c>
      <c r="S9" s="660">
        <f t="shared" si="0"/>
        <v>100</v>
      </c>
      <c r="T9" s="659" t="s">
        <v>14</v>
      </c>
      <c r="U9" s="660">
        <f t="shared" si="1"/>
        <v>100</v>
      </c>
      <c r="V9" s="659" t="s">
        <v>14</v>
      </c>
      <c r="W9" s="660">
        <f t="shared" si="2"/>
        <v>100</v>
      </c>
      <c r="X9" s="661"/>
      <c r="Y9" s="3490"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592"/>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592"/>
      <c r="Q11" s="528" t="str">
        <f t="shared" si="6"/>
        <v>容积率</v>
      </c>
      <c r="R11" s="659" t="s">
        <v>18</v>
      </c>
      <c r="S11" s="660">
        <f t="shared" si="0"/>
        <v>100</v>
      </c>
      <c r="T11" s="659" t="s">
        <v>18</v>
      </c>
      <c r="U11" s="660">
        <f t="shared" si="1"/>
        <v>100</v>
      </c>
      <c r="V11" s="659" t="s">
        <v>18</v>
      </c>
      <c r="W11" s="660">
        <f t="shared" si="2"/>
        <v>100</v>
      </c>
      <c r="X11" s="661"/>
      <c r="Y11" s="3490"/>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592"/>
      <c r="Q12" s="528">
        <f t="shared" si="6"/>
        <v>111</v>
      </c>
      <c r="R12" s="659" t="s">
        <v>18</v>
      </c>
      <c r="S12" s="660">
        <f t="shared" si="0"/>
        <v>100</v>
      </c>
      <c r="T12" s="659" t="s">
        <v>18</v>
      </c>
      <c r="U12" s="660">
        <f t="shared" si="1"/>
        <v>100</v>
      </c>
      <c r="V12" s="659" t="s">
        <v>18</v>
      </c>
      <c r="W12" s="660">
        <f t="shared" si="2"/>
        <v>100</v>
      </c>
      <c r="X12" s="661"/>
      <c r="Y12" s="3490"/>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592"/>
      <c r="Q13" s="528">
        <f t="shared" si="6"/>
        <v>111</v>
      </c>
      <c r="R13" s="659" t="s">
        <v>18</v>
      </c>
      <c r="S13" s="660">
        <f t="shared" si="0"/>
        <v>100</v>
      </c>
      <c r="T13" s="659" t="s">
        <v>18</v>
      </c>
      <c r="U13" s="660">
        <f t="shared" si="1"/>
        <v>100</v>
      </c>
      <c r="V13" s="659" t="s">
        <v>18</v>
      </c>
      <c r="W13" s="660">
        <f t="shared" si="2"/>
        <v>100</v>
      </c>
      <c r="X13" s="661"/>
      <c r="Y13" s="3490"/>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592"/>
      <c r="Q14" s="528">
        <f t="shared" si="6"/>
        <v>111</v>
      </c>
      <c r="R14" s="659" t="s">
        <v>18</v>
      </c>
      <c r="S14" s="660">
        <f t="shared" si="0"/>
        <v>100</v>
      </c>
      <c r="T14" s="659" t="s">
        <v>18</v>
      </c>
      <c r="U14" s="660">
        <f t="shared" si="1"/>
        <v>100</v>
      </c>
      <c r="V14" s="659" t="s">
        <v>18</v>
      </c>
      <c r="W14" s="660">
        <f t="shared" si="2"/>
        <v>100</v>
      </c>
      <c r="X14" s="661"/>
      <c r="Y14" s="3490"/>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55" t="s">
        <v>1690</v>
      </c>
      <c r="Q15" s="1257" t="str">
        <f t="shared" si="6"/>
        <v>居住社区成熟度</v>
      </c>
      <c r="R15" s="662" t="s">
        <v>18</v>
      </c>
      <c r="S15" s="663">
        <f t="shared" si="0"/>
        <v>100</v>
      </c>
      <c r="T15" s="662" t="s">
        <v>18</v>
      </c>
      <c r="U15" s="663">
        <f t="shared" si="1"/>
        <v>100</v>
      </c>
      <c r="V15" s="662" t="s">
        <v>18</v>
      </c>
      <c r="W15" s="663">
        <f t="shared" si="2"/>
        <v>100</v>
      </c>
      <c r="X15" s="1259"/>
      <c r="Y15" s="3594" t="s">
        <v>1690</v>
      </c>
      <c r="Z15" s="1258" t="str">
        <f t="shared" si="7"/>
        <v>居住社区成熟度</v>
      </c>
      <c r="AA15" s="1258">
        <f t="shared" si="3"/>
        <v>1</v>
      </c>
      <c r="AB15" s="1258">
        <f t="shared" si="4"/>
        <v>1</v>
      </c>
      <c r="AC15" s="1258">
        <f t="shared" si="5"/>
        <v>1</v>
      </c>
    </row>
    <row r="16" spans="1:29" ht="15">
      <c r="A16" s="367"/>
      <c r="B16" s="385"/>
      <c r="C16" s="386" t="s">
        <v>3628</v>
      </c>
      <c r="D16" s="387"/>
      <c r="E16" s="386" t="s">
        <v>3628</v>
      </c>
      <c r="F16" s="387"/>
      <c r="G16" s="386" t="s">
        <v>3628</v>
      </c>
      <c r="H16" s="389"/>
      <c r="I16" s="386" t="s">
        <v>3628</v>
      </c>
      <c r="J16" s="387"/>
      <c r="K16" s="1747"/>
      <c r="L16" s="2485"/>
      <c r="M16" s="2480"/>
      <c r="N16" s="2480"/>
      <c r="O16" s="2480"/>
      <c r="P16" s="3656"/>
      <c r="Q16" s="1257"/>
      <c r="R16" s="662"/>
      <c r="S16" s="663"/>
      <c r="T16" s="662"/>
      <c r="U16" s="663"/>
      <c r="V16" s="662"/>
      <c r="W16" s="663"/>
      <c r="X16" s="1259"/>
      <c r="Y16" s="3595"/>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56"/>
      <c r="Q17" s="1257" t="str">
        <f>B17</f>
        <v>交通便捷度</v>
      </c>
      <c r="R17" s="662" t="s">
        <v>18</v>
      </c>
      <c r="S17" s="663">
        <f>F17</f>
        <v>100</v>
      </c>
      <c r="T17" s="662" t="s">
        <v>18</v>
      </c>
      <c r="U17" s="663">
        <f>H17</f>
        <v>100</v>
      </c>
      <c r="V17" s="662" t="s">
        <v>18</v>
      </c>
      <c r="W17" s="663">
        <f>J17</f>
        <v>100</v>
      </c>
      <c r="X17" s="1259"/>
      <c r="Y17" s="3595"/>
      <c r="Z17" s="1258" t="str">
        <f>Q17</f>
        <v>交通便捷度</v>
      </c>
      <c r="AA17" s="1258">
        <f t="shared" si="3"/>
        <v>1</v>
      </c>
      <c r="AB17" s="1258">
        <f t="shared" si="4"/>
        <v>1</v>
      </c>
      <c r="AC17" s="1258">
        <f t="shared" si="5"/>
        <v>1</v>
      </c>
    </row>
    <row r="18" spans="1:29" ht="15">
      <c r="A18" s="367"/>
      <c r="B18" s="395"/>
      <c r="C18" s="1749" t="s">
        <v>3627</v>
      </c>
      <c r="D18" s="389"/>
      <c r="E18" s="1749" t="s">
        <v>3627</v>
      </c>
      <c r="F18" s="389"/>
      <c r="G18" s="1751" t="s">
        <v>3627</v>
      </c>
      <c r="H18" s="387"/>
      <c r="I18" s="1751" t="s">
        <v>3627</v>
      </c>
      <c r="J18" s="387"/>
      <c r="K18" s="1747"/>
      <c r="L18" s="2485"/>
      <c r="M18" s="2480"/>
      <c r="N18" s="2480"/>
      <c r="O18" s="2480"/>
      <c r="P18" s="3656"/>
      <c r="Q18" s="1257"/>
      <c r="R18" s="662"/>
      <c r="S18" s="663"/>
      <c r="T18" s="662"/>
      <c r="U18" s="663"/>
      <c r="V18" s="662"/>
      <c r="W18" s="663"/>
      <c r="X18" s="1259"/>
      <c r="Y18" s="3595"/>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56"/>
      <c r="Q19" s="1257" t="str">
        <f>B19</f>
        <v>公共配套设施</v>
      </c>
      <c r="R19" s="662" t="s">
        <v>18</v>
      </c>
      <c r="S19" s="663">
        <f>F19</f>
        <v>100</v>
      </c>
      <c r="T19" s="662" t="s">
        <v>18</v>
      </c>
      <c r="U19" s="663">
        <f>H19</f>
        <v>100</v>
      </c>
      <c r="V19" s="662" t="s">
        <v>18</v>
      </c>
      <c r="W19" s="663">
        <f>J19</f>
        <v>100</v>
      </c>
      <c r="X19" s="1259"/>
      <c r="Y19" s="3595"/>
      <c r="Z19" s="1258" t="str">
        <f>Q19</f>
        <v>公共配套设施</v>
      </c>
      <c r="AA19" s="1258">
        <f t="shared" si="3"/>
        <v>1</v>
      </c>
      <c r="AB19" s="1258">
        <f t="shared" si="4"/>
        <v>1</v>
      </c>
      <c r="AC19" s="1258">
        <f t="shared" si="5"/>
        <v>1</v>
      </c>
    </row>
    <row r="20" spans="1:29" ht="15">
      <c r="A20" s="367"/>
      <c r="B20" s="395"/>
      <c r="C20" s="386" t="s">
        <v>3627</v>
      </c>
      <c r="D20" s="387"/>
      <c r="E20" s="386" t="s">
        <v>3627</v>
      </c>
      <c r="F20" s="387"/>
      <c r="G20" s="1746" t="s">
        <v>3627</v>
      </c>
      <c r="H20" s="387"/>
      <c r="I20" s="1746" t="s">
        <v>3627</v>
      </c>
      <c r="J20" s="387"/>
      <c r="K20" s="1747"/>
      <c r="L20" s="2485"/>
      <c r="M20" s="2480"/>
      <c r="N20" s="2480"/>
      <c r="O20" s="2480"/>
      <c r="P20" s="3656"/>
      <c r="Q20" s="1257"/>
      <c r="R20" s="662"/>
      <c r="S20" s="663"/>
      <c r="T20" s="662"/>
      <c r="U20" s="663"/>
      <c r="V20" s="662"/>
      <c r="W20" s="663"/>
      <c r="X20" s="1259"/>
      <c r="Y20" s="3595"/>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656"/>
      <c r="Q21" s="1257" t="str">
        <f>B21</f>
        <v>基础设施水平</v>
      </c>
      <c r="R21" s="662" t="s">
        <v>14</v>
      </c>
      <c r="S21" s="663">
        <f>F21</f>
        <v>100</v>
      </c>
      <c r="T21" s="662" t="s">
        <v>14</v>
      </c>
      <c r="U21" s="663">
        <f>H21</f>
        <v>100</v>
      </c>
      <c r="V21" s="662" t="s">
        <v>14</v>
      </c>
      <c r="W21" s="663">
        <f>J21</f>
        <v>100</v>
      </c>
      <c r="X21" s="1259"/>
      <c r="Y21" s="3595"/>
      <c r="Z21" s="1258" t="str">
        <f>Q21</f>
        <v>基础设施水平</v>
      </c>
      <c r="AA21" s="1258">
        <f t="shared" ref="AA21" si="8">D21/F21</f>
        <v>1</v>
      </c>
      <c r="AB21" s="1258">
        <f t="shared" ref="AB21" si="9">D21/H21</f>
        <v>1</v>
      </c>
      <c r="AC21" s="1258">
        <f t="shared" ref="AC21" si="10">D21/J21</f>
        <v>1</v>
      </c>
    </row>
    <row r="22" spans="1:29" ht="15">
      <c r="A22" s="367"/>
      <c r="B22" s="581"/>
      <c r="C22" s="1749" t="s">
        <v>3629</v>
      </c>
      <c r="D22" s="387"/>
      <c r="E22" s="1749" t="s">
        <v>3629</v>
      </c>
      <c r="F22" s="387"/>
      <c r="G22" s="1749" t="s">
        <v>3629</v>
      </c>
      <c r="H22" s="387"/>
      <c r="I22" s="1749" t="s">
        <v>3629</v>
      </c>
      <c r="J22" s="387"/>
      <c r="K22" s="1753"/>
      <c r="L22" s="2485"/>
      <c r="M22" s="2480"/>
      <c r="N22" s="2480"/>
      <c r="O22" s="2480"/>
      <c r="P22" s="3656"/>
      <c r="Q22" s="1257"/>
      <c r="R22" s="662"/>
      <c r="S22" s="663"/>
      <c r="T22" s="662"/>
      <c r="U22" s="663"/>
      <c r="V22" s="662"/>
      <c r="W22" s="663"/>
      <c r="X22" s="1259"/>
      <c r="Y22" s="3595"/>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56"/>
      <c r="Q23" s="1257" t="str">
        <f>B23</f>
        <v>自然及人文环境</v>
      </c>
      <c r="R23" s="662" t="s">
        <v>18</v>
      </c>
      <c r="S23" s="663">
        <f>F23</f>
        <v>100</v>
      </c>
      <c r="T23" s="662" t="s">
        <v>18</v>
      </c>
      <c r="U23" s="663">
        <f>H23</f>
        <v>100</v>
      </c>
      <c r="V23" s="662" t="s">
        <v>18</v>
      </c>
      <c r="W23" s="663">
        <f>J23</f>
        <v>100</v>
      </c>
      <c r="X23" s="1259"/>
      <c r="Y23" s="3595"/>
      <c r="Z23" s="1258" t="str">
        <f>Q23</f>
        <v>自然及人文环境</v>
      </c>
      <c r="AA23" s="1258">
        <f>D23/F23</f>
        <v>1</v>
      </c>
      <c r="AB23" s="1258">
        <f>D23/H23</f>
        <v>1</v>
      </c>
      <c r="AC23" s="1258">
        <f>D23/J23</f>
        <v>1</v>
      </c>
    </row>
    <row r="24" spans="1:29" ht="15.75" thickBot="1">
      <c r="A24" s="367"/>
      <c r="B24" s="395"/>
      <c r="C24" s="386" t="s">
        <v>3628</v>
      </c>
      <c r="D24" s="387"/>
      <c r="E24" s="386" t="s">
        <v>3628</v>
      </c>
      <c r="F24" s="387"/>
      <c r="G24" s="386" t="s">
        <v>3628</v>
      </c>
      <c r="H24" s="387"/>
      <c r="I24" s="386" t="s">
        <v>3628</v>
      </c>
      <c r="J24" s="387"/>
      <c r="K24" s="1747"/>
      <c r="L24" s="2485"/>
      <c r="M24" s="2480"/>
      <c r="N24" s="2480"/>
      <c r="O24" s="2480"/>
      <c r="P24" s="3656"/>
      <c r="Q24" s="1257"/>
      <c r="R24" s="662"/>
      <c r="S24" s="663"/>
      <c r="T24" s="662"/>
      <c r="U24" s="663"/>
      <c r="V24" s="662"/>
      <c r="W24" s="663"/>
      <c r="X24" s="1259"/>
      <c r="Y24" s="3595"/>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56"/>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595"/>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56"/>
      <c r="Q26" s="1257" t="str">
        <f t="shared" si="11"/>
        <v>朝向</v>
      </c>
      <c r="R26" s="662" t="s">
        <v>18</v>
      </c>
      <c r="S26" s="663">
        <f t="shared" si="12"/>
        <v>100</v>
      </c>
      <c r="T26" s="662" t="s">
        <v>18</v>
      </c>
      <c r="U26" s="663">
        <f t="shared" si="13"/>
        <v>100</v>
      </c>
      <c r="V26" s="662" t="s">
        <v>18</v>
      </c>
      <c r="W26" s="663">
        <f t="shared" si="14"/>
        <v>100</v>
      </c>
      <c r="X26" s="1259"/>
      <c r="Y26" s="3595"/>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56"/>
      <c r="Q27" s="528">
        <f t="shared" si="11"/>
        <v>111</v>
      </c>
      <c r="R27" s="659" t="s">
        <v>18</v>
      </c>
      <c r="S27" s="660">
        <f t="shared" si="12"/>
        <v>100</v>
      </c>
      <c r="T27" s="659" t="s">
        <v>18</v>
      </c>
      <c r="U27" s="660">
        <f t="shared" si="13"/>
        <v>100</v>
      </c>
      <c r="V27" s="659" t="s">
        <v>18</v>
      </c>
      <c r="W27" s="660">
        <f t="shared" si="14"/>
        <v>100</v>
      </c>
      <c r="X27" s="661"/>
      <c r="Y27" s="3595"/>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56"/>
      <c r="Q28" s="1257">
        <f t="shared" si="11"/>
        <v>111</v>
      </c>
      <c r="R28" s="662" t="s">
        <v>18</v>
      </c>
      <c r="S28" s="663">
        <f t="shared" si="12"/>
        <v>100</v>
      </c>
      <c r="T28" s="662" t="s">
        <v>18</v>
      </c>
      <c r="U28" s="663">
        <f t="shared" si="13"/>
        <v>100</v>
      </c>
      <c r="V28" s="662" t="s">
        <v>18</v>
      </c>
      <c r="W28" s="663">
        <f t="shared" si="14"/>
        <v>100</v>
      </c>
      <c r="X28" s="1259"/>
      <c r="Y28" s="3595"/>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56"/>
      <c r="Q29" s="1257">
        <f t="shared" si="11"/>
        <v>111</v>
      </c>
      <c r="R29" s="662" t="s">
        <v>18</v>
      </c>
      <c r="S29" s="663">
        <f t="shared" si="12"/>
        <v>100</v>
      </c>
      <c r="T29" s="662" t="s">
        <v>18</v>
      </c>
      <c r="U29" s="663">
        <f t="shared" si="13"/>
        <v>100</v>
      </c>
      <c r="V29" s="662" t="s">
        <v>18</v>
      </c>
      <c r="W29" s="663">
        <f t="shared" si="14"/>
        <v>100</v>
      </c>
      <c r="X29" s="1259"/>
      <c r="Y29" s="3595"/>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56"/>
      <c r="Q30" s="1257">
        <f t="shared" si="11"/>
        <v>111</v>
      </c>
      <c r="R30" s="662" t="s">
        <v>18</v>
      </c>
      <c r="S30" s="663">
        <f t="shared" si="12"/>
        <v>100</v>
      </c>
      <c r="T30" s="662" t="s">
        <v>18</v>
      </c>
      <c r="U30" s="663">
        <f t="shared" si="13"/>
        <v>100</v>
      </c>
      <c r="V30" s="662" t="s">
        <v>18</v>
      </c>
      <c r="W30" s="663">
        <f t="shared" si="14"/>
        <v>100</v>
      </c>
      <c r="X30" s="1259"/>
      <c r="Y30" s="3595"/>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56"/>
      <c r="Q31" s="1257">
        <f t="shared" si="11"/>
        <v>111</v>
      </c>
      <c r="R31" s="662" t="s">
        <v>18</v>
      </c>
      <c r="S31" s="663">
        <f t="shared" si="12"/>
        <v>100</v>
      </c>
      <c r="T31" s="662" t="s">
        <v>18</v>
      </c>
      <c r="U31" s="663">
        <f t="shared" si="13"/>
        <v>100</v>
      </c>
      <c r="V31" s="662" t="s">
        <v>18</v>
      </c>
      <c r="W31" s="663">
        <f t="shared" si="14"/>
        <v>100</v>
      </c>
      <c r="X31" s="1259"/>
      <c r="Y31" s="3595"/>
      <c r="Z31" s="1258">
        <f t="shared" si="18"/>
        <v>111</v>
      </c>
      <c r="AA31" s="1258">
        <f t="shared" si="15"/>
        <v>1</v>
      </c>
      <c r="AB31" s="1258">
        <f t="shared" si="16"/>
        <v>1</v>
      </c>
      <c r="AC31" s="1258">
        <f t="shared" si="17"/>
        <v>1</v>
      </c>
    </row>
    <row r="32" spans="1:29" ht="15">
      <c r="A32" s="379" t="s">
        <v>1693</v>
      </c>
      <c r="B32" s="60" t="s">
        <v>1694</v>
      </c>
      <c r="C32" s="1758" t="s">
        <v>4846</v>
      </c>
      <c r="D32" s="405">
        <v>100</v>
      </c>
      <c r="E32" s="1758" t="s">
        <v>4846</v>
      </c>
      <c r="F32" s="400">
        <f>SUMIF(100:100,E32,101:101)-SUMIF(100:100,C32,101:101)+100</f>
        <v>100</v>
      </c>
      <c r="G32" s="1758" t="s">
        <v>4844</v>
      </c>
      <c r="H32" s="405">
        <f>SUMIF(100:100,G32,101:101)-SUMIF(100:100,C32,101:101)+100</f>
        <v>105</v>
      </c>
      <c r="I32" s="1758" t="s">
        <v>4846</v>
      </c>
      <c r="J32" s="374">
        <f>SUMIF(100:100,I32,101:101)-SUMIF(100:100,C32,101:101)+100</f>
        <v>100</v>
      </c>
      <c r="K32" s="365">
        <v>5</v>
      </c>
      <c r="L32" s="2485"/>
      <c r="M32" s="2480"/>
      <c r="N32" s="2480"/>
      <c r="O32" s="2480"/>
      <c r="P32" s="3657" t="s">
        <v>1695</v>
      </c>
      <c r="Q32" s="1257" t="str">
        <f t="shared" si="11"/>
        <v>建筑类型</v>
      </c>
      <c r="R32" s="662" t="s">
        <v>18</v>
      </c>
      <c r="S32" s="663">
        <f t="shared" si="12"/>
        <v>100</v>
      </c>
      <c r="T32" s="662" t="s">
        <v>18</v>
      </c>
      <c r="U32" s="663">
        <f t="shared" si="13"/>
        <v>105</v>
      </c>
      <c r="V32" s="662" t="s">
        <v>18</v>
      </c>
      <c r="W32" s="663">
        <f t="shared" si="14"/>
        <v>100</v>
      </c>
      <c r="X32" s="1259"/>
      <c r="Y32" s="3597"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58"/>
      <c r="Q33" s="529" t="str">
        <f t="shared" si="11"/>
        <v>项目建筑规模</v>
      </c>
      <c r="R33" s="664" t="s">
        <v>18</v>
      </c>
      <c r="S33" s="665">
        <f t="shared" si="12"/>
        <v>99</v>
      </c>
      <c r="T33" s="664" t="s">
        <v>18</v>
      </c>
      <c r="U33" s="665">
        <f t="shared" si="13"/>
        <v>99</v>
      </c>
      <c r="V33" s="664" t="s">
        <v>18</v>
      </c>
      <c r="W33" s="665">
        <f t="shared" si="14"/>
        <v>100</v>
      </c>
      <c r="X33" s="666"/>
      <c r="Y33" s="3597"/>
      <c r="Z33" s="667" t="str">
        <f t="shared" si="18"/>
        <v>项目建筑规模</v>
      </c>
      <c r="AA33" s="1258">
        <f t="shared" si="15"/>
        <v>1.0101010101010102</v>
      </c>
      <c r="AB33" s="1258">
        <f t="shared" si="16"/>
        <v>1.0101010101010102</v>
      </c>
      <c r="AC33" s="1258">
        <f t="shared" si="17"/>
        <v>1</v>
      </c>
    </row>
    <row r="34" spans="1:29" ht="15">
      <c r="A34" s="409"/>
      <c r="B34" s="364" t="s">
        <v>1697</v>
      </c>
      <c r="C34" s="399" t="s">
        <v>3630</v>
      </c>
      <c r="D34" s="374">
        <v>100</v>
      </c>
      <c r="E34" s="399" t="s">
        <v>3630</v>
      </c>
      <c r="F34" s="400">
        <f>SUMIF(105:105,E34,106:106)-SUMIF(105:105,C34,106:106)+100</f>
        <v>100</v>
      </c>
      <c r="G34" s="399" t="s">
        <v>3630</v>
      </c>
      <c r="H34" s="374">
        <f>SUMIF(105:105,G34,106:106)-SUMIF(105:105,C34,106:106)+100</f>
        <v>100</v>
      </c>
      <c r="I34" s="399" t="s">
        <v>3630</v>
      </c>
      <c r="J34" s="374">
        <f>SUMIF(105:105,I34,106:106)-SUMIF(105:105,C34,106:106)+100</f>
        <v>100</v>
      </c>
      <c r="K34" s="365">
        <v>1</v>
      </c>
      <c r="L34" s="2485"/>
      <c r="M34" s="2480"/>
      <c r="N34" s="2480"/>
      <c r="O34" s="2480"/>
      <c r="P34" s="3658"/>
      <c r="Q34" s="1257" t="str">
        <f t="shared" si="11"/>
        <v>建筑结构</v>
      </c>
      <c r="R34" s="662" t="s">
        <v>18</v>
      </c>
      <c r="S34" s="663">
        <f t="shared" si="12"/>
        <v>100</v>
      </c>
      <c r="T34" s="662" t="s">
        <v>18</v>
      </c>
      <c r="U34" s="663">
        <f t="shared" si="13"/>
        <v>100</v>
      </c>
      <c r="V34" s="662" t="s">
        <v>18</v>
      </c>
      <c r="W34" s="663">
        <f t="shared" si="14"/>
        <v>100</v>
      </c>
      <c r="X34" s="1259"/>
      <c r="Y34" s="3597"/>
      <c r="Z34" s="1258" t="str">
        <f t="shared" si="18"/>
        <v>建筑结构</v>
      </c>
      <c r="AA34" s="1258">
        <f t="shared" si="15"/>
        <v>1</v>
      </c>
      <c r="AB34" s="1258">
        <f t="shared" si="16"/>
        <v>1</v>
      </c>
      <c r="AC34" s="1258">
        <f t="shared" si="17"/>
        <v>1</v>
      </c>
    </row>
    <row r="35" spans="1:29" ht="15">
      <c r="A35" s="409"/>
      <c r="B35" s="364" t="s">
        <v>1698</v>
      </c>
      <c r="C35" s="1754" t="s">
        <v>3631</v>
      </c>
      <c r="D35" s="374">
        <v>100</v>
      </c>
      <c r="E35" s="1754" t="s">
        <v>3631</v>
      </c>
      <c r="F35" s="400">
        <f>SUMIF(107:107,E35,108:108)-SUMIF(107:107,C35,108:108)+100</f>
        <v>100</v>
      </c>
      <c r="G35" s="1754" t="s">
        <v>3635</v>
      </c>
      <c r="H35" s="374">
        <f>SUMIF(107:107,G35,108:108)-SUMIF(107:107,C35,108:108)+100</f>
        <v>105</v>
      </c>
      <c r="I35" s="1754" t="s">
        <v>3631</v>
      </c>
      <c r="J35" s="374">
        <f>SUMIF(107:107,I35,108:108)-SUMIF(107:107,C35,108:108)+100</f>
        <v>100</v>
      </c>
      <c r="K35" s="365">
        <v>5</v>
      </c>
      <c r="L35" s="2485"/>
      <c r="M35" s="2480"/>
      <c r="N35" s="2480"/>
      <c r="O35" s="2480"/>
      <c r="P35" s="3658"/>
      <c r="Q35" s="1257" t="str">
        <f t="shared" si="11"/>
        <v>建筑品质</v>
      </c>
      <c r="R35" s="662" t="s">
        <v>18</v>
      </c>
      <c r="S35" s="663">
        <f t="shared" si="12"/>
        <v>100</v>
      </c>
      <c r="T35" s="662" t="s">
        <v>18</v>
      </c>
      <c r="U35" s="663">
        <f t="shared" si="13"/>
        <v>105</v>
      </c>
      <c r="V35" s="662" t="s">
        <v>18</v>
      </c>
      <c r="W35" s="663">
        <f t="shared" si="14"/>
        <v>100</v>
      </c>
      <c r="X35" s="1259"/>
      <c r="Y35" s="3597"/>
      <c r="Z35" s="1258" t="str">
        <f t="shared" si="18"/>
        <v>建筑品质</v>
      </c>
      <c r="AA35" s="1258">
        <f t="shared" si="15"/>
        <v>1</v>
      </c>
      <c r="AB35" s="1258">
        <f t="shared" si="16"/>
        <v>0.95238095238095233</v>
      </c>
      <c r="AC35" s="1258">
        <f t="shared" si="17"/>
        <v>1</v>
      </c>
    </row>
    <row r="36" spans="1:29" ht="15">
      <c r="A36" s="409"/>
      <c r="B36" s="364" t="s">
        <v>1699</v>
      </c>
      <c r="C36" s="1754" t="s">
        <v>3632</v>
      </c>
      <c r="D36" s="374">
        <v>100</v>
      </c>
      <c r="E36" s="1754" t="s">
        <v>3632</v>
      </c>
      <c r="F36" s="400">
        <f>SUMIF(109:109,E36,110:110)-SUMIF(109:109,C36,110:110)+100</f>
        <v>100</v>
      </c>
      <c r="G36" s="1754" t="s">
        <v>3632</v>
      </c>
      <c r="H36" s="374">
        <f>SUMIF(109:109,G36,110:110)-SUMIF(109:109,C36,110:110)+100</f>
        <v>100</v>
      </c>
      <c r="I36" s="1754" t="s">
        <v>3632</v>
      </c>
      <c r="J36" s="374">
        <f>SUMIF(109:109,I36,110:110)-SUMIF(109:109,C36,110:110)+100</f>
        <v>100</v>
      </c>
      <c r="K36" s="365">
        <v>1</v>
      </c>
      <c r="L36" s="2485"/>
      <c r="M36" s="2480"/>
      <c r="N36" s="2480"/>
      <c r="O36" s="2480"/>
      <c r="P36" s="3658"/>
      <c r="Q36" s="1257" t="str">
        <f t="shared" si="11"/>
        <v>公共部分装修</v>
      </c>
      <c r="R36" s="662" t="s">
        <v>18</v>
      </c>
      <c r="S36" s="663">
        <f t="shared" si="12"/>
        <v>100</v>
      </c>
      <c r="T36" s="662" t="s">
        <v>18</v>
      </c>
      <c r="U36" s="663">
        <f t="shared" si="13"/>
        <v>100</v>
      </c>
      <c r="V36" s="662" t="s">
        <v>18</v>
      </c>
      <c r="W36" s="663">
        <f t="shared" si="14"/>
        <v>100</v>
      </c>
      <c r="X36" s="1259"/>
      <c r="Y36" s="3597"/>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58"/>
      <c r="Q37" s="528" t="str">
        <f t="shared" si="11"/>
        <v>成新度</v>
      </c>
      <c r="R37" s="659" t="s">
        <v>18</v>
      </c>
      <c r="S37" s="660">
        <f t="shared" si="12"/>
        <v>100</v>
      </c>
      <c r="T37" s="659" t="s">
        <v>18</v>
      </c>
      <c r="U37" s="660">
        <f t="shared" si="13"/>
        <v>100</v>
      </c>
      <c r="V37" s="659" t="s">
        <v>18</v>
      </c>
      <c r="W37" s="660">
        <f t="shared" si="14"/>
        <v>100</v>
      </c>
      <c r="X37" s="661"/>
      <c r="Y37" s="3597"/>
      <c r="Z37" s="50" t="str">
        <f t="shared" si="18"/>
        <v>成新度</v>
      </c>
      <c r="AA37" s="50">
        <f t="shared" si="15"/>
        <v>1</v>
      </c>
      <c r="AB37" s="50">
        <f t="shared" si="16"/>
        <v>1</v>
      </c>
      <c r="AC37" s="50">
        <f t="shared" si="17"/>
        <v>1</v>
      </c>
    </row>
    <row r="38" spans="1:29" ht="15">
      <c r="A38" s="409"/>
      <c r="B38" s="364" t="s">
        <v>1701</v>
      </c>
      <c r="C38" s="1754" t="s">
        <v>3633</v>
      </c>
      <c r="D38" s="374">
        <v>100</v>
      </c>
      <c r="E38" s="1754" t="s">
        <v>3633</v>
      </c>
      <c r="F38" s="400">
        <f>SUMIF(114:114,E38,115:115)-SUMIF(114:114,C38,115:115)+100</f>
        <v>100</v>
      </c>
      <c r="G38" s="1754" t="s">
        <v>3633</v>
      </c>
      <c r="H38" s="374">
        <f>SUMIF(114:114,G38,115:115)-SUMIF(114:114,C38,115:115)+100</f>
        <v>100</v>
      </c>
      <c r="I38" s="1754" t="s">
        <v>3633</v>
      </c>
      <c r="J38" s="374">
        <f>SUMIF(114:114,I38,115:115)-SUMIF(114:114,C38,115:115)+100</f>
        <v>100</v>
      </c>
      <c r="K38" s="365">
        <v>1</v>
      </c>
      <c r="L38" s="2485"/>
      <c r="M38" s="2480"/>
      <c r="N38" s="2480"/>
      <c r="O38" s="2480"/>
      <c r="P38" s="3658" t="s">
        <v>1695</v>
      </c>
      <c r="Q38" s="1257" t="str">
        <f t="shared" si="11"/>
        <v>物业管理</v>
      </c>
      <c r="R38" s="662" t="s">
        <v>18</v>
      </c>
      <c r="S38" s="663">
        <f t="shared" si="12"/>
        <v>100</v>
      </c>
      <c r="T38" s="662" t="s">
        <v>18</v>
      </c>
      <c r="U38" s="663">
        <f t="shared" si="13"/>
        <v>100</v>
      </c>
      <c r="V38" s="662" t="s">
        <v>18</v>
      </c>
      <c r="W38" s="663">
        <f t="shared" si="14"/>
        <v>100</v>
      </c>
      <c r="X38" s="1259"/>
      <c r="Y38" s="3597" t="s">
        <v>1695</v>
      </c>
      <c r="Z38" s="1258" t="str">
        <f t="shared" si="18"/>
        <v>物业管理</v>
      </c>
      <c r="AA38" s="1258">
        <f t="shared" si="15"/>
        <v>1</v>
      </c>
      <c r="AB38" s="1258">
        <f t="shared" si="16"/>
        <v>1</v>
      </c>
      <c r="AC38" s="1258">
        <f t="shared" si="17"/>
        <v>1</v>
      </c>
    </row>
    <row r="39" spans="1:29" ht="15">
      <c r="A39" s="409"/>
      <c r="B39" s="364" t="s">
        <v>1702</v>
      </c>
      <c r="C39" s="1754" t="s">
        <v>3629</v>
      </c>
      <c r="D39" s="374">
        <v>100</v>
      </c>
      <c r="E39" s="1754" t="s">
        <v>3629</v>
      </c>
      <c r="F39" s="400">
        <f>SUMIF(116:116,E39,117:117)-SUMIF(116:116,C39,117:117)+100</f>
        <v>100</v>
      </c>
      <c r="G39" s="1754" t="s">
        <v>3629</v>
      </c>
      <c r="H39" s="374">
        <f>SUMIF(116:116,G39,117:117)-SUMIF(116:116,C39,117:117)+100</f>
        <v>100</v>
      </c>
      <c r="I39" s="1754" t="s">
        <v>3629</v>
      </c>
      <c r="J39" s="374">
        <f>SUMIF(116:116,I39,117:117)-SUMIF(116:116,C39,117:117)+100</f>
        <v>100</v>
      </c>
      <c r="K39" s="365">
        <v>1</v>
      </c>
      <c r="L39" s="2485"/>
      <c r="M39" s="2480"/>
      <c r="N39" s="2480"/>
      <c r="O39" s="2480"/>
      <c r="P39" s="3658"/>
      <c r="Q39" s="1257" t="str">
        <f t="shared" si="11"/>
        <v>市政基础设施</v>
      </c>
      <c r="R39" s="662" t="s">
        <v>18</v>
      </c>
      <c r="S39" s="663">
        <f t="shared" si="12"/>
        <v>100</v>
      </c>
      <c r="T39" s="662" t="s">
        <v>18</v>
      </c>
      <c r="U39" s="663">
        <f t="shared" si="13"/>
        <v>100</v>
      </c>
      <c r="V39" s="662" t="s">
        <v>18</v>
      </c>
      <c r="W39" s="663">
        <f t="shared" si="14"/>
        <v>100</v>
      </c>
      <c r="X39" s="1259"/>
      <c r="Y39" s="3597"/>
      <c r="Z39" s="1258" t="str">
        <f t="shared" si="18"/>
        <v>市政基础设施</v>
      </c>
      <c r="AA39" s="1258">
        <f t="shared" si="15"/>
        <v>1</v>
      </c>
      <c r="AB39" s="1258">
        <f t="shared" si="16"/>
        <v>1</v>
      </c>
      <c r="AC39" s="1258">
        <f t="shared" si="17"/>
        <v>1</v>
      </c>
    </row>
    <row r="40" spans="1:29" ht="15">
      <c r="A40" s="409"/>
      <c r="B40" s="364" t="s">
        <v>1703</v>
      </c>
      <c r="C40" s="1754" t="s">
        <v>3634</v>
      </c>
      <c r="D40" s="374">
        <v>100</v>
      </c>
      <c r="E40" s="1754" t="s">
        <v>3634</v>
      </c>
      <c r="F40" s="400">
        <f>SUMIF(118:118,E40,119:119)-SUMIF(118:118,C40,119:119)+100</f>
        <v>100</v>
      </c>
      <c r="G40" s="1754" t="s">
        <v>3634</v>
      </c>
      <c r="H40" s="374">
        <f>SUMIF(118:118,G40,119:119)-SUMIF(118:118,C40,119:119)+100</f>
        <v>100</v>
      </c>
      <c r="I40" s="1754" t="s">
        <v>3634</v>
      </c>
      <c r="J40" s="374">
        <f>SUMIF(118:118,I40,119:119)-SUMIF(118:118,C40,119:119)+100</f>
        <v>100</v>
      </c>
      <c r="K40" s="365">
        <v>1</v>
      </c>
      <c r="L40" s="2485"/>
      <c r="M40" s="2480"/>
      <c r="N40" s="2480"/>
      <c r="O40" s="2480"/>
      <c r="P40" s="3658"/>
      <c r="Q40" s="1257" t="str">
        <f t="shared" si="11"/>
        <v>房型</v>
      </c>
      <c r="R40" s="662" t="s">
        <v>18</v>
      </c>
      <c r="S40" s="663">
        <f t="shared" si="12"/>
        <v>100</v>
      </c>
      <c r="T40" s="662" t="s">
        <v>18</v>
      </c>
      <c r="U40" s="663">
        <f t="shared" si="13"/>
        <v>100</v>
      </c>
      <c r="V40" s="662" t="s">
        <v>18</v>
      </c>
      <c r="W40" s="663">
        <f t="shared" si="14"/>
        <v>100</v>
      </c>
      <c r="X40" s="1259"/>
      <c r="Y40" s="3597"/>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58"/>
      <c r="Q41" s="529" t="str">
        <f t="shared" si="11"/>
        <v>单套/主力户型建筑面积</v>
      </c>
      <c r="R41" s="664" t="s">
        <v>18</v>
      </c>
      <c r="S41" s="665">
        <f t="shared" si="12"/>
        <v>100</v>
      </c>
      <c r="T41" s="664" t="s">
        <v>18</v>
      </c>
      <c r="U41" s="665">
        <f t="shared" si="13"/>
        <v>100</v>
      </c>
      <c r="V41" s="664" t="s">
        <v>18</v>
      </c>
      <c r="W41" s="665">
        <f t="shared" si="14"/>
        <v>100</v>
      </c>
      <c r="X41" s="666"/>
      <c r="Y41" s="3597"/>
      <c r="Z41" s="667" t="str">
        <f t="shared" si="18"/>
        <v>单套/主力户型建筑面积</v>
      </c>
      <c r="AA41" s="1258">
        <f t="shared" si="15"/>
        <v>1</v>
      </c>
      <c r="AB41" s="1258">
        <f t="shared" si="16"/>
        <v>1</v>
      </c>
      <c r="AC41" s="1258">
        <f t="shared" si="17"/>
        <v>1</v>
      </c>
    </row>
    <row r="42" spans="1:29" ht="15.75" thickBot="1">
      <c r="A42" s="409"/>
      <c r="B42" s="364" t="s">
        <v>1705</v>
      </c>
      <c r="C42" s="1754" t="s">
        <v>3632</v>
      </c>
      <c r="D42" s="374">
        <v>100</v>
      </c>
      <c r="E42" s="1754" t="s">
        <v>3632</v>
      </c>
      <c r="F42" s="400">
        <f>SUMIF(122:122,E42,123:123)-SUMIF(122:122,C42,123:123)+100</f>
        <v>100</v>
      </c>
      <c r="G42" s="1754" t="s">
        <v>4849</v>
      </c>
      <c r="H42" s="374">
        <f>SUMIF(122:122,G42,123:123)-SUMIF(122:122,C42,123:123)+100</f>
        <v>110</v>
      </c>
      <c r="I42" s="1754" t="s">
        <v>3632</v>
      </c>
      <c r="J42" s="374">
        <f>SUMIF(122:122,I42,123:123)-SUMIF(122:122,C42,123:123)+100</f>
        <v>100</v>
      </c>
      <c r="K42" s="365">
        <v>10</v>
      </c>
      <c r="L42" s="2485"/>
      <c r="M42" s="2480"/>
      <c r="N42" s="2480"/>
      <c r="O42" s="2480"/>
      <c r="P42" s="3658"/>
      <c r="Q42" s="1257" t="str">
        <f t="shared" si="11"/>
        <v>内部装修</v>
      </c>
      <c r="R42" s="662" t="s">
        <v>18</v>
      </c>
      <c r="S42" s="663">
        <f t="shared" si="12"/>
        <v>100</v>
      </c>
      <c r="T42" s="662" t="s">
        <v>18</v>
      </c>
      <c r="U42" s="663">
        <f t="shared" si="13"/>
        <v>110</v>
      </c>
      <c r="V42" s="662" t="s">
        <v>18</v>
      </c>
      <c r="W42" s="663">
        <f t="shared" si="14"/>
        <v>100</v>
      </c>
      <c r="X42" s="1259"/>
      <c r="Y42" s="3597"/>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58"/>
      <c r="Q43" s="1257" t="str">
        <f t="shared" si="11"/>
        <v>内部装修维护情况</v>
      </c>
      <c r="R43" s="662" t="s">
        <v>18</v>
      </c>
      <c r="S43" s="663">
        <f t="shared" si="12"/>
        <v>100</v>
      </c>
      <c r="T43" s="662" t="s">
        <v>18</v>
      </c>
      <c r="U43" s="663">
        <f t="shared" si="13"/>
        <v>100</v>
      </c>
      <c r="V43" s="662" t="s">
        <v>18</v>
      </c>
      <c r="W43" s="663">
        <f t="shared" si="14"/>
        <v>100</v>
      </c>
      <c r="X43" s="1259"/>
      <c r="Y43" s="3597"/>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58"/>
      <c r="Q44" s="528">
        <f t="shared" si="11"/>
        <v>111</v>
      </c>
      <c r="R44" s="659" t="s">
        <v>18</v>
      </c>
      <c r="S44" s="660">
        <f t="shared" si="12"/>
        <v>100</v>
      </c>
      <c r="T44" s="659" t="s">
        <v>18</v>
      </c>
      <c r="U44" s="660">
        <f t="shared" si="13"/>
        <v>100</v>
      </c>
      <c r="V44" s="659" t="s">
        <v>18</v>
      </c>
      <c r="W44" s="660">
        <f t="shared" si="14"/>
        <v>100</v>
      </c>
      <c r="X44" s="661"/>
      <c r="Y44" s="3597"/>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58"/>
      <c r="Q45" s="1257">
        <f t="shared" si="11"/>
        <v>111</v>
      </c>
      <c r="R45" s="662" t="s">
        <v>18</v>
      </c>
      <c r="S45" s="663">
        <f t="shared" si="12"/>
        <v>100</v>
      </c>
      <c r="T45" s="662" t="s">
        <v>18</v>
      </c>
      <c r="U45" s="663">
        <f t="shared" si="13"/>
        <v>100</v>
      </c>
      <c r="V45" s="662" t="s">
        <v>18</v>
      </c>
      <c r="W45" s="663">
        <f t="shared" si="14"/>
        <v>100</v>
      </c>
      <c r="X45" s="1259"/>
      <c r="Y45" s="3597"/>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59"/>
      <c r="Q46" s="1257">
        <f t="shared" si="11"/>
        <v>111</v>
      </c>
      <c r="R46" s="662" t="s">
        <v>17</v>
      </c>
      <c r="S46" s="663">
        <f t="shared" si="12"/>
        <v>100</v>
      </c>
      <c r="T46" s="662" t="s">
        <v>17</v>
      </c>
      <c r="U46" s="663">
        <f t="shared" si="13"/>
        <v>100</v>
      </c>
      <c r="V46" s="662" t="s">
        <v>17</v>
      </c>
      <c r="W46" s="663">
        <f t="shared" si="14"/>
        <v>100</v>
      </c>
      <c r="X46" s="1259"/>
      <c r="Y46" s="3660"/>
      <c r="Z46" s="1258">
        <f t="shared" si="18"/>
        <v>111</v>
      </c>
      <c r="AA46" s="1258">
        <f t="shared" si="15"/>
        <v>1</v>
      </c>
      <c r="AB46" s="1258">
        <f t="shared" si="16"/>
        <v>1</v>
      </c>
      <c r="AC46" s="1258">
        <f t="shared" si="17"/>
        <v>1</v>
      </c>
    </row>
    <row r="47" spans="1:29" ht="15">
      <c r="A47" s="414" t="s">
        <v>1707</v>
      </c>
      <c r="B47" s="415"/>
      <c r="C47" s="1076" t="s">
        <v>16</v>
      </c>
      <c r="D47" s="416"/>
      <c r="E47" s="417">
        <f>中指住宅!F6</f>
        <v>29319</v>
      </c>
      <c r="F47" s="418"/>
      <c r="G47" s="419">
        <f>中指住宅!F7</f>
        <v>33090</v>
      </c>
      <c r="H47" s="420"/>
      <c r="I47" s="417">
        <f>中指住宅!F8</f>
        <v>27956</v>
      </c>
      <c r="J47" s="420"/>
      <c r="K47" s="1759"/>
      <c r="L47" s="2487"/>
      <c r="M47" s="2480"/>
      <c r="N47" s="2480"/>
      <c r="O47" s="2480"/>
      <c r="P47" s="3593" t="str">
        <f>A47</f>
        <v>成交单价（元/平方米）</v>
      </c>
      <c r="Q47" s="3593"/>
      <c r="R47" s="3598">
        <f>E47</f>
        <v>29319</v>
      </c>
      <c r="S47" s="3598"/>
      <c r="T47" s="3598">
        <f>G47</f>
        <v>33090</v>
      </c>
      <c r="U47" s="3598"/>
      <c r="V47" s="3598">
        <f>I47</f>
        <v>27956</v>
      </c>
      <c r="W47" s="3598"/>
      <c r="X47" s="385"/>
      <c r="Y47" s="668"/>
      <c r="Z47" s="385"/>
      <c r="AA47" s="385"/>
      <c r="AB47" s="385"/>
      <c r="AC47" s="385"/>
    </row>
    <row r="48" spans="1:29" ht="15.75" thickBot="1">
      <c r="A48" s="421" t="s">
        <v>1708</v>
      </c>
      <c r="B48" s="422"/>
      <c r="C48" s="1077">
        <f>R49</f>
        <v>28377</v>
      </c>
      <c r="D48" s="2133" t="s">
        <v>2137</v>
      </c>
      <c r="E48" s="1078">
        <f>R48</f>
        <v>29615</v>
      </c>
      <c r="F48" s="2134"/>
      <c r="G48" s="1077">
        <f>T48</f>
        <v>27561</v>
      </c>
      <c r="H48" s="2134"/>
      <c r="I48" s="1078">
        <f>V48</f>
        <v>27956</v>
      </c>
      <c r="J48" s="2134"/>
      <c r="K48" s="2135">
        <f>F48+H48+J48</f>
        <v>0</v>
      </c>
      <c r="L48" s="2487"/>
      <c r="M48" s="2480"/>
      <c r="N48" s="2480"/>
      <c r="O48" s="2480"/>
      <c r="P48" s="3593" t="str">
        <f>A48</f>
        <v>比较价值（元/平方米）</v>
      </c>
      <c r="Q48" s="3593"/>
      <c r="R48" s="3598">
        <f>IF(F1="售价",ROUND(PRODUCT(R47,AA7:AA46),0),ROUND(PRODUCT(R47,AA7:AA46),1))</f>
        <v>29615</v>
      </c>
      <c r="S48" s="3598"/>
      <c r="T48" s="3598">
        <f>IF(F1="售价",ROUND(PRODUCT(T47,AB7:AB46),0),ROUND(PRODUCT(T47,AB7:AB46),1))</f>
        <v>27561</v>
      </c>
      <c r="U48" s="3598"/>
      <c r="V48" s="3598">
        <f>IF(F1="售价",ROUND(PRODUCT(V47,AC7:AC46),0),ROUND(PRODUCT(V47,AC7:AC46),1))</f>
        <v>27956</v>
      </c>
      <c r="W48" s="3598"/>
      <c r="X48" s="385"/>
      <c r="Y48" s="385"/>
      <c r="Z48" s="385"/>
      <c r="AA48" s="385"/>
      <c r="AB48" s="385"/>
      <c r="AC48" s="385"/>
    </row>
    <row r="49" spans="1:29" ht="15.75" thickBot="1">
      <c r="A49" s="425" t="s">
        <v>1709</v>
      </c>
      <c r="B49" s="426"/>
      <c r="C49" s="1079">
        <f>R49</f>
        <v>28377</v>
      </c>
      <c r="D49" s="351"/>
      <c r="E49" s="351"/>
      <c r="F49" s="351"/>
      <c r="G49" s="351"/>
      <c r="H49" s="351"/>
      <c r="I49" s="351"/>
      <c r="J49" s="351"/>
      <c r="K49" s="1760"/>
      <c r="L49" s="2487"/>
      <c r="M49" s="2480"/>
      <c r="N49" s="2480"/>
      <c r="O49" s="2480"/>
      <c r="P49" s="3587" t="str">
        <f>A49</f>
        <v>估价对象XX用房的比较价值（楼面单价，元/平方米）</v>
      </c>
      <c r="Q49" s="3588"/>
      <c r="R49" s="3654">
        <f>IF(F1="售价",ROUND(IF(D48="简单平均",AVERAGE(R48:V48),R48*F48+T48*H48+V48*J48),0),ROUND(IF(D48="简单平均",AVERAGE(R48:V48),R48*F48+T48*H48+V48*J48),1))</f>
        <v>28377</v>
      </c>
      <c r="S49" s="3654"/>
      <c r="T49" s="3654"/>
      <c r="U49" s="3654"/>
      <c r="V49" s="3654"/>
      <c r="W49" s="3654"/>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1.0095842286571788E-2</v>
      </c>
      <c r="F52" s="433" t="str">
        <f>IF(OR(E52&gt;=0.3,E52&lt;=-0.3),"超过30%","")</f>
        <v/>
      </c>
      <c r="G52" s="432">
        <f>IF(G47&lt;G48,G48/G47-1,G47/G48-1)</f>
        <v>0.20060955698269289</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7.4525597764957707E-2</v>
      </c>
      <c r="F53" s="433" t="str">
        <f>IF(OR(E53&gt;=0.2,E53&lt;=-0.2),"超过20%","")</f>
        <v/>
      </c>
      <c r="G53" s="432">
        <f>IF(G48&lt;I48,I48/G48-1,G48/I48-1)</f>
        <v>1.4331845724030234E-2</v>
      </c>
      <c r="H53" s="433" t="str">
        <f>IF(OR(G53&gt;=0.2,G53&lt;=-0.2),"超过20%","")</f>
        <v/>
      </c>
      <c r="I53" s="432">
        <f>IF(I48&lt;E48,E48/I48-1,I48/E48-1)</f>
        <v>5.9343253684361219E-2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0.12861966642791356</v>
      </c>
      <c r="F54" s="433" t="str">
        <f>IF(OR(E54&gt;=0.3,E54&lt;=-0.3),"超过30%","")</f>
        <v/>
      </c>
      <c r="G54" s="432">
        <f>IF(G47&lt;I47,I47/G47-1,G47/I47-1)</f>
        <v>0.18364572900271847</v>
      </c>
      <c r="H54" s="433" t="str">
        <f>IF(OR(G54&gt;=0.3,G54&lt;=-0.3),"超过30%","")</f>
        <v/>
      </c>
      <c r="I54" s="432">
        <f>IF(I47&lt;E47,E47/I47-1,I47/E47-1)</f>
        <v>4.875518672199175E-2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98</v>
      </c>
      <c r="E83" s="579">
        <f t="shared" ref="E83:G83" si="23">D83-$K21</f>
        <v>96</v>
      </c>
      <c r="F83" s="579">
        <f t="shared" si="23"/>
        <v>94</v>
      </c>
      <c r="G83" s="579">
        <f t="shared" si="23"/>
        <v>92</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4845</v>
      </c>
      <c r="D100" s="3211" t="s">
        <v>4847</v>
      </c>
      <c r="E100" s="3211" t="s">
        <v>4848</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4850</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E35" sqref="E3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3643</v>
      </c>
      <c r="E1" s="3122" t="s">
        <v>3636</v>
      </c>
      <c r="F1" s="1729" t="s">
        <v>3637</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1324</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5624</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05" t="s">
        <v>1774</v>
      </c>
      <c r="Q4" s="3606"/>
      <c r="R4" s="3611" t="s">
        <v>1770</v>
      </c>
      <c r="S4" s="3612"/>
      <c r="T4" s="3611" t="s">
        <v>1771</v>
      </c>
      <c r="U4" s="3612"/>
      <c r="V4" s="3598" t="s">
        <v>1772</v>
      </c>
      <c r="W4" s="3598"/>
      <c r="X4" s="1259"/>
      <c r="Y4" s="3611" t="s">
        <v>1774</v>
      </c>
      <c r="Z4" s="3612"/>
      <c r="AA4" s="3599" t="s">
        <v>1770</v>
      </c>
      <c r="AB4" s="3600" t="s">
        <v>1771</v>
      </c>
      <c r="AC4" s="3599" t="s">
        <v>1772</v>
      </c>
    </row>
    <row r="5" spans="1:29" ht="15">
      <c r="A5" s="348"/>
      <c r="B5" s="349"/>
      <c r="C5" s="3619" t="s">
        <v>1672</v>
      </c>
      <c r="D5" s="3620"/>
      <c r="E5" s="3626" t="str">
        <f>中指仓储!A5</f>
        <v>京北幸福园</v>
      </c>
      <c r="F5" s="3627"/>
      <c r="G5" s="3619" t="str">
        <f>中指仓储!A6</f>
        <v>世园村</v>
      </c>
      <c r="H5" s="3620"/>
      <c r="I5" s="3619" t="str">
        <f>中指仓储!A8</f>
        <v>上源府</v>
      </c>
      <c r="J5" s="3620"/>
      <c r="K5" s="535"/>
      <c r="L5" s="2479"/>
      <c r="M5" s="2480"/>
      <c r="N5" s="2480"/>
      <c r="O5" s="2480"/>
      <c r="P5" s="3607"/>
      <c r="Q5" s="3608"/>
      <c r="R5" s="3613"/>
      <c r="S5" s="3614"/>
      <c r="T5" s="3613"/>
      <c r="U5" s="3614"/>
      <c r="V5" s="3598"/>
      <c r="W5" s="3598"/>
      <c r="X5" s="1259"/>
      <c r="Y5" s="3613"/>
      <c r="Z5" s="3614"/>
      <c r="AA5" s="3600"/>
      <c r="AB5" s="3600"/>
      <c r="AC5" s="3600"/>
    </row>
    <row r="6" spans="1:29" ht="15.75" thickBot="1">
      <c r="A6" s="350"/>
      <c r="B6" s="351"/>
      <c r="C6" s="3617" t="s">
        <v>1676</v>
      </c>
      <c r="D6" s="3618"/>
      <c r="E6" s="3624" t="s">
        <v>1676</v>
      </c>
      <c r="F6" s="3625"/>
      <c r="G6" s="3617" t="s">
        <v>1676</v>
      </c>
      <c r="H6" s="3618"/>
      <c r="I6" s="3617" t="s">
        <v>1676</v>
      </c>
      <c r="J6" s="3618"/>
      <c r="K6" s="535" t="s">
        <v>1677</v>
      </c>
      <c r="L6" s="2479"/>
      <c r="M6" s="2480"/>
      <c r="N6" s="2480"/>
      <c r="O6" s="2480"/>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621" t="s">
        <v>1679</v>
      </c>
      <c r="Q7" s="3623"/>
      <c r="R7" s="659" t="s">
        <v>14</v>
      </c>
      <c r="S7" s="660">
        <f t="shared" ref="S7:S14" si="0">F7</f>
        <v>100</v>
      </c>
      <c r="T7" s="659" t="s">
        <v>14</v>
      </c>
      <c r="U7" s="660">
        <f t="shared" ref="U7:U14" si="1">H7</f>
        <v>100</v>
      </c>
      <c r="V7" s="659" t="s">
        <v>14</v>
      </c>
      <c r="W7" s="660">
        <f t="shared" ref="W7:W14" si="2">J7</f>
        <v>100</v>
      </c>
      <c r="X7" s="661"/>
      <c r="Y7" s="3621" t="s">
        <v>1679</v>
      </c>
      <c r="Z7" s="3622"/>
      <c r="AA7" s="50">
        <f>D7/F7</f>
        <v>1</v>
      </c>
      <c r="AB7" s="50">
        <f>D7/H7</f>
        <v>1</v>
      </c>
      <c r="AC7" s="50">
        <f>D7/J7</f>
        <v>1</v>
      </c>
    </row>
    <row r="8" spans="1:29" s="102" customFormat="1" ht="15.75" thickBot="1">
      <c r="A8" s="352" t="s">
        <v>1680</v>
      </c>
      <c r="B8" s="353"/>
      <c r="C8" s="358" t="s">
        <v>3625</v>
      </c>
      <c r="D8" s="355">
        <v>100</v>
      </c>
      <c r="E8" s="358" t="s">
        <v>3625</v>
      </c>
      <c r="F8" s="357">
        <f>SUMIF(49:49,E8,50:50)-SUMIF(49:49,C8,50:50)+100</f>
        <v>100</v>
      </c>
      <c r="G8" s="358" t="s">
        <v>3625</v>
      </c>
      <c r="H8" s="355">
        <f>SUMIF(49:49,G8,50:50)-SUMIF(49:49,C8,50:50)+100</f>
        <v>100</v>
      </c>
      <c r="I8" s="358" t="s">
        <v>3625</v>
      </c>
      <c r="J8" s="355">
        <f>SUMIF(49:49,I8,50:50)-SUMIF(49:49,C8,50:50)+100</f>
        <v>100</v>
      </c>
      <c r="K8" s="38"/>
      <c r="L8" s="2481"/>
      <c r="M8" s="2432"/>
      <c r="N8" s="2432"/>
      <c r="O8" s="2432"/>
      <c r="P8" s="3621" t="s">
        <v>1682</v>
      </c>
      <c r="Q8" s="3622"/>
      <c r="R8" s="659" t="s">
        <v>14</v>
      </c>
      <c r="S8" s="660">
        <f t="shared" si="0"/>
        <v>100</v>
      </c>
      <c r="T8" s="659" t="s">
        <v>14</v>
      </c>
      <c r="U8" s="660">
        <f t="shared" si="1"/>
        <v>100</v>
      </c>
      <c r="V8" s="659" t="s">
        <v>14</v>
      </c>
      <c r="W8" s="660">
        <f t="shared" si="2"/>
        <v>100</v>
      </c>
      <c r="X8" s="661"/>
      <c r="Y8" s="3621" t="s">
        <v>1682</v>
      </c>
      <c r="Z8" s="3622"/>
      <c r="AA8" s="50">
        <f t="shared" ref="AA8:AA34" si="3">D8/F8</f>
        <v>1</v>
      </c>
      <c r="AB8" s="50">
        <f t="shared" ref="AB8:AB34" si="4">D8/H8</f>
        <v>1</v>
      </c>
      <c r="AC8" s="50">
        <f t="shared" ref="AC8:AC34" si="5">D8/J8</f>
        <v>1</v>
      </c>
    </row>
    <row r="9" spans="1:29" s="102" customFormat="1">
      <c r="A9" s="359" t="s">
        <v>1683</v>
      </c>
      <c r="B9" s="60" t="s">
        <v>1684</v>
      </c>
      <c r="C9" s="3215" t="s">
        <v>3644</v>
      </c>
      <c r="D9" s="59">
        <v>100</v>
      </c>
      <c r="E9" s="362" t="s">
        <v>3643</v>
      </c>
      <c r="F9" s="60">
        <f>SUMIF(51:51,E9,52:52)-SUMIF(51:51,C9,52:52)+100</f>
        <v>100</v>
      </c>
      <c r="G9" s="362" t="s">
        <v>3643</v>
      </c>
      <c r="H9" s="59">
        <f>SUMIF(51:51,G9,52:52)-SUMIF(51:51,C9,52:52)+100</f>
        <v>100</v>
      </c>
      <c r="I9" s="362" t="s">
        <v>3643</v>
      </c>
      <c r="J9" s="59">
        <f>SUMIF(51:51,I9,52:52)-SUMIF(51:51,C9,52:52)+100</f>
        <v>100</v>
      </c>
      <c r="K9" s="38"/>
      <c r="L9" s="2481"/>
      <c r="M9" s="2432"/>
      <c r="N9" s="2432"/>
      <c r="O9" s="2533"/>
      <c r="P9" s="3593" t="s">
        <v>1685</v>
      </c>
      <c r="Q9" s="528" t="str">
        <f t="shared" ref="Q9:Q14" si="6">B9</f>
        <v>用途</v>
      </c>
      <c r="R9" s="659" t="s">
        <v>14</v>
      </c>
      <c r="S9" s="660">
        <f t="shared" si="0"/>
        <v>100</v>
      </c>
      <c r="T9" s="659" t="s">
        <v>14</v>
      </c>
      <c r="U9" s="660">
        <f t="shared" si="1"/>
        <v>100</v>
      </c>
      <c r="V9" s="659" t="s">
        <v>14</v>
      </c>
      <c r="W9" s="660">
        <f t="shared" si="2"/>
        <v>100</v>
      </c>
      <c r="X9" s="661"/>
      <c r="Y9" s="3490"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593"/>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593"/>
      <c r="Q11" s="528">
        <f t="shared" si="6"/>
        <v>111</v>
      </c>
      <c r="R11" s="659" t="s">
        <v>14</v>
      </c>
      <c r="S11" s="660">
        <f t="shared" si="0"/>
        <v>100</v>
      </c>
      <c r="T11" s="659" t="s">
        <v>14</v>
      </c>
      <c r="U11" s="660">
        <f t="shared" si="1"/>
        <v>100</v>
      </c>
      <c r="V11" s="659" t="s">
        <v>14</v>
      </c>
      <c r="W11" s="660">
        <f t="shared" si="2"/>
        <v>100</v>
      </c>
      <c r="X11" s="661"/>
      <c r="Y11" s="3490"/>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593"/>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593"/>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594" t="s">
        <v>1690</v>
      </c>
      <c r="Q14" s="1257" t="str">
        <f t="shared" si="6"/>
        <v>交通便捷度</v>
      </c>
      <c r="R14" s="662" t="s">
        <v>14</v>
      </c>
      <c r="S14" s="663">
        <f t="shared" si="0"/>
        <v>100</v>
      </c>
      <c r="T14" s="662" t="s">
        <v>14</v>
      </c>
      <c r="U14" s="663">
        <f t="shared" si="1"/>
        <v>100</v>
      </c>
      <c r="V14" s="662" t="s">
        <v>14</v>
      </c>
      <c r="W14" s="663">
        <f t="shared" si="2"/>
        <v>100</v>
      </c>
      <c r="X14" s="1259"/>
      <c r="Y14" s="3594" t="s">
        <v>1690</v>
      </c>
      <c r="Z14" s="1258" t="str">
        <f t="shared" si="7"/>
        <v>交通便捷度</v>
      </c>
      <c r="AA14" s="1258">
        <f t="shared" si="3"/>
        <v>1</v>
      </c>
      <c r="AB14" s="1258">
        <f t="shared" si="4"/>
        <v>1</v>
      </c>
      <c r="AC14" s="1258">
        <f t="shared" si="5"/>
        <v>1</v>
      </c>
    </row>
    <row r="15" spans="1:29" ht="15">
      <c r="A15" s="367"/>
      <c r="B15" s="385"/>
      <c r="C15" s="386" t="s">
        <v>3627</v>
      </c>
      <c r="D15" s="387"/>
      <c r="E15" s="386" t="s">
        <v>3627</v>
      </c>
      <c r="F15" s="388"/>
      <c r="G15" s="386" t="s">
        <v>3627</v>
      </c>
      <c r="H15" s="389"/>
      <c r="I15" s="386" t="s">
        <v>3627</v>
      </c>
      <c r="J15" s="387"/>
      <c r="K15" s="539"/>
      <c r="L15" s="2485"/>
      <c r="M15" s="2480"/>
      <c r="N15" s="2480"/>
      <c r="O15" s="2535"/>
      <c r="P15" s="3595"/>
      <c r="Q15" s="1257"/>
      <c r="R15" s="662"/>
      <c r="S15" s="663"/>
      <c r="T15" s="662"/>
      <c r="U15" s="663"/>
      <c r="V15" s="662"/>
      <c r="W15" s="663"/>
      <c r="X15" s="1259"/>
      <c r="Y15" s="3595"/>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595"/>
      <c r="Q16" s="1257" t="str">
        <f>B16</f>
        <v>公共配套设施</v>
      </c>
      <c r="R16" s="662" t="s">
        <v>14</v>
      </c>
      <c r="S16" s="663">
        <f>F16</f>
        <v>100</v>
      </c>
      <c r="T16" s="662" t="s">
        <v>14</v>
      </c>
      <c r="U16" s="663">
        <f>H16</f>
        <v>100</v>
      </c>
      <c r="V16" s="662" t="s">
        <v>14</v>
      </c>
      <c r="W16" s="663">
        <f>J16</f>
        <v>100</v>
      </c>
      <c r="X16" s="1259"/>
      <c r="Y16" s="3595"/>
      <c r="Z16" s="1258" t="str">
        <f>Q16</f>
        <v>公共配套设施</v>
      </c>
      <c r="AA16" s="1258">
        <f t="shared" si="3"/>
        <v>1</v>
      </c>
      <c r="AB16" s="1258">
        <f t="shared" si="4"/>
        <v>1</v>
      </c>
      <c r="AC16" s="1258">
        <f t="shared" si="5"/>
        <v>1</v>
      </c>
    </row>
    <row r="17" spans="1:29" ht="15">
      <c r="A17" s="367"/>
      <c r="B17" s="395"/>
      <c r="C17" s="1749" t="s">
        <v>3627</v>
      </c>
      <c r="D17" s="387"/>
      <c r="E17" s="386" t="s">
        <v>3627</v>
      </c>
      <c r="F17" s="388"/>
      <c r="G17" s="386" t="s">
        <v>3627</v>
      </c>
      <c r="H17" s="387"/>
      <c r="I17" s="386" t="s">
        <v>3627</v>
      </c>
      <c r="J17" s="387"/>
      <c r="K17" s="539"/>
      <c r="L17" s="2485"/>
      <c r="M17" s="2480"/>
      <c r="N17" s="2480"/>
      <c r="O17" s="2535"/>
      <c r="P17" s="3595"/>
      <c r="Q17" s="1257"/>
      <c r="R17" s="662"/>
      <c r="S17" s="663"/>
      <c r="T17" s="662"/>
      <c r="U17" s="663"/>
      <c r="V17" s="662"/>
      <c r="W17" s="663"/>
      <c r="X17" s="1259"/>
      <c r="Y17" s="3595"/>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595"/>
      <c r="Q18" s="1257" t="str">
        <f>B18</f>
        <v>基础设施水平</v>
      </c>
      <c r="R18" s="662" t="s">
        <v>14</v>
      </c>
      <c r="S18" s="663">
        <f>F18</f>
        <v>100</v>
      </c>
      <c r="T18" s="662" t="s">
        <v>14</v>
      </c>
      <c r="U18" s="663">
        <f>H18</f>
        <v>100</v>
      </c>
      <c r="V18" s="662" t="s">
        <v>14</v>
      </c>
      <c r="W18" s="663">
        <f>J18</f>
        <v>100</v>
      </c>
      <c r="X18" s="1259"/>
      <c r="Y18" s="3595"/>
      <c r="Z18" s="1258" t="str">
        <f>Q18</f>
        <v>基础设施水平</v>
      </c>
      <c r="AA18" s="1258">
        <f t="shared" ref="AA18" si="8">D18/F18</f>
        <v>1</v>
      </c>
      <c r="AB18" s="1258">
        <f t="shared" ref="AB18" si="9">D18/H18</f>
        <v>1</v>
      </c>
      <c r="AC18" s="1258">
        <f t="shared" ref="AC18" si="10">D18/J18</f>
        <v>1</v>
      </c>
    </row>
    <row r="19" spans="1:29" ht="15">
      <c r="A19" s="367"/>
      <c r="B19" s="581"/>
      <c r="C19" s="1749" t="s">
        <v>3629</v>
      </c>
      <c r="D19" s="389"/>
      <c r="E19" s="1749" t="s">
        <v>3629</v>
      </c>
      <c r="F19" s="392"/>
      <c r="G19" s="1749" t="s">
        <v>3629</v>
      </c>
      <c r="H19" s="387"/>
      <c r="I19" s="386" t="s">
        <v>3629</v>
      </c>
      <c r="J19" s="387"/>
      <c r="K19" s="1059"/>
      <c r="L19" s="2485"/>
      <c r="M19" s="2480"/>
      <c r="N19" s="2480"/>
      <c r="O19" s="2535"/>
      <c r="P19" s="3595"/>
      <c r="Q19" s="1257"/>
      <c r="R19" s="662"/>
      <c r="S19" s="663"/>
      <c r="T19" s="662"/>
      <c r="U19" s="663"/>
      <c r="V19" s="662"/>
      <c r="W19" s="663"/>
      <c r="X19" s="1259"/>
      <c r="Y19" s="3595"/>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98</v>
      </c>
      <c r="G20" s="398"/>
      <c r="H20" s="389">
        <f>SUMIF(67:67,G21,68:68)-SUMIF(67:67,C21,68:68)+100</f>
        <v>100</v>
      </c>
      <c r="I20" s="391"/>
      <c r="J20" s="389">
        <f>SUMIF(67:67,I21,68:68)-SUMIF(67:67,C21,68:68)+100</f>
        <v>100</v>
      </c>
      <c r="K20" s="538">
        <v>2</v>
      </c>
      <c r="L20" s="2485"/>
      <c r="M20" s="2480"/>
      <c r="N20" s="2480"/>
      <c r="O20" s="2535"/>
      <c r="P20" s="3595"/>
      <c r="Q20" s="1257" t="str">
        <f>B20</f>
        <v>自然及人文环境</v>
      </c>
      <c r="R20" s="662" t="s">
        <v>14</v>
      </c>
      <c r="S20" s="663">
        <f>F20</f>
        <v>98</v>
      </c>
      <c r="T20" s="662" t="s">
        <v>14</v>
      </c>
      <c r="U20" s="663">
        <f>H20</f>
        <v>100</v>
      </c>
      <c r="V20" s="662" t="s">
        <v>14</v>
      </c>
      <c r="W20" s="663">
        <f>J20</f>
        <v>100</v>
      </c>
      <c r="X20" s="1259"/>
      <c r="Y20" s="3595"/>
      <c r="Z20" s="1258" t="str">
        <f>Q20</f>
        <v>自然及人文环境</v>
      </c>
      <c r="AA20" s="1258">
        <f t="shared" si="3"/>
        <v>1.0204081632653061</v>
      </c>
      <c r="AB20" s="1258">
        <f t="shared" si="4"/>
        <v>1</v>
      </c>
      <c r="AC20" s="1258">
        <f t="shared" si="5"/>
        <v>1</v>
      </c>
    </row>
    <row r="21" spans="1:29" ht="15.75" thickBot="1">
      <c r="A21" s="367"/>
      <c r="B21" s="395"/>
      <c r="C21" s="386" t="s">
        <v>3628</v>
      </c>
      <c r="D21" s="387"/>
      <c r="E21" s="386" t="s">
        <v>3627</v>
      </c>
      <c r="F21" s="388"/>
      <c r="G21" s="386" t="s">
        <v>3628</v>
      </c>
      <c r="H21" s="387"/>
      <c r="I21" s="386" t="s">
        <v>3628</v>
      </c>
      <c r="J21" s="387"/>
      <c r="K21" s="539"/>
      <c r="L21" s="2485"/>
      <c r="M21" s="2480"/>
      <c r="N21" s="2480"/>
      <c r="O21" s="2535"/>
      <c r="P21" s="3595"/>
      <c r="Q21" s="1257"/>
      <c r="R21" s="662"/>
      <c r="S21" s="663"/>
      <c r="T21" s="662"/>
      <c r="U21" s="663"/>
      <c r="V21" s="662"/>
      <c r="W21" s="663"/>
      <c r="X21" s="1259"/>
      <c r="Y21" s="3595"/>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595"/>
      <c r="Q22" s="1257" t="str">
        <f>B22</f>
        <v>楼层</v>
      </c>
      <c r="R22" s="662" t="s">
        <v>14</v>
      </c>
      <c r="S22" s="663">
        <f>F22</f>
        <v>100</v>
      </c>
      <c r="T22" s="662" t="s">
        <v>14</v>
      </c>
      <c r="U22" s="663">
        <f>H22</f>
        <v>100</v>
      </c>
      <c r="V22" s="662" t="s">
        <v>14</v>
      </c>
      <c r="W22" s="663">
        <f>J22</f>
        <v>100</v>
      </c>
      <c r="X22" s="1259"/>
      <c r="Y22" s="3595"/>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595"/>
      <c r="Q23" s="1257">
        <f>B23</f>
        <v>111</v>
      </c>
      <c r="R23" s="662" t="s">
        <v>14</v>
      </c>
      <c r="S23" s="663">
        <f>F23</f>
        <v>100</v>
      </c>
      <c r="T23" s="662" t="s">
        <v>14</v>
      </c>
      <c r="U23" s="663">
        <f>H23</f>
        <v>100</v>
      </c>
      <c r="V23" s="662" t="s">
        <v>14</v>
      </c>
      <c r="W23" s="663">
        <f>J23</f>
        <v>100</v>
      </c>
      <c r="X23" s="1259"/>
      <c r="Y23" s="3595"/>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595"/>
      <c r="Q24" s="1257">
        <f t="shared" ref="Q24:Q34" si="11">B24</f>
        <v>111</v>
      </c>
      <c r="R24" s="662" t="s">
        <v>14</v>
      </c>
      <c r="S24" s="663">
        <f>F24</f>
        <v>100</v>
      </c>
      <c r="T24" s="662" t="s">
        <v>14</v>
      </c>
      <c r="U24" s="663">
        <f>H24</f>
        <v>100</v>
      </c>
      <c r="V24" s="662" t="s">
        <v>14</v>
      </c>
      <c r="W24" s="663">
        <f>J24</f>
        <v>100</v>
      </c>
      <c r="X24" s="1259"/>
      <c r="Y24" s="3595"/>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595"/>
      <c r="Q25" s="528">
        <f t="shared" si="11"/>
        <v>111</v>
      </c>
      <c r="R25" s="659" t="s">
        <v>14</v>
      </c>
      <c r="S25" s="660">
        <f>F25</f>
        <v>100</v>
      </c>
      <c r="T25" s="659" t="s">
        <v>14</v>
      </c>
      <c r="U25" s="660">
        <f>H25</f>
        <v>100</v>
      </c>
      <c r="V25" s="659" t="s">
        <v>14</v>
      </c>
      <c r="W25" s="660">
        <f>J25</f>
        <v>100</v>
      </c>
      <c r="X25" s="661"/>
      <c r="Y25" s="3595"/>
      <c r="Z25" s="50">
        <f>Q25</f>
        <v>111</v>
      </c>
      <c r="AA25" s="1258">
        <f>D25/F25</f>
        <v>1</v>
      </c>
      <c r="AB25" s="1258">
        <f>D25/H25</f>
        <v>1</v>
      </c>
      <c r="AC25" s="1258">
        <f>D25/J25</f>
        <v>1</v>
      </c>
    </row>
    <row r="26" spans="1:29" ht="28.5">
      <c r="A26" s="404" t="s">
        <v>1693</v>
      </c>
      <c r="B26" s="60" t="s">
        <v>1837</v>
      </c>
      <c r="C26" s="1758" t="s">
        <v>3632</v>
      </c>
      <c r="D26" s="405">
        <v>100</v>
      </c>
      <c r="E26" s="1758" t="s">
        <v>3632</v>
      </c>
      <c r="F26" s="582">
        <f>SUMIF(77:77,E26,78:78)-SUMIF(77:77,C26,78:78)+100</f>
        <v>100</v>
      </c>
      <c r="G26" s="1758" t="s">
        <v>3632</v>
      </c>
      <c r="H26" s="405">
        <f>SUMIF(77:77,G26,78:78)-SUMIF(77:77,C26,78:78)+100</f>
        <v>100</v>
      </c>
      <c r="I26" s="1758" t="s">
        <v>3632</v>
      </c>
      <c r="J26" s="405">
        <f>SUMIF(77:77,I26,78:78)-SUMIF(77:77,C26,78:78)+100</f>
        <v>100</v>
      </c>
      <c r="K26" s="536">
        <v>1</v>
      </c>
      <c r="L26" s="2485"/>
      <c r="M26" s="2480"/>
      <c r="N26" s="2480"/>
      <c r="O26" s="2535"/>
      <c r="P26" s="3596"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597"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597"/>
      <c r="Q27" s="529" t="str">
        <f t="shared" si="11"/>
        <v>成新率</v>
      </c>
      <c r="R27" s="664" t="s">
        <v>14</v>
      </c>
      <c r="S27" s="665">
        <f t="shared" si="12"/>
        <v>100</v>
      </c>
      <c r="T27" s="664" t="s">
        <v>14</v>
      </c>
      <c r="U27" s="665">
        <f t="shared" si="13"/>
        <v>100</v>
      </c>
      <c r="V27" s="664" t="s">
        <v>14</v>
      </c>
      <c r="W27" s="665">
        <f t="shared" si="14"/>
        <v>100</v>
      </c>
      <c r="X27" s="666"/>
      <c r="Y27" s="3597"/>
      <c r="Z27" s="667" t="str">
        <f t="shared" si="15"/>
        <v>成新率</v>
      </c>
      <c r="AA27" s="1258">
        <f t="shared" si="3"/>
        <v>1</v>
      </c>
      <c r="AB27" s="1258">
        <f t="shared" si="4"/>
        <v>1</v>
      </c>
      <c r="AC27" s="1258">
        <f t="shared" si="5"/>
        <v>1</v>
      </c>
    </row>
    <row r="28" spans="1:29" ht="15">
      <c r="A28" s="409"/>
      <c r="B28" s="364" t="s">
        <v>1839</v>
      </c>
      <c r="C28" s="399" t="s">
        <v>3633</v>
      </c>
      <c r="D28" s="374">
        <v>100</v>
      </c>
      <c r="E28" s="399" t="s">
        <v>3633</v>
      </c>
      <c r="F28" s="400">
        <f>SUMIF(82:82,E28,83:83)-SUMIF(82:82,C28,83:83)+100</f>
        <v>100</v>
      </c>
      <c r="G28" s="399" t="s">
        <v>3633</v>
      </c>
      <c r="H28" s="374">
        <f>SUMIF(82:82,G28,83:83)-SUMIF(82:82,C28,83:83)+100</f>
        <v>100</v>
      </c>
      <c r="I28" s="399" t="s">
        <v>3633</v>
      </c>
      <c r="J28" s="374">
        <f>SUMIF(82:82,I28,83:83)-SUMIF(82:82,C28,83:83)+100</f>
        <v>100</v>
      </c>
      <c r="K28" s="536">
        <v>1</v>
      </c>
      <c r="L28" s="2485"/>
      <c r="M28" s="2480"/>
      <c r="N28" s="2480"/>
      <c r="O28" s="2535"/>
      <c r="P28" s="3597"/>
      <c r="Q28" s="1257" t="str">
        <f t="shared" si="11"/>
        <v>物业等级</v>
      </c>
      <c r="R28" s="662" t="s">
        <v>14</v>
      </c>
      <c r="S28" s="663">
        <f t="shared" si="12"/>
        <v>100</v>
      </c>
      <c r="T28" s="662" t="s">
        <v>14</v>
      </c>
      <c r="U28" s="663">
        <f t="shared" si="13"/>
        <v>100</v>
      </c>
      <c r="V28" s="662" t="s">
        <v>14</v>
      </c>
      <c r="W28" s="663">
        <f t="shared" si="14"/>
        <v>100</v>
      </c>
      <c r="X28" s="1259"/>
      <c r="Y28" s="3597"/>
      <c r="Z28" s="1258" t="str">
        <f t="shared" si="15"/>
        <v>物业等级</v>
      </c>
      <c r="AA28" s="1258">
        <f t="shared" si="3"/>
        <v>1</v>
      </c>
      <c r="AB28" s="1258">
        <f t="shared" si="4"/>
        <v>1</v>
      </c>
      <c r="AC28" s="1258">
        <f t="shared" si="5"/>
        <v>1</v>
      </c>
    </row>
    <row r="29" spans="1:29" ht="15">
      <c r="A29" s="409"/>
      <c r="B29" s="364" t="s">
        <v>1859</v>
      </c>
      <c r="C29" s="576" t="s">
        <v>3645</v>
      </c>
      <c r="D29" s="374">
        <v>100</v>
      </c>
      <c r="E29" s="576" t="s">
        <v>3645</v>
      </c>
      <c r="F29" s="400">
        <f>SUMIF(84:84,E29,85:85)-SUMIF(84:84,C29,85:85)+100</f>
        <v>100</v>
      </c>
      <c r="G29" s="576" t="s">
        <v>3645</v>
      </c>
      <c r="H29" s="374">
        <f>SUMIF(84:84,G29,85:85)-SUMIF(84:84,C29,85:85)+100</f>
        <v>100</v>
      </c>
      <c r="I29" s="576" t="s">
        <v>3645</v>
      </c>
      <c r="J29" s="374">
        <f>SUMIF(84:84,I29,85:85)-SUMIF(84:84,C29,85:85)+100</f>
        <v>100</v>
      </c>
      <c r="K29" s="536">
        <v>1</v>
      </c>
      <c r="L29" s="2485"/>
      <c r="M29" s="2480"/>
      <c r="N29" s="2480"/>
      <c r="O29" s="2535"/>
      <c r="P29" s="3597"/>
      <c r="Q29" s="1257" t="str">
        <f t="shared" si="11"/>
        <v>有无电梯</v>
      </c>
      <c r="R29" s="662" t="s">
        <v>14</v>
      </c>
      <c r="S29" s="663">
        <f t="shared" si="12"/>
        <v>100</v>
      </c>
      <c r="T29" s="662" t="s">
        <v>14</v>
      </c>
      <c r="U29" s="663">
        <f t="shared" si="13"/>
        <v>100</v>
      </c>
      <c r="V29" s="662" t="s">
        <v>14</v>
      </c>
      <c r="W29" s="663">
        <f t="shared" si="14"/>
        <v>100</v>
      </c>
      <c r="X29" s="1259"/>
      <c r="Y29" s="3597"/>
      <c r="Z29" s="1258" t="str">
        <f t="shared" si="15"/>
        <v>有无电梯</v>
      </c>
      <c r="AA29" s="1258">
        <f t="shared" si="3"/>
        <v>1</v>
      </c>
      <c r="AB29" s="1258">
        <f t="shared" si="4"/>
        <v>1</v>
      </c>
      <c r="AC29" s="1258">
        <f t="shared" si="5"/>
        <v>1</v>
      </c>
    </row>
    <row r="30" spans="1:29" ht="15">
      <c r="A30" s="409"/>
      <c r="B30" s="364" t="s">
        <v>1860</v>
      </c>
      <c r="C30" s="407">
        <v>20</v>
      </c>
      <c r="D30" s="374">
        <v>100</v>
      </c>
      <c r="E30" s="407">
        <v>13</v>
      </c>
      <c r="F30" s="400">
        <f>LOOKUP(E30,87:87,88:88)-LOOKUP(C30,87:87,88:88)+100</f>
        <v>99</v>
      </c>
      <c r="G30" s="407">
        <v>28</v>
      </c>
      <c r="H30" s="374">
        <f>LOOKUP(G30,87:87,88:88)-LOOKUP(C30,87:87,88:88)+100</f>
        <v>100</v>
      </c>
      <c r="I30" s="407">
        <v>41</v>
      </c>
      <c r="J30" s="374">
        <f>LOOKUP(I30,87:87,88:88)-LOOKUP(C30,87:87,88:88)+100</f>
        <v>101</v>
      </c>
      <c r="K30" s="537"/>
      <c r="L30" s="2485"/>
      <c r="M30" s="2480"/>
      <c r="N30" s="2480"/>
      <c r="O30" s="2535"/>
      <c r="P30" s="3597"/>
      <c r="Q30" s="1257" t="str">
        <f t="shared" si="11"/>
        <v>建筑面积</v>
      </c>
      <c r="R30" s="662" t="s">
        <v>14</v>
      </c>
      <c r="S30" s="663">
        <f t="shared" si="12"/>
        <v>99</v>
      </c>
      <c r="T30" s="662" t="s">
        <v>14</v>
      </c>
      <c r="U30" s="663">
        <f t="shared" si="13"/>
        <v>100</v>
      </c>
      <c r="V30" s="662" t="s">
        <v>14</v>
      </c>
      <c r="W30" s="663">
        <f t="shared" si="14"/>
        <v>101</v>
      </c>
      <c r="X30" s="1259"/>
      <c r="Y30" s="3597"/>
      <c r="Z30" s="1258" t="str">
        <f t="shared" si="15"/>
        <v>建筑面积</v>
      </c>
      <c r="AA30" s="1258">
        <f t="shared" si="3"/>
        <v>1.0101010101010102</v>
      </c>
      <c r="AB30" s="1258">
        <f t="shared" si="4"/>
        <v>1</v>
      </c>
      <c r="AC30" s="1258">
        <f t="shared" si="5"/>
        <v>0.99009900990099009</v>
      </c>
    </row>
    <row r="31" spans="1:29" s="102" customFormat="1" ht="15.75" thickBot="1">
      <c r="A31" s="410"/>
      <c r="B31" s="364" t="s">
        <v>1861</v>
      </c>
      <c r="C31" s="576"/>
      <c r="D31" s="119">
        <v>100</v>
      </c>
      <c r="E31" s="576"/>
      <c r="F31" s="400">
        <f>SUMIF(89:89,E31,90:90)-SUMIF(89:89,C31,90:90)+100</f>
        <v>100</v>
      </c>
      <c r="G31" s="576"/>
      <c r="H31" s="374">
        <f>SUMIF(89:89,G31,90:90)-SUMIF(89:89,C31,90:90)+100</f>
        <v>100</v>
      </c>
      <c r="I31" s="576"/>
      <c r="J31" s="374">
        <f>SUMIF(89:89,I31,90:90)-SUMIF(89:89,C31,90:90)+100</f>
        <v>100</v>
      </c>
      <c r="K31" s="536"/>
      <c r="L31" s="2481"/>
      <c r="M31" s="2432"/>
      <c r="N31" s="2432"/>
      <c r="O31" s="2533"/>
      <c r="P31" s="3597"/>
      <c r="Q31" s="528" t="str">
        <f t="shared" si="11"/>
        <v>是否封闭</v>
      </c>
      <c r="R31" s="659" t="s">
        <v>14</v>
      </c>
      <c r="S31" s="660">
        <f t="shared" si="12"/>
        <v>100</v>
      </c>
      <c r="T31" s="659" t="s">
        <v>14</v>
      </c>
      <c r="U31" s="660">
        <f t="shared" si="13"/>
        <v>100</v>
      </c>
      <c r="V31" s="659" t="s">
        <v>14</v>
      </c>
      <c r="W31" s="660">
        <f t="shared" si="14"/>
        <v>100</v>
      </c>
      <c r="X31" s="661"/>
      <c r="Y31" s="3597"/>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5"/>
      <c r="M32" s="2480"/>
      <c r="N32" s="2480"/>
      <c r="O32" s="2535"/>
      <c r="P32" s="3597" t="s">
        <v>1695</v>
      </c>
      <c r="Q32" s="1257">
        <f t="shared" si="11"/>
        <v>111</v>
      </c>
      <c r="R32" s="662" t="s">
        <v>14</v>
      </c>
      <c r="S32" s="663">
        <f t="shared" si="12"/>
        <v>100</v>
      </c>
      <c r="T32" s="662" t="s">
        <v>14</v>
      </c>
      <c r="U32" s="663">
        <f t="shared" si="13"/>
        <v>100</v>
      </c>
      <c r="V32" s="662" t="s">
        <v>14</v>
      </c>
      <c r="W32" s="663">
        <f t="shared" si="14"/>
        <v>100</v>
      </c>
      <c r="X32" s="1259"/>
      <c r="Y32" s="3597" t="s">
        <v>1695</v>
      </c>
      <c r="Z32" s="1258">
        <f t="shared" si="15"/>
        <v>111</v>
      </c>
      <c r="AA32" s="1258">
        <f t="shared" si="3"/>
        <v>1</v>
      </c>
      <c r="AB32" s="1258">
        <f t="shared" si="4"/>
        <v>1</v>
      </c>
      <c r="AC32" s="1258">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597"/>
      <c r="Q33" s="1257">
        <f t="shared" si="11"/>
        <v>111</v>
      </c>
      <c r="R33" s="662" t="s">
        <v>14</v>
      </c>
      <c r="S33" s="663">
        <f t="shared" si="12"/>
        <v>100</v>
      </c>
      <c r="T33" s="662" t="s">
        <v>14</v>
      </c>
      <c r="U33" s="663">
        <f t="shared" si="13"/>
        <v>100</v>
      </c>
      <c r="V33" s="662" t="s">
        <v>14</v>
      </c>
      <c r="W33" s="663">
        <f t="shared" si="14"/>
        <v>100</v>
      </c>
      <c r="X33" s="1259"/>
      <c r="Y33" s="3597"/>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597"/>
      <c r="Q34" s="1257">
        <f t="shared" si="11"/>
        <v>111</v>
      </c>
      <c r="R34" s="662" t="s">
        <v>14</v>
      </c>
      <c r="S34" s="663">
        <f t="shared" si="12"/>
        <v>100</v>
      </c>
      <c r="T34" s="662" t="s">
        <v>14</v>
      </c>
      <c r="U34" s="663">
        <f t="shared" si="13"/>
        <v>100</v>
      </c>
      <c r="V34" s="662" t="s">
        <v>14</v>
      </c>
      <c r="W34" s="663">
        <f t="shared" si="14"/>
        <v>100</v>
      </c>
      <c r="X34" s="1259"/>
      <c r="Y34" s="3597"/>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5001</v>
      </c>
      <c r="H35" s="420"/>
      <c r="I35" s="417">
        <f>中指仓储!F8</f>
        <v>6941</v>
      </c>
      <c r="J35" s="420"/>
      <c r="K35" s="669"/>
      <c r="L35" s="2487"/>
      <c r="M35" s="2480"/>
      <c r="N35" s="2480"/>
      <c r="O35" s="2480"/>
      <c r="P35" s="3593" t="str">
        <f>A35</f>
        <v>成交单价（元/平方米）</v>
      </c>
      <c r="Q35" s="3593"/>
      <c r="R35" s="3598">
        <f>E35</f>
        <v>4242</v>
      </c>
      <c r="S35" s="3598"/>
      <c r="T35" s="3598">
        <f>G35</f>
        <v>5001</v>
      </c>
      <c r="U35" s="3598"/>
      <c r="V35" s="3598">
        <f>I35</f>
        <v>6941</v>
      </c>
      <c r="W35" s="3598"/>
      <c r="X35" s="385"/>
      <c r="Y35" s="668"/>
      <c r="Z35" s="385"/>
      <c r="AA35" s="385"/>
      <c r="AB35" s="385"/>
      <c r="AC35" s="385"/>
    </row>
    <row r="36" spans="1:30" ht="15.75" thickBot="1">
      <c r="A36" s="421" t="s">
        <v>1792</v>
      </c>
      <c r="B36" s="422"/>
      <c r="C36" s="1077">
        <f>R37</f>
        <v>5624</v>
      </c>
      <c r="D36" s="2133" t="s">
        <v>4449</v>
      </c>
      <c r="E36" s="1078">
        <f>R36</f>
        <v>4372</v>
      </c>
      <c r="F36" s="2134">
        <v>0.2</v>
      </c>
      <c r="G36" s="1077">
        <f>T36</f>
        <v>5001</v>
      </c>
      <c r="H36" s="2134">
        <v>0.4</v>
      </c>
      <c r="I36" s="1078">
        <f>V36</f>
        <v>6872</v>
      </c>
      <c r="J36" s="2134">
        <v>0.4</v>
      </c>
      <c r="K36" s="2136">
        <f>F36+H36+J36</f>
        <v>1</v>
      </c>
      <c r="L36" s="2487"/>
      <c r="M36" s="2480"/>
      <c r="N36" s="2480"/>
      <c r="O36" s="2480"/>
      <c r="P36" s="3593" t="str">
        <f>A36</f>
        <v>比较价值（元/平方米）</v>
      </c>
      <c r="Q36" s="3593"/>
      <c r="R36" s="3598">
        <f>IF(F1="售价",ROUND(PRODUCT(R35,AA7:AA34),0),ROUND(PRODUCT(R35,AA7:AA34),1))</f>
        <v>4372</v>
      </c>
      <c r="S36" s="3598"/>
      <c r="T36" s="3598">
        <f>IF(F1="售价",ROUND(PRODUCT(T35,AB7:AB34),0),ROUND(PRODUCT(T35,AB7:AB34),1))</f>
        <v>5001</v>
      </c>
      <c r="U36" s="3598"/>
      <c r="V36" s="3598">
        <f>IF(F1="售价",ROUND(PRODUCT(V35,AC7:AC34),0),ROUND(PRODUCT(V35,AC7:AC34),1))</f>
        <v>6872</v>
      </c>
      <c r="W36" s="3598"/>
      <c r="X36" s="385"/>
      <c r="Y36" s="385"/>
      <c r="Z36" s="385"/>
      <c r="AA36" s="385"/>
      <c r="AB36" s="385"/>
      <c r="AC36" s="385"/>
    </row>
    <row r="37" spans="1:30" ht="15.75" thickBot="1">
      <c r="A37" s="425" t="s">
        <v>1793</v>
      </c>
      <c r="B37" s="426"/>
      <c r="C37" s="351">
        <f>R37</f>
        <v>5624</v>
      </c>
      <c r="D37" s="351"/>
      <c r="E37" s="351"/>
      <c r="F37" s="351"/>
      <c r="G37" s="351"/>
      <c r="H37" s="351"/>
      <c r="I37" s="351"/>
      <c r="J37" s="351"/>
      <c r="K37" s="670"/>
      <c r="L37" s="2487"/>
      <c r="M37" s="2480"/>
      <c r="N37" s="2480"/>
      <c r="O37" s="2480"/>
      <c r="P37" s="3587" t="str">
        <f>A37</f>
        <v>估价对象XX用房的比较价值（楼面单价，元/平方米）</v>
      </c>
      <c r="Q37" s="3588"/>
      <c r="R37" s="3706">
        <f>IF(F1="售价",ROUND(IF(D36="简单平均",AVERAGE(R36:W36),R36*F36+T36*H36+V36*J36),0),ROUND(IF(D36="简单平均",AVERAGE(R36:V36),R36*F36+T36*H36+V36*J36),1))</f>
        <v>5624</v>
      </c>
      <c r="S37" s="3706"/>
      <c r="T37" s="3706"/>
      <c r="U37" s="3706"/>
      <c r="V37" s="3706"/>
      <c r="W37" s="3706"/>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3.0645921735030557E-2</v>
      </c>
      <c r="F40" s="433" t="str">
        <f>IF(OR(E40&gt;=0.3,E40&lt;=-0.3),"超过30%","")</f>
        <v/>
      </c>
      <c r="G40" s="432">
        <f>IF(G35&lt;G36,G36/G35-1,G35/G36-1)</f>
        <v>0</v>
      </c>
      <c r="H40" s="433" t="str">
        <f>IF(OR(G40&gt;=0.3,G40&lt;=-0.3),"超过30%","")</f>
        <v/>
      </c>
      <c r="I40" s="432">
        <f>IF(I35&lt;I36,I36/I35-1,I35/I36-1)</f>
        <v>1.0040745052386502E-2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0.14387008234217746</v>
      </c>
      <c r="F41" s="433" t="str">
        <f>IF(OR(E41&gt;=0.2,E41&lt;=-0.2),"超过20%","")</f>
        <v/>
      </c>
      <c r="G41" s="432">
        <f>IF(G36&lt;I36,I36/G36-1,G36/I36-1)</f>
        <v>0.37412517496500697</v>
      </c>
      <c r="H41" s="433" t="str">
        <f>IF(OR(G41&gt;=0.2,G41&lt;=-0.2),"超过20%","")</f>
        <v>超过20%</v>
      </c>
      <c r="I41" s="432">
        <f>IF(I36&lt;E36,E36/I36-1,I36/E36-1)</f>
        <v>0.57182067703568151</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0.17892503536067883</v>
      </c>
      <c r="F42" s="433" t="str">
        <f>IF(OR(E42&gt;=0.3,E42&lt;=-0.3),"超过30%","")</f>
        <v/>
      </c>
      <c r="G42" s="432">
        <f>IF(G35&lt;I35,I35/G35-1,G35/I35-1)</f>
        <v>0.38792241551689655</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0(含)-20</v>
      </c>
      <c r="D86" s="507" t="str">
        <f t="shared" si="21"/>
        <v>20(含)-40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20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101</v>
      </c>
      <c r="E88" s="465">
        <v>102</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zoomScale="85" zoomScaleNormal="60" zoomScaleSheetLayoutView="85" workbookViewId="0">
      <selection activeCell="M37" sqref="M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4866</v>
      </c>
      <c r="E1" s="3122" t="s">
        <v>3636</v>
      </c>
      <c r="F1" s="1729" t="s">
        <v>3637</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5751</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5616</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5751</v>
      </c>
      <c r="N3" s="2497"/>
      <c r="O3" s="2497"/>
      <c r="P3" s="1081"/>
      <c r="Q3" s="341"/>
      <c r="R3" s="341"/>
      <c r="S3" s="341"/>
      <c r="T3" s="341"/>
      <c r="U3" s="341"/>
      <c r="V3" s="341"/>
      <c r="W3" s="341"/>
      <c r="X3" s="341"/>
      <c r="Y3" s="341"/>
      <c r="Z3" s="341"/>
      <c r="AA3" s="341"/>
      <c r="AB3" s="671"/>
      <c r="AC3" s="658"/>
    </row>
    <row r="4" spans="1:29" ht="15">
      <c r="A4" s="345" t="s">
        <v>1768</v>
      </c>
      <c r="B4" s="346"/>
      <c r="C4" s="3590" t="s">
        <v>1769</v>
      </c>
      <c r="D4" s="3602"/>
      <c r="E4" s="3603" t="s">
        <v>1770</v>
      </c>
      <c r="F4" s="3604"/>
      <c r="G4" s="3590" t="s">
        <v>1771</v>
      </c>
      <c r="H4" s="3602"/>
      <c r="I4" s="3590" t="s">
        <v>1772</v>
      </c>
      <c r="J4" s="3602"/>
      <c r="K4" s="535" t="s">
        <v>1773</v>
      </c>
      <c r="L4" s="2479"/>
      <c r="M4" s="2480"/>
      <c r="N4" s="2480"/>
      <c r="O4" s="2480"/>
      <c r="P4" s="3605" t="s">
        <v>1774</v>
      </c>
      <c r="Q4" s="3606"/>
      <c r="R4" s="3611" t="s">
        <v>1770</v>
      </c>
      <c r="S4" s="3612"/>
      <c r="T4" s="3611" t="s">
        <v>1771</v>
      </c>
      <c r="U4" s="3612"/>
      <c r="V4" s="3598" t="s">
        <v>1772</v>
      </c>
      <c r="W4" s="3598"/>
      <c r="X4" s="1259"/>
      <c r="Y4" s="3611" t="s">
        <v>1774</v>
      </c>
      <c r="Z4" s="3612"/>
      <c r="AA4" s="3599" t="s">
        <v>1770</v>
      </c>
      <c r="AB4" s="3600" t="s">
        <v>1771</v>
      </c>
      <c r="AC4" s="3599" t="s">
        <v>1772</v>
      </c>
    </row>
    <row r="5" spans="1:29" ht="15">
      <c r="A5" s="348"/>
      <c r="B5" s="349"/>
      <c r="C5" s="3619" t="s">
        <v>1672</v>
      </c>
      <c r="D5" s="3620"/>
      <c r="E5" s="3705" t="s">
        <v>5282</v>
      </c>
      <c r="F5" s="3627"/>
      <c r="G5" s="3707" t="s">
        <v>5280</v>
      </c>
      <c r="H5" s="3620"/>
      <c r="I5" s="3707" t="s">
        <v>5281</v>
      </c>
      <c r="J5" s="3620"/>
      <c r="K5" s="535"/>
      <c r="L5" s="2479"/>
      <c r="M5" s="2480"/>
      <c r="N5" s="2480"/>
      <c r="O5" s="2480"/>
      <c r="P5" s="3607"/>
      <c r="Q5" s="3608"/>
      <c r="R5" s="3613"/>
      <c r="S5" s="3614"/>
      <c r="T5" s="3613"/>
      <c r="U5" s="3614"/>
      <c r="V5" s="3598"/>
      <c r="W5" s="3598"/>
      <c r="X5" s="1259"/>
      <c r="Y5" s="3613"/>
      <c r="Z5" s="3614"/>
      <c r="AA5" s="3600"/>
      <c r="AB5" s="3600"/>
      <c r="AC5" s="3600"/>
    </row>
    <row r="6" spans="1:29" ht="15.75" thickBot="1">
      <c r="A6" s="350"/>
      <c r="B6" s="351"/>
      <c r="C6" s="3617" t="s">
        <v>1676</v>
      </c>
      <c r="D6" s="3618"/>
      <c r="E6" s="3624" t="s">
        <v>1676</v>
      </c>
      <c r="F6" s="3625"/>
      <c r="G6" s="3617" t="s">
        <v>1676</v>
      </c>
      <c r="H6" s="3618"/>
      <c r="I6" s="3617" t="s">
        <v>1676</v>
      </c>
      <c r="J6" s="3618"/>
      <c r="K6" s="535" t="s">
        <v>1677</v>
      </c>
      <c r="L6" s="2479"/>
      <c r="M6" s="2480"/>
      <c r="N6" s="2480"/>
      <c r="O6" s="2480"/>
      <c r="P6" s="3609"/>
      <c r="Q6" s="3610"/>
      <c r="R6" s="3613"/>
      <c r="S6" s="3614"/>
      <c r="T6" s="3615"/>
      <c r="U6" s="3616"/>
      <c r="V6" s="3598"/>
      <c r="W6" s="3598"/>
      <c r="X6" s="1259"/>
      <c r="Y6" s="3615"/>
      <c r="Z6" s="3616"/>
      <c r="AA6" s="3601"/>
      <c r="AB6" s="3601"/>
      <c r="AC6" s="3601"/>
    </row>
    <row r="7" spans="1:29" s="102" customFormat="1" ht="15.75" thickBot="1">
      <c r="A7" s="352" t="s">
        <v>1678</v>
      </c>
      <c r="B7" s="353"/>
      <c r="C7" s="354">
        <f>'数据-取费表'!B2</f>
        <v>45820</v>
      </c>
      <c r="D7" s="355">
        <v>100</v>
      </c>
      <c r="E7" s="356">
        <v>45642</v>
      </c>
      <c r="F7" s="357">
        <f>SUMIF(48:48,YEAR(E7)&amp;"-"&amp;MONTH(E7),49:49)</f>
        <v>100</v>
      </c>
      <c r="G7" s="356">
        <v>45816</v>
      </c>
      <c r="H7" s="355">
        <f>SUMIF(48:48,YEAR(G7)&amp;"-"&amp;MONTH(G7),49:49)</f>
        <v>100</v>
      </c>
      <c r="I7" s="356">
        <v>45806</v>
      </c>
      <c r="J7" s="355">
        <f>SUMIF(48:48,YEAR(I7)&amp;"-"&amp;MONTH(I7),49:49)</f>
        <v>100</v>
      </c>
      <c r="K7" s="38"/>
      <c r="L7" s="2481"/>
      <c r="M7" s="2432"/>
      <c r="N7" s="2432"/>
      <c r="O7" s="2432"/>
      <c r="P7" s="3621" t="s">
        <v>1679</v>
      </c>
      <c r="Q7" s="3623"/>
      <c r="R7" s="659" t="s">
        <v>14</v>
      </c>
      <c r="S7" s="660">
        <f t="shared" ref="S7:S14" si="0">F7</f>
        <v>100</v>
      </c>
      <c r="T7" s="659" t="s">
        <v>14</v>
      </c>
      <c r="U7" s="660">
        <f t="shared" ref="U7:U14" si="1">H7</f>
        <v>100</v>
      </c>
      <c r="V7" s="659" t="s">
        <v>14</v>
      </c>
      <c r="W7" s="660">
        <f t="shared" ref="W7:W14" si="2">J7</f>
        <v>100</v>
      </c>
      <c r="X7" s="661"/>
      <c r="Y7" s="3621" t="s">
        <v>1679</v>
      </c>
      <c r="Z7" s="3622"/>
      <c r="AA7" s="50">
        <f>D7/F7</f>
        <v>1</v>
      </c>
      <c r="AB7" s="50">
        <f>D7/H7</f>
        <v>1</v>
      </c>
      <c r="AC7" s="50">
        <f>D7/J7</f>
        <v>1</v>
      </c>
    </row>
    <row r="8" spans="1:29" s="102" customFormat="1" ht="15.75" thickBot="1">
      <c r="A8" s="352" t="s">
        <v>1680</v>
      </c>
      <c r="B8" s="353"/>
      <c r="C8" s="358" t="s">
        <v>3625</v>
      </c>
      <c r="D8" s="355">
        <v>100</v>
      </c>
      <c r="E8" s="358" t="s">
        <v>3625</v>
      </c>
      <c r="F8" s="357">
        <f>SUMIF(51:51,E8,52:52)-SUMIF(51:51,C8,52:52)+100</f>
        <v>100</v>
      </c>
      <c r="G8" s="358" t="s">
        <v>3625</v>
      </c>
      <c r="H8" s="355">
        <f>SUMIF(51:51,G8,52:52)-SUMIF(51:51,C8,52:52)+100</f>
        <v>100</v>
      </c>
      <c r="I8" s="358" t="s">
        <v>3625</v>
      </c>
      <c r="J8" s="355">
        <f>SUMIF(51:51,I8,52:52)-SUMIF(51:51,C8,52:52)+100</f>
        <v>100</v>
      </c>
      <c r="K8" s="38"/>
      <c r="L8" s="2481"/>
      <c r="M8" s="2432"/>
      <c r="N8" s="2432"/>
      <c r="O8" s="2432"/>
      <c r="P8" s="3621" t="s">
        <v>1682</v>
      </c>
      <c r="Q8" s="3622"/>
      <c r="R8" s="659" t="s">
        <v>14</v>
      </c>
      <c r="S8" s="660">
        <f t="shared" si="0"/>
        <v>100</v>
      </c>
      <c r="T8" s="659" t="s">
        <v>14</v>
      </c>
      <c r="U8" s="660">
        <f t="shared" si="1"/>
        <v>100</v>
      </c>
      <c r="V8" s="659" t="s">
        <v>14</v>
      </c>
      <c r="W8" s="660">
        <f t="shared" si="2"/>
        <v>100</v>
      </c>
      <c r="X8" s="661"/>
      <c r="Y8" s="3621" t="s">
        <v>1682</v>
      </c>
      <c r="Z8" s="3622"/>
      <c r="AA8" s="50">
        <f t="shared" ref="AA8:AA36" si="3">D8/F8</f>
        <v>1</v>
      </c>
      <c r="AB8" s="50">
        <f t="shared" ref="AB8:AB36" si="4">D8/H8</f>
        <v>1</v>
      </c>
      <c r="AC8" s="50">
        <f t="shared" ref="AC8:AC36" si="5">D8/J8</f>
        <v>1</v>
      </c>
    </row>
    <row r="9" spans="1:29" s="102" customFormat="1">
      <c r="A9" s="57" t="s">
        <v>1683</v>
      </c>
      <c r="B9" s="562" t="s">
        <v>1684</v>
      </c>
      <c r="C9" s="3215" t="s">
        <v>5283</v>
      </c>
      <c r="D9" s="59">
        <v>100</v>
      </c>
      <c r="E9" s="362" t="s">
        <v>5276</v>
      </c>
      <c r="F9" s="59">
        <f>SUMIF(53:53,E9,54:54)-SUMIF(53:53,C9,54:54)+100</f>
        <v>100</v>
      </c>
      <c r="G9" s="362" t="s">
        <v>5276</v>
      </c>
      <c r="H9" s="59">
        <f>SUMIF(53:53,G9,54:54)-SUMIF(53:53,C9,54:54)+100</f>
        <v>100</v>
      </c>
      <c r="I9" s="362" t="s">
        <v>5276</v>
      </c>
      <c r="J9" s="59">
        <f>SUMIF(53:53,I9,54:54)-SUMIF(53:53,C9,54:54)+100</f>
        <v>100</v>
      </c>
      <c r="K9" s="38"/>
      <c r="L9" s="2481"/>
      <c r="M9" s="2432"/>
      <c r="N9" s="2432"/>
      <c r="O9" s="2432"/>
      <c r="P9" s="3593" t="s">
        <v>1685</v>
      </c>
      <c r="Q9" s="528" t="str">
        <f t="shared" ref="Q9:Q14" si="6">B9</f>
        <v>用途</v>
      </c>
      <c r="R9" s="659" t="s">
        <v>14</v>
      </c>
      <c r="S9" s="660">
        <f t="shared" si="0"/>
        <v>100</v>
      </c>
      <c r="T9" s="659" t="s">
        <v>14</v>
      </c>
      <c r="U9" s="660">
        <f t="shared" si="1"/>
        <v>100</v>
      </c>
      <c r="V9" s="659" t="s">
        <v>14</v>
      </c>
      <c r="W9" s="660">
        <f t="shared" si="2"/>
        <v>100</v>
      </c>
      <c r="X9" s="661"/>
      <c r="Y9" s="3490" t="s">
        <v>1686</v>
      </c>
      <c r="Z9" s="50" t="str">
        <f t="shared" ref="Z9:Z14" si="7">Q9</f>
        <v>用途</v>
      </c>
      <c r="AA9" s="50">
        <f t="shared" si="3"/>
        <v>1</v>
      </c>
      <c r="AB9" s="50">
        <f t="shared" si="4"/>
        <v>1</v>
      </c>
      <c r="AC9" s="50">
        <f t="shared" si="5"/>
        <v>1</v>
      </c>
    </row>
    <row r="10" spans="1:29" s="366" customFormat="1" ht="27">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593"/>
      <c r="Q10" s="528" t="str">
        <f t="shared" si="6"/>
        <v>土地使用年限（年）</v>
      </c>
      <c r="R10" s="659" t="s">
        <v>14</v>
      </c>
      <c r="S10" s="660">
        <f t="shared" si="0"/>
        <v>100</v>
      </c>
      <c r="T10" s="659" t="s">
        <v>14</v>
      </c>
      <c r="U10" s="660">
        <f t="shared" si="1"/>
        <v>100</v>
      </c>
      <c r="V10" s="659" t="s">
        <v>14</v>
      </c>
      <c r="W10" s="660">
        <f t="shared" si="2"/>
        <v>100</v>
      </c>
      <c r="X10" s="661"/>
      <c r="Y10" s="3490"/>
      <c r="Z10" s="50" t="str">
        <f t="shared" si="7"/>
        <v>土地使用年限（年）</v>
      </c>
      <c r="AA10" s="50">
        <f t="shared" si="3"/>
        <v>1</v>
      </c>
      <c r="AB10" s="50">
        <f t="shared" si="4"/>
        <v>1</v>
      </c>
      <c r="AC10" s="50">
        <f t="shared" si="5"/>
        <v>1</v>
      </c>
    </row>
    <row r="11" spans="1:29" ht="15">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593"/>
      <c r="Q11" s="528">
        <f t="shared" si="6"/>
        <v>111</v>
      </c>
      <c r="R11" s="659" t="s">
        <v>14</v>
      </c>
      <c r="S11" s="660">
        <f t="shared" si="0"/>
        <v>100</v>
      </c>
      <c r="T11" s="659" t="s">
        <v>14</v>
      </c>
      <c r="U11" s="660">
        <f t="shared" si="1"/>
        <v>100</v>
      </c>
      <c r="V11" s="659" t="s">
        <v>14</v>
      </c>
      <c r="W11" s="660">
        <f t="shared" si="2"/>
        <v>100</v>
      </c>
      <c r="X11" s="661"/>
      <c r="Y11" s="3490"/>
      <c r="Z11" s="50">
        <f t="shared" si="7"/>
        <v>111</v>
      </c>
      <c r="AA11" s="50">
        <f t="shared" si="3"/>
        <v>1</v>
      </c>
      <c r="AB11" s="50">
        <f t="shared" si="4"/>
        <v>1</v>
      </c>
      <c r="AC11" s="50">
        <f t="shared" si="5"/>
        <v>1</v>
      </c>
    </row>
    <row r="12" spans="1:29" s="102" customFormat="1" ht="15">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593"/>
      <c r="Q12" s="528">
        <f t="shared" si="6"/>
        <v>111</v>
      </c>
      <c r="R12" s="659" t="s">
        <v>14</v>
      </c>
      <c r="S12" s="660">
        <f t="shared" si="0"/>
        <v>100</v>
      </c>
      <c r="T12" s="659" t="s">
        <v>14</v>
      </c>
      <c r="U12" s="660">
        <f t="shared" si="1"/>
        <v>100</v>
      </c>
      <c r="V12" s="659" t="s">
        <v>14</v>
      </c>
      <c r="W12" s="660">
        <f t="shared" si="2"/>
        <v>100</v>
      </c>
      <c r="X12" s="661"/>
      <c r="Y12" s="3490"/>
      <c r="Z12" s="50">
        <f t="shared" si="7"/>
        <v>111</v>
      </c>
      <c r="AA12" s="50">
        <f>D12/F12</f>
        <v>1</v>
      </c>
      <c r="AB12" s="50">
        <f>D12/H12</f>
        <v>1</v>
      </c>
      <c r="AC12" s="50">
        <f>D12/J12</f>
        <v>1</v>
      </c>
    </row>
    <row r="13" spans="1:29" ht="15.75"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593"/>
      <c r="Q13" s="528">
        <f t="shared" si="6"/>
        <v>111</v>
      </c>
      <c r="R13" s="659" t="s">
        <v>14</v>
      </c>
      <c r="S13" s="660">
        <f t="shared" si="0"/>
        <v>100</v>
      </c>
      <c r="T13" s="659" t="s">
        <v>14</v>
      </c>
      <c r="U13" s="660">
        <f t="shared" si="1"/>
        <v>100</v>
      </c>
      <c r="V13" s="659" t="s">
        <v>14</v>
      </c>
      <c r="W13" s="660">
        <f t="shared" si="2"/>
        <v>100</v>
      </c>
      <c r="X13" s="661"/>
      <c r="Y13" s="3490"/>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594" t="s">
        <v>1690</v>
      </c>
      <c r="Q14" s="1257" t="str">
        <f t="shared" si="6"/>
        <v>交通便捷度</v>
      </c>
      <c r="R14" s="662" t="s">
        <v>14</v>
      </c>
      <c r="S14" s="663">
        <f t="shared" si="0"/>
        <v>100</v>
      </c>
      <c r="T14" s="662" t="s">
        <v>14</v>
      </c>
      <c r="U14" s="663">
        <f t="shared" si="1"/>
        <v>100</v>
      </c>
      <c r="V14" s="662" t="s">
        <v>14</v>
      </c>
      <c r="W14" s="663">
        <f t="shared" si="2"/>
        <v>100</v>
      </c>
      <c r="X14" s="1259"/>
      <c r="Y14" s="3594" t="s">
        <v>1690</v>
      </c>
      <c r="Z14" s="1258" t="str">
        <f t="shared" si="7"/>
        <v>交通便捷度</v>
      </c>
      <c r="AA14" s="1258">
        <f t="shared" si="3"/>
        <v>1</v>
      </c>
      <c r="AB14" s="1258">
        <f t="shared" si="4"/>
        <v>1</v>
      </c>
      <c r="AC14" s="1258">
        <f t="shared" si="5"/>
        <v>1</v>
      </c>
    </row>
    <row r="15" spans="1:29" ht="15">
      <c r="A15" s="348"/>
      <c r="B15" s="569"/>
      <c r="C15" s="386" t="s">
        <v>3627</v>
      </c>
      <c r="D15" s="387"/>
      <c r="E15" s="386" t="str">
        <f>C15</f>
        <v>一般</v>
      </c>
      <c r="F15" s="388"/>
      <c r="G15" s="386" t="str">
        <f>C15</f>
        <v>一般</v>
      </c>
      <c r="H15" s="389"/>
      <c r="I15" s="386" t="str">
        <f>C15</f>
        <v>一般</v>
      </c>
      <c r="J15" s="387"/>
      <c r="K15" s="539"/>
      <c r="L15" s="2485"/>
      <c r="M15" s="2480"/>
      <c r="N15" s="2480"/>
      <c r="O15" s="2480"/>
      <c r="P15" s="3595"/>
      <c r="Q15" s="1257"/>
      <c r="R15" s="662"/>
      <c r="S15" s="663"/>
      <c r="T15" s="662"/>
      <c r="U15" s="663"/>
      <c r="V15" s="662"/>
      <c r="W15" s="663"/>
      <c r="X15" s="1259"/>
      <c r="Y15" s="3595"/>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595"/>
      <c r="Q16" s="1257" t="str">
        <f>B16</f>
        <v>公共配套设施</v>
      </c>
      <c r="R16" s="662" t="s">
        <v>14</v>
      </c>
      <c r="S16" s="663">
        <f>F16</f>
        <v>100</v>
      </c>
      <c r="T16" s="662" t="s">
        <v>14</v>
      </c>
      <c r="U16" s="663">
        <f>H16</f>
        <v>100</v>
      </c>
      <c r="V16" s="662" t="s">
        <v>14</v>
      </c>
      <c r="W16" s="663">
        <f>J16</f>
        <v>100</v>
      </c>
      <c r="X16" s="1259"/>
      <c r="Y16" s="3595"/>
      <c r="Z16" s="1258" t="str">
        <f>Q16</f>
        <v>公共配套设施</v>
      </c>
      <c r="AA16" s="1258">
        <f t="shared" si="3"/>
        <v>1</v>
      </c>
      <c r="AB16" s="1258">
        <f t="shared" si="4"/>
        <v>1</v>
      </c>
      <c r="AC16" s="1258">
        <f t="shared" si="5"/>
        <v>1</v>
      </c>
    </row>
    <row r="17" spans="1:29" ht="15">
      <c r="A17" s="348"/>
      <c r="B17" s="401"/>
      <c r="C17" s="1749" t="s">
        <v>3627</v>
      </c>
      <c r="D17" s="387"/>
      <c r="E17" s="386" t="str">
        <f>C17</f>
        <v>一般</v>
      </c>
      <c r="F17" s="388"/>
      <c r="G17" s="386" t="str">
        <f>C17</f>
        <v>一般</v>
      </c>
      <c r="H17" s="387"/>
      <c r="I17" s="386" t="str">
        <f>C17</f>
        <v>一般</v>
      </c>
      <c r="J17" s="387"/>
      <c r="K17" s="539"/>
      <c r="L17" s="2485"/>
      <c r="M17" s="2480"/>
      <c r="N17" s="2480"/>
      <c r="O17" s="2480"/>
      <c r="P17" s="3595"/>
      <c r="Q17" s="1257"/>
      <c r="R17" s="662"/>
      <c r="S17" s="663"/>
      <c r="T17" s="662"/>
      <c r="U17" s="663"/>
      <c r="V17" s="662"/>
      <c r="W17" s="663"/>
      <c r="X17" s="1259"/>
      <c r="Y17" s="3595"/>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595"/>
      <c r="Q18" s="1257" t="str">
        <f>B18</f>
        <v>基础设施水平</v>
      </c>
      <c r="R18" s="662" t="s">
        <v>14</v>
      </c>
      <c r="S18" s="663">
        <f>F18</f>
        <v>100</v>
      </c>
      <c r="T18" s="662" t="s">
        <v>14</v>
      </c>
      <c r="U18" s="663">
        <f>H18</f>
        <v>100</v>
      </c>
      <c r="V18" s="662" t="s">
        <v>14</v>
      </c>
      <c r="W18" s="663">
        <f>J18</f>
        <v>100</v>
      </c>
      <c r="X18" s="1259"/>
      <c r="Y18" s="3595"/>
      <c r="Z18" s="1258" t="str">
        <f>Q18</f>
        <v>基础设施水平</v>
      </c>
      <c r="AA18" s="1258">
        <f t="shared" ref="AA18" si="8">D18/F18</f>
        <v>1</v>
      </c>
      <c r="AB18" s="1258">
        <f t="shared" ref="AB18" si="9">D18/H18</f>
        <v>1</v>
      </c>
      <c r="AC18" s="1258">
        <f t="shared" ref="AC18" si="10">D18/J18</f>
        <v>1</v>
      </c>
    </row>
    <row r="19" spans="1:29" ht="15">
      <c r="A19" s="348"/>
      <c r="B19" s="555"/>
      <c r="C19" s="1749" t="s">
        <v>3629</v>
      </c>
      <c r="D19" s="389"/>
      <c r="E19" s="1749" t="str">
        <f>C19</f>
        <v>七通</v>
      </c>
      <c r="F19" s="392"/>
      <c r="G19" s="1749" t="str">
        <f>C19</f>
        <v>七通</v>
      </c>
      <c r="H19" s="387"/>
      <c r="I19" s="386" t="str">
        <f>C19</f>
        <v>七通</v>
      </c>
      <c r="J19" s="387"/>
      <c r="K19" s="1059"/>
      <c r="L19" s="2485"/>
      <c r="M19" s="2480"/>
      <c r="N19" s="2480"/>
      <c r="O19" s="2480"/>
      <c r="P19" s="3595"/>
      <c r="Q19" s="1257"/>
      <c r="R19" s="662"/>
      <c r="S19" s="663"/>
      <c r="T19" s="662"/>
      <c r="U19" s="663"/>
      <c r="V19" s="662"/>
      <c r="W19" s="663"/>
      <c r="X19" s="1259"/>
      <c r="Y19" s="3595"/>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595"/>
      <c r="Q20" s="1257" t="str">
        <f>B20</f>
        <v>自然及人文环境</v>
      </c>
      <c r="R20" s="662" t="s">
        <v>14</v>
      </c>
      <c r="S20" s="663">
        <f>F20</f>
        <v>100</v>
      </c>
      <c r="T20" s="662" t="s">
        <v>14</v>
      </c>
      <c r="U20" s="663">
        <f>H20</f>
        <v>100</v>
      </c>
      <c r="V20" s="662" t="s">
        <v>14</v>
      </c>
      <c r="W20" s="663">
        <f>J20</f>
        <v>100</v>
      </c>
      <c r="X20" s="1259"/>
      <c r="Y20" s="3595"/>
      <c r="Z20" s="1258" t="str">
        <f>Q20</f>
        <v>自然及人文环境</v>
      </c>
      <c r="AA20" s="1258">
        <f t="shared" si="3"/>
        <v>1</v>
      </c>
      <c r="AB20" s="1258">
        <f t="shared" si="4"/>
        <v>1</v>
      </c>
      <c r="AC20" s="1258">
        <f t="shared" si="5"/>
        <v>1</v>
      </c>
    </row>
    <row r="21" spans="1:29" ht="15">
      <c r="A21" s="348"/>
      <c r="B21" s="401"/>
      <c r="C21" s="386" t="s">
        <v>3628</v>
      </c>
      <c r="D21" s="387"/>
      <c r="E21" s="386" t="str">
        <f>C21</f>
        <v>较好</v>
      </c>
      <c r="F21" s="388"/>
      <c r="G21" s="386" t="str">
        <f>C21</f>
        <v>较好</v>
      </c>
      <c r="H21" s="387"/>
      <c r="I21" s="386" t="str">
        <f>C21</f>
        <v>较好</v>
      </c>
      <c r="J21" s="387"/>
      <c r="K21" s="539"/>
      <c r="L21" s="2485"/>
      <c r="M21" s="2480"/>
      <c r="N21" s="2480"/>
      <c r="O21" s="2480"/>
      <c r="P21" s="3595"/>
      <c r="Q21" s="1257"/>
      <c r="R21" s="662"/>
      <c r="S21" s="663"/>
      <c r="T21" s="662"/>
      <c r="U21" s="663"/>
      <c r="V21" s="662"/>
      <c r="W21" s="663"/>
      <c r="X21" s="1259"/>
      <c r="Y21" s="3595"/>
      <c r="Z21" s="1258"/>
      <c r="AA21" s="1258">
        <v>1</v>
      </c>
      <c r="AB21" s="1258">
        <v>1</v>
      </c>
      <c r="AC21" s="1258">
        <v>1</v>
      </c>
    </row>
    <row r="22" spans="1:29" ht="15">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595"/>
      <c r="Q22" s="1257" t="str">
        <f>B22</f>
        <v>楼层</v>
      </c>
      <c r="R22" s="662" t="s">
        <v>14</v>
      </c>
      <c r="S22" s="663">
        <f>F22</f>
        <v>100</v>
      </c>
      <c r="T22" s="662" t="s">
        <v>14</v>
      </c>
      <c r="U22" s="663">
        <f>H22</f>
        <v>100</v>
      </c>
      <c r="V22" s="662" t="s">
        <v>14</v>
      </c>
      <c r="W22" s="663">
        <f>J22</f>
        <v>100</v>
      </c>
      <c r="X22" s="1259"/>
      <c r="Y22" s="3595"/>
      <c r="Z22" s="1258" t="str">
        <f>Q22</f>
        <v>楼层</v>
      </c>
      <c r="AA22" s="1258">
        <f t="shared" si="3"/>
        <v>1</v>
      </c>
      <c r="AB22" s="1258">
        <f t="shared" si="4"/>
        <v>1</v>
      </c>
      <c r="AC22" s="1258">
        <f t="shared" si="5"/>
        <v>1</v>
      </c>
    </row>
    <row r="23" spans="1:29" ht="15">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595"/>
      <c r="Q23" s="1257">
        <f>B23</f>
        <v>111</v>
      </c>
      <c r="R23" s="662" t="s">
        <v>14</v>
      </c>
      <c r="S23" s="663">
        <f>F23</f>
        <v>100</v>
      </c>
      <c r="T23" s="662" t="s">
        <v>14</v>
      </c>
      <c r="U23" s="663">
        <f>H23</f>
        <v>100</v>
      </c>
      <c r="V23" s="662" t="s">
        <v>14</v>
      </c>
      <c r="W23" s="663">
        <f>J23</f>
        <v>100</v>
      </c>
      <c r="X23" s="1259"/>
      <c r="Y23" s="3595"/>
      <c r="Z23" s="1258">
        <f>Q23</f>
        <v>111</v>
      </c>
      <c r="AA23" s="1258">
        <f t="shared" si="3"/>
        <v>1</v>
      </c>
      <c r="AB23" s="1258">
        <f t="shared" si="4"/>
        <v>1</v>
      </c>
      <c r="AC23" s="1258">
        <f t="shared" si="5"/>
        <v>1</v>
      </c>
    </row>
    <row r="24" spans="1:29" ht="15">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595"/>
      <c r="Q24" s="1257">
        <f t="shared" ref="Q24:Q36" si="11">B24</f>
        <v>111</v>
      </c>
      <c r="R24" s="662" t="s">
        <v>14</v>
      </c>
      <c r="S24" s="663">
        <f>F24</f>
        <v>100</v>
      </c>
      <c r="T24" s="662" t="s">
        <v>14</v>
      </c>
      <c r="U24" s="663">
        <f>H24</f>
        <v>100</v>
      </c>
      <c r="V24" s="662" t="s">
        <v>14</v>
      </c>
      <c r="W24" s="663">
        <f>J24</f>
        <v>100</v>
      </c>
      <c r="X24" s="1259"/>
      <c r="Y24" s="3595"/>
      <c r="Z24" s="1258">
        <f>Q24</f>
        <v>111</v>
      </c>
      <c r="AA24" s="1258">
        <f t="shared" si="3"/>
        <v>1</v>
      </c>
      <c r="AB24" s="1258">
        <f t="shared" si="4"/>
        <v>1</v>
      </c>
      <c r="AC24" s="1258">
        <f t="shared" si="5"/>
        <v>1</v>
      </c>
    </row>
    <row r="25" spans="1:29" s="102" customFormat="1" ht="15.75"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595"/>
      <c r="Q25" s="528">
        <f t="shared" si="11"/>
        <v>111</v>
      </c>
      <c r="R25" s="659" t="s">
        <v>14</v>
      </c>
      <c r="S25" s="660">
        <f>F25</f>
        <v>100</v>
      </c>
      <c r="T25" s="659" t="s">
        <v>14</v>
      </c>
      <c r="U25" s="660">
        <f>H25</f>
        <v>100</v>
      </c>
      <c r="V25" s="659" t="s">
        <v>14</v>
      </c>
      <c r="W25" s="660">
        <f>J25</f>
        <v>100</v>
      </c>
      <c r="X25" s="661"/>
      <c r="Y25" s="3595"/>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596"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597" t="s">
        <v>1695</v>
      </c>
      <c r="Z26" s="1258" t="str">
        <f t="shared" ref="Z26:Z36" si="15">Q26</f>
        <v>配套类型</v>
      </c>
      <c r="AA26" s="1258">
        <f t="shared" si="3"/>
        <v>1</v>
      </c>
      <c r="AB26" s="1258">
        <f t="shared" si="4"/>
        <v>1</v>
      </c>
      <c r="AC26" s="1258">
        <f t="shared" si="5"/>
        <v>1</v>
      </c>
    </row>
    <row r="27" spans="1:29" s="408" customFormat="1" ht="15">
      <c r="A27" s="573"/>
      <c r="B27" s="119" t="s">
        <v>1836</v>
      </c>
      <c r="C27" s="574" t="s">
        <v>5293</v>
      </c>
      <c r="D27" s="119">
        <v>100</v>
      </c>
      <c r="E27" s="574" t="s">
        <v>5291</v>
      </c>
      <c r="F27" s="400">
        <f>SUMIF(81:81,E27,82:82)-SUMIF(81:81,C27,82:82)+100</f>
        <v>99</v>
      </c>
      <c r="G27" s="574" t="s">
        <v>5291</v>
      </c>
      <c r="H27" s="374">
        <f>SUMIF(81:81,G27,82:82)-SUMIF(81:81,C27,82:82)+100</f>
        <v>99</v>
      </c>
      <c r="I27" s="574" t="s">
        <v>5292</v>
      </c>
      <c r="J27" s="374">
        <f>SUMIF(81:81,I27,82:82)-SUMIF(81:81,C27,82:82)+100</f>
        <v>99</v>
      </c>
      <c r="K27" s="537"/>
      <c r="L27" s="2484"/>
      <c r="M27" s="2486"/>
      <c r="N27" s="2486"/>
      <c r="O27" s="2486"/>
      <c r="P27" s="3597"/>
      <c r="Q27" s="529" t="str">
        <f t="shared" si="11"/>
        <v>项目停车位配比</v>
      </c>
      <c r="R27" s="664" t="s">
        <v>14</v>
      </c>
      <c r="S27" s="665">
        <f t="shared" si="12"/>
        <v>99</v>
      </c>
      <c r="T27" s="664" t="s">
        <v>14</v>
      </c>
      <c r="U27" s="665">
        <f t="shared" si="13"/>
        <v>99</v>
      </c>
      <c r="V27" s="664" t="s">
        <v>14</v>
      </c>
      <c r="W27" s="665">
        <f t="shared" si="14"/>
        <v>99</v>
      </c>
      <c r="X27" s="666"/>
      <c r="Y27" s="3597"/>
      <c r="Z27" s="667" t="str">
        <f t="shared" si="15"/>
        <v>项目停车位配比</v>
      </c>
      <c r="AA27" s="1258">
        <f t="shared" si="3"/>
        <v>1.0101010101010102</v>
      </c>
      <c r="AB27" s="1258">
        <f t="shared" si="4"/>
        <v>1.0101010101010102</v>
      </c>
      <c r="AC27" s="1258">
        <f t="shared" si="5"/>
        <v>1.0101010101010102</v>
      </c>
    </row>
    <row r="28" spans="1:29" ht="15">
      <c r="A28" s="575"/>
      <c r="B28" s="119" t="s">
        <v>1837</v>
      </c>
      <c r="C28" s="399" t="s">
        <v>3632</v>
      </c>
      <c r="D28" s="374">
        <v>100</v>
      </c>
      <c r="E28" s="399" t="s">
        <v>3632</v>
      </c>
      <c r="F28" s="400">
        <f>SUMIF(83:83,E28,84:84)-SUMIF(83:83,C28,84:84)+100</f>
        <v>100</v>
      </c>
      <c r="G28" s="399" t="s">
        <v>3632</v>
      </c>
      <c r="H28" s="374">
        <f>SUMIF(83:83,G28,84:84)-SUMIF(83:83,C28,84:84)+100</f>
        <v>100</v>
      </c>
      <c r="I28" s="399" t="s">
        <v>3632</v>
      </c>
      <c r="J28" s="374">
        <f>SUMIF(83:83,I28,84:84)-SUMIF(83:83,C28,84:84)+100</f>
        <v>100</v>
      </c>
      <c r="K28" s="536">
        <v>1</v>
      </c>
      <c r="L28" s="2485"/>
      <c r="M28" s="2480"/>
      <c r="N28" s="2480"/>
      <c r="O28" s="2480"/>
      <c r="P28" s="3597"/>
      <c r="Q28" s="1257" t="str">
        <f t="shared" si="11"/>
        <v>公共部分装修</v>
      </c>
      <c r="R28" s="662" t="s">
        <v>14</v>
      </c>
      <c r="S28" s="663">
        <f t="shared" si="12"/>
        <v>100</v>
      </c>
      <c r="T28" s="662" t="s">
        <v>14</v>
      </c>
      <c r="U28" s="663">
        <f t="shared" si="13"/>
        <v>100</v>
      </c>
      <c r="V28" s="662" t="s">
        <v>14</v>
      </c>
      <c r="W28" s="663">
        <f t="shared" si="14"/>
        <v>100</v>
      </c>
      <c r="X28" s="1259"/>
      <c r="Y28" s="3597"/>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597"/>
      <c r="Q29" s="1257" t="str">
        <f t="shared" si="11"/>
        <v>成新率</v>
      </c>
      <c r="R29" s="662" t="s">
        <v>14</v>
      </c>
      <c r="S29" s="663">
        <f t="shared" si="12"/>
        <v>100</v>
      </c>
      <c r="T29" s="662" t="s">
        <v>14</v>
      </c>
      <c r="U29" s="663">
        <f t="shared" si="13"/>
        <v>100</v>
      </c>
      <c r="V29" s="662" t="s">
        <v>14</v>
      </c>
      <c r="W29" s="663">
        <f t="shared" si="14"/>
        <v>100</v>
      </c>
      <c r="X29" s="1259"/>
      <c r="Y29" s="3597"/>
      <c r="Z29" s="1258" t="str">
        <f t="shared" si="15"/>
        <v>成新率</v>
      </c>
      <c r="AA29" s="1258">
        <f t="shared" si="3"/>
        <v>1</v>
      </c>
      <c r="AB29" s="1258">
        <f t="shared" si="4"/>
        <v>1</v>
      </c>
      <c r="AC29" s="1258">
        <f t="shared" si="5"/>
        <v>1</v>
      </c>
    </row>
    <row r="30" spans="1:29" ht="15">
      <c r="A30" s="575"/>
      <c r="B30" s="119" t="s">
        <v>1839</v>
      </c>
      <c r="C30" s="576" t="s">
        <v>3633</v>
      </c>
      <c r="D30" s="374">
        <v>100</v>
      </c>
      <c r="E30" s="576" t="s">
        <v>3633</v>
      </c>
      <c r="F30" s="400">
        <f>SUMIF(88:88,E30,89:89)-SUMIF(88:88,C30,89:89)+100</f>
        <v>100</v>
      </c>
      <c r="G30" s="576" t="s">
        <v>3633</v>
      </c>
      <c r="H30" s="374">
        <f>SUMIF(88:88,E30,89:89)-SUMIF(88:88,C30,89:89)+100</f>
        <v>100</v>
      </c>
      <c r="I30" s="576" t="s">
        <v>3633</v>
      </c>
      <c r="J30" s="374">
        <f>SUMIF(88:88,E30,89:89)-SUMIF(88:88,C30,89:89)+100</f>
        <v>100</v>
      </c>
      <c r="K30" s="536">
        <v>1</v>
      </c>
      <c r="L30" s="2485"/>
      <c r="M30" s="2480"/>
      <c r="N30" s="2480"/>
      <c r="O30" s="2480"/>
      <c r="P30" s="3597"/>
      <c r="Q30" s="1257" t="str">
        <f t="shared" si="11"/>
        <v>物业等级</v>
      </c>
      <c r="R30" s="662" t="s">
        <v>14</v>
      </c>
      <c r="S30" s="663">
        <f t="shared" si="12"/>
        <v>100</v>
      </c>
      <c r="T30" s="662" t="s">
        <v>14</v>
      </c>
      <c r="U30" s="663">
        <f t="shared" si="13"/>
        <v>100</v>
      </c>
      <c r="V30" s="662" t="s">
        <v>14</v>
      </c>
      <c r="W30" s="663">
        <f t="shared" si="14"/>
        <v>100</v>
      </c>
      <c r="X30" s="1259"/>
      <c r="Y30" s="3597"/>
      <c r="Z30" s="1258" t="str">
        <f t="shared" si="15"/>
        <v>物业等级</v>
      </c>
      <c r="AA30" s="1258">
        <f t="shared" si="3"/>
        <v>1</v>
      </c>
      <c r="AB30" s="1258">
        <f t="shared" si="4"/>
        <v>1</v>
      </c>
      <c r="AC30" s="1258">
        <f t="shared" si="5"/>
        <v>1</v>
      </c>
    </row>
    <row r="31" spans="1:29" s="102" customFormat="1" ht="15">
      <c r="A31" s="577"/>
      <c r="B31" s="119" t="s">
        <v>1840</v>
      </c>
      <c r="C31" s="407">
        <v>33</v>
      </c>
      <c r="D31" s="119">
        <v>100</v>
      </c>
      <c r="E31" s="407">
        <v>35.630000000000003</v>
      </c>
      <c r="F31" s="400">
        <f>LOOKUP(E31,91:91,92:92)-LOOKUP(C31,91:91,92:92)+100</f>
        <v>101</v>
      </c>
      <c r="G31" s="407">
        <v>33.93</v>
      </c>
      <c r="H31" s="374">
        <f>LOOKUP(G31,91:91,92:92)-LOOKUP(C31,91:91,92:92)+100</f>
        <v>100</v>
      </c>
      <c r="I31" s="407">
        <v>32.32</v>
      </c>
      <c r="J31" s="374">
        <f>LOOKUP(I31,91:91,92:92)-LOOKUP(C31,91:91,92:92)+100</f>
        <v>100</v>
      </c>
      <c r="K31" s="536">
        <v>1</v>
      </c>
      <c r="L31" s="2481"/>
      <c r="M31" s="2432"/>
      <c r="N31" s="2432"/>
      <c r="O31" s="2432"/>
      <c r="P31" s="3597"/>
      <c r="Q31" s="528" t="str">
        <f t="shared" si="11"/>
        <v>停车位面积</v>
      </c>
      <c r="R31" s="659" t="s">
        <v>14</v>
      </c>
      <c r="S31" s="660">
        <f t="shared" si="12"/>
        <v>101</v>
      </c>
      <c r="T31" s="659" t="s">
        <v>14</v>
      </c>
      <c r="U31" s="660">
        <f t="shared" si="13"/>
        <v>100</v>
      </c>
      <c r="V31" s="659" t="s">
        <v>14</v>
      </c>
      <c r="W31" s="660">
        <f t="shared" si="14"/>
        <v>100</v>
      </c>
      <c r="X31" s="661"/>
      <c r="Y31" s="3597"/>
      <c r="Z31" s="50" t="str">
        <f t="shared" si="15"/>
        <v>停车位面积</v>
      </c>
      <c r="AA31" s="50">
        <f t="shared" si="3"/>
        <v>0.99009900990099009</v>
      </c>
      <c r="AB31" s="50">
        <f t="shared" si="4"/>
        <v>1</v>
      </c>
      <c r="AC31" s="50">
        <f t="shared" si="5"/>
        <v>1</v>
      </c>
    </row>
    <row r="32" spans="1:29" ht="15">
      <c r="A32" s="575"/>
      <c r="B32" s="119" t="s">
        <v>1841</v>
      </c>
      <c r="C32" s="399" t="s">
        <v>5285</v>
      </c>
      <c r="D32" s="374">
        <v>100</v>
      </c>
      <c r="E32" s="399" t="s">
        <v>5285</v>
      </c>
      <c r="F32" s="400">
        <f>SUMIF(93:93,E32,94:94)-SUMIF(93:93,C32,94:94)+100</f>
        <v>100</v>
      </c>
      <c r="G32" s="399" t="s">
        <v>5285</v>
      </c>
      <c r="H32" s="374">
        <f>SUMIF(93:93,G32,94:94)-SUMIF(93:93,C32,94:94)+100</f>
        <v>100</v>
      </c>
      <c r="I32" s="399" t="s">
        <v>5285</v>
      </c>
      <c r="J32" s="374">
        <f>SUMIF(93:93,I32,94:94)-SUMIF(93:93,C32,94:94)+100</f>
        <v>100</v>
      </c>
      <c r="K32" s="536">
        <v>1</v>
      </c>
      <c r="L32" s="2485"/>
      <c r="M32" s="2480"/>
      <c r="N32" s="2480"/>
      <c r="O32" s="2480"/>
      <c r="P32" s="3597" t="s">
        <v>1695</v>
      </c>
      <c r="Q32" s="1257" t="str">
        <f t="shared" si="11"/>
        <v>车位类型</v>
      </c>
      <c r="R32" s="662" t="s">
        <v>14</v>
      </c>
      <c r="S32" s="663">
        <f t="shared" si="12"/>
        <v>100</v>
      </c>
      <c r="T32" s="662" t="s">
        <v>14</v>
      </c>
      <c r="U32" s="663">
        <f t="shared" si="13"/>
        <v>100</v>
      </c>
      <c r="V32" s="662" t="s">
        <v>14</v>
      </c>
      <c r="W32" s="663">
        <f t="shared" si="14"/>
        <v>100</v>
      </c>
      <c r="X32" s="1259"/>
      <c r="Y32" s="3597" t="s">
        <v>1695</v>
      </c>
      <c r="Z32" s="1258" t="str">
        <f t="shared" si="15"/>
        <v>车位类型</v>
      </c>
      <c r="AA32" s="1258">
        <f t="shared" si="3"/>
        <v>1</v>
      </c>
      <c r="AB32" s="1258">
        <f t="shared" si="4"/>
        <v>1</v>
      </c>
      <c r="AC32" s="1258">
        <f t="shared" si="5"/>
        <v>1</v>
      </c>
    </row>
    <row r="33" spans="1:29" ht="15">
      <c r="A33" s="575"/>
      <c r="B33" s="119" t="s">
        <v>1842</v>
      </c>
      <c r="C33" s="399" t="s">
        <v>3983</v>
      </c>
      <c r="D33" s="374">
        <v>100</v>
      </c>
      <c r="E33" s="399" t="s">
        <v>3983</v>
      </c>
      <c r="F33" s="400">
        <f>SUMIF(95:95,E33,96:96)-SUMIF(95:95,C33,96:96)+100</f>
        <v>100</v>
      </c>
      <c r="G33" s="399" t="s">
        <v>3983</v>
      </c>
      <c r="H33" s="374">
        <f>SUMIF(95:95,G33,96:96)-SUMIF(95:95,C33,96:96)+100</f>
        <v>100</v>
      </c>
      <c r="I33" s="399" t="s">
        <v>3983</v>
      </c>
      <c r="J33" s="374">
        <f>SUMIF(95:95,I33,96:96)-SUMIF(95:95,C33,96:96)+100</f>
        <v>100</v>
      </c>
      <c r="K33" s="536">
        <v>1</v>
      </c>
      <c r="L33" s="2485"/>
      <c r="M33" s="2480"/>
      <c r="N33" s="2480"/>
      <c r="O33" s="2480"/>
      <c r="P33" s="3597"/>
      <c r="Q33" s="1257" t="str">
        <f t="shared" si="11"/>
        <v>是否直接入户</v>
      </c>
      <c r="R33" s="662" t="s">
        <v>14</v>
      </c>
      <c r="S33" s="663">
        <f t="shared" si="12"/>
        <v>100</v>
      </c>
      <c r="T33" s="662" t="s">
        <v>14</v>
      </c>
      <c r="U33" s="663">
        <f t="shared" si="13"/>
        <v>100</v>
      </c>
      <c r="V33" s="662" t="s">
        <v>14</v>
      </c>
      <c r="W33" s="663">
        <f t="shared" si="14"/>
        <v>100</v>
      </c>
      <c r="X33" s="1259"/>
      <c r="Y33" s="3597"/>
      <c r="Z33" s="1258" t="str">
        <f t="shared" si="15"/>
        <v>是否直接入户</v>
      </c>
      <c r="AA33" s="1258">
        <f t="shared" si="3"/>
        <v>1</v>
      </c>
      <c r="AB33" s="1258">
        <f t="shared" si="4"/>
        <v>1</v>
      </c>
      <c r="AC33" s="1258">
        <f t="shared" si="5"/>
        <v>1</v>
      </c>
    </row>
    <row r="34" spans="1:29" ht="15">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5"/>
      <c r="M34" s="2480"/>
      <c r="N34" s="2480"/>
      <c r="O34" s="2480"/>
      <c r="P34" s="3597"/>
      <c r="Q34" s="1257">
        <f t="shared" si="11"/>
        <v>111</v>
      </c>
      <c r="R34" s="662" t="s">
        <v>14</v>
      </c>
      <c r="S34" s="663">
        <f t="shared" si="12"/>
        <v>100</v>
      </c>
      <c r="T34" s="662" t="s">
        <v>14</v>
      </c>
      <c r="U34" s="663">
        <f t="shared" si="13"/>
        <v>100</v>
      </c>
      <c r="V34" s="662" t="s">
        <v>14</v>
      </c>
      <c r="W34" s="663">
        <f t="shared" si="14"/>
        <v>100</v>
      </c>
      <c r="X34" s="1259"/>
      <c r="Y34" s="3597"/>
      <c r="Z34" s="1258">
        <f t="shared" si="15"/>
        <v>111</v>
      </c>
      <c r="AA34" s="1258">
        <f t="shared" si="3"/>
        <v>1</v>
      </c>
      <c r="AB34" s="1258">
        <f t="shared" si="4"/>
        <v>1</v>
      </c>
      <c r="AC34" s="1258">
        <f t="shared" si="5"/>
        <v>1</v>
      </c>
    </row>
    <row r="35" spans="1:29" s="408" customFormat="1" ht="15">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4"/>
      <c r="M35" s="2486"/>
      <c r="N35" s="2486"/>
      <c r="O35" s="2486"/>
      <c r="P35" s="3597"/>
      <c r="Q35" s="529">
        <f t="shared" si="11"/>
        <v>111</v>
      </c>
      <c r="R35" s="664" t="s">
        <v>14</v>
      </c>
      <c r="S35" s="665">
        <f t="shared" si="12"/>
        <v>100</v>
      </c>
      <c r="T35" s="664" t="s">
        <v>14</v>
      </c>
      <c r="U35" s="665">
        <f t="shared" si="13"/>
        <v>100</v>
      </c>
      <c r="V35" s="664" t="s">
        <v>14</v>
      </c>
      <c r="W35" s="665">
        <f t="shared" si="14"/>
        <v>100</v>
      </c>
      <c r="X35" s="666"/>
      <c r="Y35" s="3597"/>
      <c r="Z35" s="667">
        <f t="shared" si="15"/>
        <v>111</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597"/>
      <c r="Q36" s="1257">
        <f t="shared" si="11"/>
        <v>111</v>
      </c>
      <c r="R36" s="662" t="s">
        <v>14</v>
      </c>
      <c r="S36" s="663">
        <f t="shared" si="12"/>
        <v>100</v>
      </c>
      <c r="T36" s="662" t="s">
        <v>14</v>
      </c>
      <c r="U36" s="663">
        <f t="shared" si="13"/>
        <v>100</v>
      </c>
      <c r="V36" s="662" t="s">
        <v>14</v>
      </c>
      <c r="W36" s="663">
        <f t="shared" si="14"/>
        <v>100</v>
      </c>
      <c r="X36" s="1259"/>
      <c r="Y36" s="3597"/>
      <c r="Z36" s="1258">
        <f t="shared" si="15"/>
        <v>111</v>
      </c>
      <c r="AA36" s="1258">
        <f t="shared" si="3"/>
        <v>1</v>
      </c>
      <c r="AB36" s="1258">
        <f t="shared" si="4"/>
        <v>1</v>
      </c>
      <c r="AC36" s="1258">
        <f t="shared" si="5"/>
        <v>1</v>
      </c>
    </row>
    <row r="37" spans="1:29" ht="15">
      <c r="A37" s="414" t="s">
        <v>1843</v>
      </c>
      <c r="B37" s="1813" t="s">
        <v>5290</v>
      </c>
      <c r="C37" s="1076" t="s">
        <v>0</v>
      </c>
      <c r="D37" s="416"/>
      <c r="E37" s="417">
        <v>180000</v>
      </c>
      <c r="F37" s="418"/>
      <c r="G37" s="419">
        <v>158000</v>
      </c>
      <c r="H37" s="420"/>
      <c r="I37" s="417">
        <v>206000</v>
      </c>
      <c r="J37" s="420"/>
      <c r="K37" s="543"/>
      <c r="L37" s="2487"/>
      <c r="M37" s="2480"/>
      <c r="N37" s="2480"/>
      <c r="O37" s="2480"/>
      <c r="P37" s="3593" t="str">
        <f>A37</f>
        <v>成交单价</v>
      </c>
      <c r="Q37" s="3593"/>
      <c r="R37" s="3598">
        <f>E37</f>
        <v>180000</v>
      </c>
      <c r="S37" s="3598"/>
      <c r="T37" s="3598">
        <f>G37</f>
        <v>158000</v>
      </c>
      <c r="U37" s="3598"/>
      <c r="V37" s="3598">
        <f>I37</f>
        <v>206000</v>
      </c>
      <c r="W37" s="3598"/>
      <c r="X37" s="385"/>
      <c r="Y37" s="668"/>
      <c r="Z37" s="385"/>
      <c r="AA37" s="385"/>
      <c r="AB37" s="385"/>
      <c r="AC37" s="385"/>
    </row>
    <row r="38" spans="1:29" ht="15.75" thickBot="1">
      <c r="A38" s="421" t="s">
        <v>1844</v>
      </c>
      <c r="B38" s="422" t="str">
        <f>B37</f>
        <v>元/车位</v>
      </c>
      <c r="C38" s="1077">
        <f>R39</f>
        <v>182565</v>
      </c>
      <c r="D38" s="2133" t="s">
        <v>2137</v>
      </c>
      <c r="E38" s="1078">
        <f>R38</f>
        <v>180018</v>
      </c>
      <c r="F38" s="2134"/>
      <c r="G38" s="1077">
        <f>T38</f>
        <v>159596</v>
      </c>
      <c r="H38" s="2134"/>
      <c r="I38" s="1078">
        <f>V38</f>
        <v>208081</v>
      </c>
      <c r="J38" s="2134"/>
      <c r="K38" s="2136">
        <f>F38+H38+J38</f>
        <v>0</v>
      </c>
      <c r="L38" s="2487"/>
      <c r="M38" s="2480"/>
      <c r="N38" s="2480"/>
      <c r="O38" s="2480"/>
      <c r="P38" s="3593" t="str">
        <f>A38</f>
        <v>比较价值（元/平方米）</v>
      </c>
      <c r="Q38" s="3593"/>
      <c r="R38" s="3598">
        <f>IF(F1="售价",ROUND(PRODUCT(R37,AA7:AA36),0),ROUND(PRODUCT(R37,AA7:AA36),1))</f>
        <v>180018</v>
      </c>
      <c r="S38" s="3598"/>
      <c r="T38" s="3598">
        <f>IF(F1="售价",ROUND(PRODUCT(T37,AB7:AB36),0),ROUND(PRODUCT(T37,AB7:AB36),1))</f>
        <v>159596</v>
      </c>
      <c r="U38" s="3598"/>
      <c r="V38" s="3598">
        <f>IF(F1="售价",ROUND(PRODUCT(V37,AC7:AC36),0),ROUND(PRODUCT(V37,AC7:AC36),1))</f>
        <v>208081</v>
      </c>
      <c r="W38" s="3598"/>
      <c r="X38" s="385"/>
      <c r="Y38" s="385"/>
      <c r="Z38" s="385"/>
      <c r="AA38" s="385"/>
      <c r="AB38" s="385"/>
      <c r="AC38" s="385"/>
    </row>
    <row r="39" spans="1:29" ht="15.75" thickBot="1">
      <c r="A39" s="425" t="s">
        <v>1845</v>
      </c>
      <c r="B39" s="426"/>
      <c r="C39" s="351">
        <f>R39</f>
        <v>182565</v>
      </c>
      <c r="D39" s="351"/>
      <c r="E39" s="351"/>
      <c r="F39" s="351"/>
      <c r="G39" s="351"/>
      <c r="H39" s="351"/>
      <c r="I39" s="351"/>
      <c r="J39" s="351"/>
      <c r="K39" s="544"/>
      <c r="L39" s="2487"/>
      <c r="M39" s="2480"/>
      <c r="N39" s="2480"/>
      <c r="O39" s="2480"/>
      <c r="P39" s="3587" t="str">
        <f>A39</f>
        <v>估价对象XX用房的比较价值（楼面单价，元/平方米）</v>
      </c>
      <c r="Q39" s="3588"/>
      <c r="R39" s="3706">
        <f>IF(F1="售价",ROUND(IF(D38="简单平均",AVERAGE(R38:W38),R38*F38+T38*H38+V38*J38),0),ROUND(IF(D38="简单平均",AVERAGE(R38:V38),R38*F38+T38*H38+V38*J38),1))</f>
        <v>182565</v>
      </c>
      <c r="S39" s="3706"/>
      <c r="T39" s="3706"/>
      <c r="U39" s="3706"/>
      <c r="V39" s="3706"/>
      <c r="W39" s="3706"/>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9.9999999999988987E-5</v>
      </c>
      <c r="F42" s="433" t="str">
        <f>IF(OR(E42&gt;=0.3,E42&lt;=-0.3),"超过30%","")</f>
        <v/>
      </c>
      <c r="G42" s="432">
        <f>IF(G37&lt;G38,G38/G37-1,G37/G38-1)</f>
        <v>1.0101265822784811E-2</v>
      </c>
      <c r="H42" s="433" t="str">
        <f>IF(OR(G42&gt;=0.3,G42&lt;=-0.3),"超过30%","")</f>
        <v/>
      </c>
      <c r="I42" s="432">
        <f>IF(I37&lt;I38,I38/I37-1,I37/I38-1)</f>
        <v>1.0101941747572729E-2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0.12796060051630365</v>
      </c>
      <c r="F43" s="433" t="str">
        <f>IF(OR(E43&gt;=0.2,E43&lt;=-0.2),"超过20%","")</f>
        <v/>
      </c>
      <c r="G43" s="432">
        <f>IF(G38&lt;I38,I38/G38-1,G38/I38-1)</f>
        <v>0.30379834081054669</v>
      </c>
      <c r="H43" s="433" t="str">
        <f>IF(OR(G43&gt;=0.2,G43&lt;=-0.2),"超过20%","")</f>
        <v>超过20%</v>
      </c>
      <c r="I43" s="432">
        <f>IF(I38&lt;E38,E38/I38-1,I38/E38-1)</f>
        <v>0.15588996655889975</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0.139240506329114</v>
      </c>
      <c r="F44" s="433" t="str">
        <f>IF(OR(E44&gt;=0.3,E44&lt;=-0.3),"超过30%","")</f>
        <v/>
      </c>
      <c r="G44" s="432">
        <f>IF(G37&lt;I37,I37/G37-1,G37/I37-1)</f>
        <v>0.30379746835443044</v>
      </c>
      <c r="H44" s="433" t="str">
        <f>IF(OR(G44&gt;=0.3,G44&lt;=-0.3),"超过30%","")</f>
        <v>超过30%</v>
      </c>
      <c r="I44" s="432">
        <f>IF(I37&lt;E37,E37/I37-1,I37/E37-1)</f>
        <v>0.14444444444444438</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99</v>
      </c>
      <c r="E82" s="465">
        <v>99</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5284</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35(含)-70</v>
      </c>
      <c r="E90" s="507" t="str">
        <f t="shared" si="21"/>
        <v>70(含)-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70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5286</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5287</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2"/>
  <sheetViews>
    <sheetView workbookViewId="0">
      <selection activeCell="P24" sqref="P24"/>
    </sheetView>
  </sheetViews>
  <sheetFormatPr defaultColWidth="14.5" defaultRowHeight="12"/>
  <cols>
    <col min="1" max="1" width="31.875" style="3216" customWidth="1"/>
    <col min="2" max="2" width="18.875" style="3216" customWidth="1"/>
    <col min="3" max="3" width="13.125" style="3216" customWidth="1"/>
    <col min="4" max="7" width="14.5" style="3216"/>
    <col min="8" max="8" width="8.125" style="3216" customWidth="1"/>
    <col min="9" max="20" width="10" style="3216" customWidth="1"/>
    <col min="21" max="21" width="30.25" style="3216" customWidth="1"/>
    <col min="22" max="16384" width="14.5" style="3216"/>
  </cols>
  <sheetData>
    <row r="1" spans="1:21">
      <c r="A1" s="3708" t="s">
        <v>3713</v>
      </c>
      <c r="B1" s="3708" t="s">
        <v>3712</v>
      </c>
      <c r="C1" s="3708" t="s">
        <v>3711</v>
      </c>
      <c r="D1" s="3708" t="s">
        <v>3710</v>
      </c>
      <c r="E1" s="3708" t="s">
        <v>3709</v>
      </c>
      <c r="F1" s="3708" t="s">
        <v>3708</v>
      </c>
      <c r="G1" s="3708" t="s">
        <v>3707</v>
      </c>
      <c r="H1" s="3708" t="s">
        <v>3706</v>
      </c>
      <c r="I1" s="3708" t="s">
        <v>3705</v>
      </c>
      <c r="J1" s="3708" t="s">
        <v>3704</v>
      </c>
      <c r="K1" s="3708" t="s">
        <v>3703</v>
      </c>
      <c r="L1" s="3708" t="s">
        <v>3702</v>
      </c>
      <c r="M1" s="3708" t="s">
        <v>3700</v>
      </c>
      <c r="N1" s="3708" t="s">
        <v>3699</v>
      </c>
      <c r="O1" s="3708" t="s">
        <v>3698</v>
      </c>
      <c r="P1" s="3708" t="s">
        <v>3697</v>
      </c>
      <c r="Q1" s="3708" t="s">
        <v>3696</v>
      </c>
      <c r="R1" s="3708" t="s">
        <v>3695</v>
      </c>
      <c r="S1" s="3708" t="s">
        <v>3694</v>
      </c>
      <c r="T1" s="3708" t="s">
        <v>3693</v>
      </c>
      <c r="U1" s="3708" t="s">
        <v>3701</v>
      </c>
    </row>
    <row r="2" spans="1:21" s="3217" customFormat="1">
      <c r="A2" s="3709" t="s">
        <v>3692</v>
      </c>
      <c r="B2" s="3709" t="s">
        <v>3691</v>
      </c>
      <c r="C2" s="3709">
        <v>12997.77</v>
      </c>
      <c r="D2" s="3709">
        <v>20796.439999999999</v>
      </c>
      <c r="E2" s="3709" t="s">
        <v>3663</v>
      </c>
      <c r="F2" s="3709" t="s">
        <v>3662</v>
      </c>
      <c r="G2" s="3709" t="s">
        <v>3680</v>
      </c>
      <c r="H2" s="3709" t="s">
        <v>3651</v>
      </c>
      <c r="I2" s="3709" t="s">
        <v>3535</v>
      </c>
      <c r="J2" s="3709" t="s">
        <v>3690</v>
      </c>
      <c r="K2" s="3709" t="s">
        <v>3690</v>
      </c>
      <c r="L2" s="3709" t="s">
        <v>3648</v>
      </c>
      <c r="M2" s="3709">
        <v>24600</v>
      </c>
      <c r="N2" s="3709">
        <v>5000</v>
      </c>
      <c r="O2" s="3709" t="s">
        <v>3689</v>
      </c>
      <c r="P2" s="3709">
        <v>24600</v>
      </c>
      <c r="Q2" s="3709">
        <v>11829</v>
      </c>
      <c r="R2" s="3709">
        <v>0</v>
      </c>
      <c r="S2" s="3709" t="s">
        <v>3535</v>
      </c>
      <c r="T2" s="3709" t="s">
        <v>3535</v>
      </c>
      <c r="U2" s="3709" t="s">
        <v>3678</v>
      </c>
    </row>
    <row r="3" spans="1:21" s="3217" customFormat="1">
      <c r="A3" s="3709" t="s">
        <v>3688</v>
      </c>
      <c r="B3" s="3709" t="s">
        <v>3687</v>
      </c>
      <c r="C3" s="3709">
        <v>30880.23</v>
      </c>
      <c r="D3" s="3709">
        <v>55584.41</v>
      </c>
      <c r="E3" s="3709" t="s">
        <v>3663</v>
      </c>
      <c r="F3" s="3709" t="s">
        <v>3674</v>
      </c>
      <c r="G3" s="3709" t="s">
        <v>3686</v>
      </c>
      <c r="H3" s="3709" t="s">
        <v>3651</v>
      </c>
      <c r="I3" s="3709" t="s">
        <v>3535</v>
      </c>
      <c r="J3" s="3709" t="s">
        <v>3685</v>
      </c>
      <c r="K3" s="3709" t="s">
        <v>3685</v>
      </c>
      <c r="L3" s="3709" t="s">
        <v>3648</v>
      </c>
      <c r="M3" s="3709">
        <v>49000</v>
      </c>
      <c r="N3" s="3709">
        <v>10000</v>
      </c>
      <c r="O3" s="3709" t="s">
        <v>3683</v>
      </c>
      <c r="P3" s="3709">
        <v>49000</v>
      </c>
      <c r="Q3" s="3709">
        <v>8815</v>
      </c>
      <c r="R3" s="3709">
        <v>0</v>
      </c>
      <c r="S3" s="3709">
        <v>31000</v>
      </c>
      <c r="T3" s="3709">
        <v>31000</v>
      </c>
      <c r="U3" s="3709" t="s">
        <v>3684</v>
      </c>
    </row>
    <row r="4" spans="1:21" s="3218" customFormat="1">
      <c r="A4" s="3710" t="s">
        <v>3682</v>
      </c>
      <c r="B4" s="3710" t="s">
        <v>3681</v>
      </c>
      <c r="C4" s="3710">
        <v>25569.01</v>
      </c>
      <c r="D4" s="3710">
        <v>40910.42</v>
      </c>
      <c r="E4" s="3710" t="s">
        <v>3663</v>
      </c>
      <c r="F4" s="3710" t="s">
        <v>3674</v>
      </c>
      <c r="G4" s="3710" t="s">
        <v>3680</v>
      </c>
      <c r="H4" s="3710" t="s">
        <v>3651</v>
      </c>
      <c r="I4" s="3710" t="s">
        <v>3535</v>
      </c>
      <c r="J4" s="3710" t="s">
        <v>3679</v>
      </c>
      <c r="K4" s="3710" t="s">
        <v>3679</v>
      </c>
      <c r="L4" s="3710" t="s">
        <v>3648</v>
      </c>
      <c r="M4" s="3710">
        <v>52000</v>
      </c>
      <c r="N4" s="3710">
        <v>11000</v>
      </c>
      <c r="O4" s="3710" t="s">
        <v>3677</v>
      </c>
      <c r="P4" s="3710">
        <v>52000</v>
      </c>
      <c r="Q4" s="3710">
        <v>12711</v>
      </c>
      <c r="R4" s="3710">
        <v>0</v>
      </c>
      <c r="S4" s="3710">
        <v>30000</v>
      </c>
      <c r="T4" s="3710">
        <v>30000</v>
      </c>
      <c r="U4" s="3710" t="s">
        <v>3678</v>
      </c>
    </row>
    <row r="5" spans="1:21">
      <c r="A5" s="3708" t="s">
        <v>3676</v>
      </c>
      <c r="B5" s="3708" t="s">
        <v>3675</v>
      </c>
      <c r="C5" s="3708">
        <v>39059.79</v>
      </c>
      <c r="D5" s="3708">
        <v>46871.74</v>
      </c>
      <c r="E5" s="3708" t="s">
        <v>3663</v>
      </c>
      <c r="F5" s="3708" t="s">
        <v>3674</v>
      </c>
      <c r="G5" s="3708" t="s">
        <v>3673</v>
      </c>
      <c r="H5" s="3708" t="s">
        <v>3651</v>
      </c>
      <c r="I5" s="3708" t="s">
        <v>3535</v>
      </c>
      <c r="J5" s="3708" t="s">
        <v>3672</v>
      </c>
      <c r="K5" s="3708" t="s">
        <v>3672</v>
      </c>
      <c r="L5" s="3708" t="s">
        <v>3648</v>
      </c>
      <c r="M5" s="3708">
        <v>49000</v>
      </c>
      <c r="N5" s="3708">
        <v>10000</v>
      </c>
      <c r="O5" s="3708" t="s">
        <v>3670</v>
      </c>
      <c r="P5" s="3708">
        <v>49000</v>
      </c>
      <c r="Q5" s="3708">
        <v>10454</v>
      </c>
      <c r="R5" s="3708">
        <v>0</v>
      </c>
      <c r="S5" s="3708">
        <v>32000</v>
      </c>
      <c r="T5" s="3708">
        <v>32000</v>
      </c>
      <c r="U5" s="3708" t="s">
        <v>3671</v>
      </c>
    </row>
    <row r="6" spans="1:21">
      <c r="A6" s="3708" t="s">
        <v>3669</v>
      </c>
      <c r="B6" s="3708" t="s">
        <v>3668</v>
      </c>
      <c r="C6" s="3708">
        <v>55570.2</v>
      </c>
      <c r="D6" s="3708">
        <v>122254.44</v>
      </c>
      <c r="E6" s="3708" t="s">
        <v>3663</v>
      </c>
      <c r="F6" s="3708" t="s">
        <v>3662</v>
      </c>
      <c r="G6" s="3708" t="s">
        <v>3667</v>
      </c>
      <c r="H6" s="3708" t="s">
        <v>3651</v>
      </c>
      <c r="I6" s="3708" t="s">
        <v>3660</v>
      </c>
      <c r="J6" s="3708" t="s">
        <v>3659</v>
      </c>
      <c r="K6" s="3708" t="s">
        <v>3659</v>
      </c>
      <c r="L6" s="3708" t="s">
        <v>3648</v>
      </c>
      <c r="M6" s="3708">
        <v>152000</v>
      </c>
      <c r="N6" s="3708">
        <v>31000</v>
      </c>
      <c r="O6" s="3708" t="s">
        <v>3657</v>
      </c>
      <c r="P6" s="3708">
        <v>152000</v>
      </c>
      <c r="Q6" s="3708">
        <v>12433</v>
      </c>
      <c r="R6" s="3708">
        <v>0</v>
      </c>
      <c r="S6" s="3708">
        <v>30000</v>
      </c>
      <c r="T6" s="3708">
        <v>30000</v>
      </c>
      <c r="U6" s="3708" t="s">
        <v>3666</v>
      </c>
    </row>
    <row r="7" spans="1:21" s="3217" customFormat="1">
      <c r="A7" s="3709" t="s">
        <v>3665</v>
      </c>
      <c r="B7" s="3709" t="s">
        <v>3664</v>
      </c>
      <c r="C7" s="3709">
        <v>9953.99</v>
      </c>
      <c r="D7" s="3709">
        <v>19907.98</v>
      </c>
      <c r="E7" s="3709" t="s">
        <v>3663</v>
      </c>
      <c r="F7" s="3709" t="s">
        <v>3662</v>
      </c>
      <c r="G7" s="3709" t="s">
        <v>3661</v>
      </c>
      <c r="H7" s="3709" t="s">
        <v>3651</v>
      </c>
      <c r="I7" s="3709" t="s">
        <v>3660</v>
      </c>
      <c r="J7" s="3709" t="s">
        <v>3659</v>
      </c>
      <c r="K7" s="3709" t="s">
        <v>3659</v>
      </c>
      <c r="L7" s="3709" t="s">
        <v>3648</v>
      </c>
      <c r="M7" s="3709">
        <v>18000</v>
      </c>
      <c r="N7" s="3709">
        <v>4000</v>
      </c>
      <c r="O7" s="3709" t="s">
        <v>3657</v>
      </c>
      <c r="P7" s="3709">
        <v>18000</v>
      </c>
      <c r="Q7" s="3709">
        <v>9042</v>
      </c>
      <c r="R7" s="3709">
        <v>0</v>
      </c>
      <c r="S7" s="3709">
        <v>31000</v>
      </c>
      <c r="T7" s="3709">
        <v>31000</v>
      </c>
      <c r="U7" s="3709" t="s">
        <v>3658</v>
      </c>
    </row>
    <row r="8" spans="1:21">
      <c r="A8" s="3708" t="s">
        <v>3656</v>
      </c>
      <c r="B8" s="3708" t="s">
        <v>3655</v>
      </c>
      <c r="C8" s="3708">
        <v>31793.74</v>
      </c>
      <c r="D8" s="3708">
        <v>76581.429999999993</v>
      </c>
      <c r="E8" s="3708" t="s">
        <v>3654</v>
      </c>
      <c r="F8" s="3708" t="s">
        <v>3653</v>
      </c>
      <c r="G8" s="3708" t="s">
        <v>3652</v>
      </c>
      <c r="H8" s="3708" t="s">
        <v>3651</v>
      </c>
      <c r="I8" s="3708" t="s">
        <v>3650</v>
      </c>
      <c r="J8" s="3708" t="s">
        <v>3649</v>
      </c>
      <c r="K8" s="3708" t="s">
        <v>3649</v>
      </c>
      <c r="L8" s="3708" t="s">
        <v>3648</v>
      </c>
      <c r="M8" s="3708">
        <v>80000</v>
      </c>
      <c r="N8" s="3708">
        <v>16000</v>
      </c>
      <c r="O8" s="3708" t="s">
        <v>3646</v>
      </c>
      <c r="P8" s="3708">
        <v>80000</v>
      </c>
      <c r="Q8" s="3708">
        <v>10446</v>
      </c>
      <c r="R8" s="3708">
        <v>0</v>
      </c>
      <c r="S8" s="3708">
        <v>32000</v>
      </c>
      <c r="T8" s="3708">
        <v>32000</v>
      </c>
      <c r="U8" s="3708" t="s">
        <v>3647</v>
      </c>
    </row>
    <row r="49" spans="1:1">
      <c r="A49" s="3219" t="s">
        <v>3692</v>
      </c>
    </row>
    <row r="101" spans="1:1">
      <c r="A101" s="3219" t="s">
        <v>3665</v>
      </c>
    </row>
    <row r="152" spans="1:1">
      <c r="A152" s="3219" t="s">
        <v>3688</v>
      </c>
    </row>
  </sheetData>
  <mergeCells count="168">
    <mergeCell ref="A8"/>
    <mergeCell ref="B8"/>
    <mergeCell ref="C8"/>
    <mergeCell ref="D8"/>
    <mergeCell ref="E8"/>
    <mergeCell ref="R8"/>
    <mergeCell ref="S8"/>
    <mergeCell ref="T8"/>
    <mergeCell ref="Q7"/>
    <mergeCell ref="R7"/>
    <mergeCell ref="S7"/>
    <mergeCell ref="T7"/>
    <mergeCell ref="Q8"/>
    <mergeCell ref="L8"/>
    <mergeCell ref="J7"/>
    <mergeCell ref="K7"/>
    <mergeCell ref="L7"/>
    <mergeCell ref="A7"/>
    <mergeCell ref="B7"/>
    <mergeCell ref="C7"/>
    <mergeCell ref="D7"/>
    <mergeCell ref="E7"/>
    <mergeCell ref="F7"/>
    <mergeCell ref="U8"/>
    <mergeCell ref="M8"/>
    <mergeCell ref="N8"/>
    <mergeCell ref="O8"/>
    <mergeCell ref="P8"/>
    <mergeCell ref="F8"/>
    <mergeCell ref="G8"/>
    <mergeCell ref="H8"/>
    <mergeCell ref="I8"/>
    <mergeCell ref="J8"/>
    <mergeCell ref="K8"/>
    <mergeCell ref="K4"/>
    <mergeCell ref="L6"/>
    <mergeCell ref="U7"/>
    <mergeCell ref="M7"/>
    <mergeCell ref="G7"/>
    <mergeCell ref="H7"/>
    <mergeCell ref="N7"/>
    <mergeCell ref="O7"/>
    <mergeCell ref="P7"/>
    <mergeCell ref="I7"/>
    <mergeCell ref="U6"/>
    <mergeCell ref="T6"/>
    <mergeCell ref="R6"/>
    <mergeCell ref="S6"/>
    <mergeCell ref="J6"/>
    <mergeCell ref="K6"/>
    <mergeCell ref="P6"/>
    <mergeCell ref="Q6"/>
    <mergeCell ref="F5"/>
    <mergeCell ref="G5"/>
    <mergeCell ref="H5"/>
    <mergeCell ref="I5"/>
    <mergeCell ref="J5"/>
    <mergeCell ref="K5"/>
    <mergeCell ref="A4"/>
    <mergeCell ref="G6"/>
    <mergeCell ref="H6"/>
    <mergeCell ref="I6"/>
    <mergeCell ref="A5"/>
    <mergeCell ref="B5"/>
    <mergeCell ref="C5"/>
    <mergeCell ref="D5"/>
    <mergeCell ref="E5"/>
    <mergeCell ref="B4"/>
    <mergeCell ref="C4"/>
    <mergeCell ref="D4"/>
    <mergeCell ref="E4"/>
    <mergeCell ref="F4"/>
    <mergeCell ref="G4"/>
    <mergeCell ref="H4"/>
    <mergeCell ref="I4"/>
    <mergeCell ref="J4"/>
    <mergeCell ref="A6"/>
    <mergeCell ref="B6"/>
    <mergeCell ref="C6"/>
    <mergeCell ref="D6"/>
    <mergeCell ref="E6"/>
    <mergeCell ref="F6"/>
    <mergeCell ref="M6"/>
    <mergeCell ref="N6"/>
    <mergeCell ref="O6"/>
    <mergeCell ref="S3"/>
    <mergeCell ref="Q3"/>
    <mergeCell ref="R3"/>
    <mergeCell ref="L5"/>
    <mergeCell ref="M5"/>
    <mergeCell ref="N5"/>
    <mergeCell ref="O5"/>
    <mergeCell ref="P5"/>
    <mergeCell ref="U4"/>
    <mergeCell ref="M4"/>
    <mergeCell ref="T3"/>
    <mergeCell ref="P4"/>
    <mergeCell ref="Q4"/>
    <mergeCell ref="R4"/>
    <mergeCell ref="U5"/>
    <mergeCell ref="T5"/>
    <mergeCell ref="S4"/>
    <mergeCell ref="T4"/>
    <mergeCell ref="N4"/>
    <mergeCell ref="O4"/>
    <mergeCell ref="L4"/>
    <mergeCell ref="Q5"/>
    <mergeCell ref="R5"/>
    <mergeCell ref="S5"/>
    <mergeCell ref="A2"/>
    <mergeCell ref="B2"/>
    <mergeCell ref="C2"/>
    <mergeCell ref="D2"/>
    <mergeCell ref="L3"/>
    <mergeCell ref="U3"/>
    <mergeCell ref="M3"/>
    <mergeCell ref="N3"/>
    <mergeCell ref="O3"/>
    <mergeCell ref="P3"/>
    <mergeCell ref="F3"/>
    <mergeCell ref="G3"/>
    <mergeCell ref="H3"/>
    <mergeCell ref="I3"/>
    <mergeCell ref="J3"/>
    <mergeCell ref="K3"/>
    <mergeCell ref="R2"/>
    <mergeCell ref="S2"/>
    <mergeCell ref="T2"/>
    <mergeCell ref="A3"/>
    <mergeCell ref="B3"/>
    <mergeCell ref="C3"/>
    <mergeCell ref="D3"/>
    <mergeCell ref="E3"/>
    <mergeCell ref="K2"/>
    <mergeCell ref="L2"/>
    <mergeCell ref="U2"/>
    <mergeCell ref="M2"/>
    <mergeCell ref="N2"/>
    <mergeCell ref="O2"/>
    <mergeCell ref="T1"/>
    <mergeCell ref="P1"/>
    <mergeCell ref="E2"/>
    <mergeCell ref="F2"/>
    <mergeCell ref="G2"/>
    <mergeCell ref="H2"/>
    <mergeCell ref="I2"/>
    <mergeCell ref="J2"/>
    <mergeCell ref="Q1"/>
    <mergeCell ref="R1"/>
    <mergeCell ref="S1"/>
    <mergeCell ref="P2"/>
    <mergeCell ref="Q2"/>
    <mergeCell ref="I1"/>
    <mergeCell ref="J1"/>
    <mergeCell ref="K1"/>
    <mergeCell ref="L1"/>
    <mergeCell ref="A1"/>
    <mergeCell ref="B1"/>
    <mergeCell ref="C1"/>
    <mergeCell ref="D1"/>
    <mergeCell ref="E1"/>
    <mergeCell ref="F1"/>
    <mergeCell ref="G1"/>
    <mergeCell ref="H1"/>
    <mergeCell ref="U1"/>
    <mergeCell ref="M1"/>
    <mergeCell ref="N1"/>
    <mergeCell ref="O1"/>
  </mergeCells>
  <phoneticPr fontId="1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F4" sqref="F4"/>
    </sheetView>
  </sheetViews>
  <sheetFormatPr defaultRowHeight="12"/>
  <cols>
    <col min="1" max="1" width="15" style="3318" bestFit="1" customWidth="1"/>
    <col min="2" max="2" width="6.375" style="3318" bestFit="1" customWidth="1"/>
    <col min="3" max="4" width="8" style="3318" bestFit="1" customWidth="1"/>
    <col min="5" max="5" width="11.5" style="3318" bestFit="1" customWidth="1"/>
    <col min="6" max="6" width="8" style="3318" bestFit="1" customWidth="1"/>
    <col min="7" max="7" width="13.375" style="3318" bestFit="1" customWidth="1"/>
    <col min="8" max="8" width="11.375" style="3318" bestFit="1" customWidth="1"/>
    <col min="9" max="9" width="15.125" style="3318" bestFit="1" customWidth="1"/>
    <col min="10" max="10" width="8" style="3318" bestFit="1" customWidth="1"/>
    <col min="11" max="11" width="11.5" style="3318" bestFit="1" customWidth="1"/>
    <col min="12" max="113" width="20" style="3318" customWidth="1"/>
    <col min="114" max="16384" width="9" style="3318"/>
  </cols>
  <sheetData>
    <row r="1" spans="1:11">
      <c r="A1" s="3711" t="s">
        <v>4840</v>
      </c>
      <c r="B1" s="3711"/>
      <c r="C1" s="3711"/>
      <c r="D1" s="3711"/>
      <c r="E1" s="3711"/>
      <c r="F1" s="3711"/>
      <c r="G1" s="3711"/>
      <c r="H1" s="3711"/>
      <c r="I1" s="3711"/>
      <c r="J1" s="3711"/>
      <c r="K1" s="3711"/>
    </row>
    <row r="2" spans="1:11">
      <c r="A2" s="3711" t="s">
        <v>3527</v>
      </c>
      <c r="B2" s="3711" t="s">
        <v>3528</v>
      </c>
      <c r="C2" s="3711" t="s">
        <v>3529</v>
      </c>
      <c r="D2" s="3711" t="s">
        <v>3530</v>
      </c>
      <c r="E2" s="3711" t="s">
        <v>3531</v>
      </c>
      <c r="F2" s="3711" t="s">
        <v>3532</v>
      </c>
      <c r="G2" s="3711" t="s">
        <v>3533</v>
      </c>
      <c r="H2" s="3711" t="s">
        <v>3642</v>
      </c>
      <c r="I2" s="3711" t="s">
        <v>3562</v>
      </c>
      <c r="J2" s="3711" t="s">
        <v>4841</v>
      </c>
      <c r="K2" s="3711" t="s">
        <v>3560</v>
      </c>
    </row>
    <row r="3" spans="1:11">
      <c r="A3" s="3318" t="s">
        <v>3534</v>
      </c>
      <c r="B3" s="3318" t="s">
        <v>3535</v>
      </c>
      <c r="C3" s="3318" t="s">
        <v>3535</v>
      </c>
      <c r="D3" s="3318">
        <v>313</v>
      </c>
      <c r="E3" s="3318">
        <v>40620</v>
      </c>
      <c r="F3" s="3318">
        <v>27902</v>
      </c>
      <c r="G3" s="3318">
        <v>113337</v>
      </c>
      <c r="H3" s="3318">
        <v>167</v>
      </c>
      <c r="I3" s="3318">
        <v>20115</v>
      </c>
      <c r="J3" s="3318">
        <v>595</v>
      </c>
      <c r="K3" s="3318">
        <v>65125</v>
      </c>
    </row>
    <row r="4" spans="1:11">
      <c r="A4" s="3319" t="s">
        <v>3536</v>
      </c>
      <c r="B4" s="3319" t="s">
        <v>3537</v>
      </c>
      <c r="C4" s="3319" t="s">
        <v>3538</v>
      </c>
      <c r="D4" s="3319">
        <v>99</v>
      </c>
      <c r="E4" s="3319">
        <v>11984</v>
      </c>
      <c r="F4" s="3319">
        <v>28388</v>
      </c>
      <c r="G4" s="3319">
        <v>34019.71</v>
      </c>
      <c r="H4" s="3319" t="s">
        <v>3535</v>
      </c>
      <c r="I4" s="3319" t="s">
        <v>3535</v>
      </c>
      <c r="J4" s="3319">
        <v>205</v>
      </c>
      <c r="K4" s="3319">
        <v>24820</v>
      </c>
    </row>
    <row r="5" spans="1:11">
      <c r="A5" s="3318" t="s">
        <v>3539</v>
      </c>
      <c r="B5" s="3318" t="s">
        <v>3537</v>
      </c>
      <c r="C5" s="3318" t="s">
        <v>3538</v>
      </c>
      <c r="D5" s="3318">
        <v>94</v>
      </c>
      <c r="E5" s="3318">
        <v>12280</v>
      </c>
      <c r="F5" s="3318">
        <v>24069</v>
      </c>
      <c r="G5" s="3318">
        <v>29555.87</v>
      </c>
      <c r="H5" s="3318" t="s">
        <v>3535</v>
      </c>
      <c r="I5" s="3318" t="s">
        <v>3535</v>
      </c>
      <c r="J5" s="3318">
        <v>57</v>
      </c>
      <c r="K5" s="3318">
        <v>6029</v>
      </c>
    </row>
    <row r="6" spans="1:11">
      <c r="A6" s="3320" t="s">
        <v>5296</v>
      </c>
      <c r="B6" s="3320" t="s">
        <v>3537</v>
      </c>
      <c r="C6" s="3320" t="s">
        <v>3538</v>
      </c>
      <c r="D6" s="3320">
        <v>49</v>
      </c>
      <c r="E6" s="3320">
        <v>5917</v>
      </c>
      <c r="F6" s="3320">
        <v>29319</v>
      </c>
      <c r="G6" s="3320">
        <v>17349.59</v>
      </c>
      <c r="H6" s="3320">
        <v>167</v>
      </c>
      <c r="I6" s="3320">
        <v>20115</v>
      </c>
      <c r="J6" s="3320">
        <v>127</v>
      </c>
      <c r="K6" s="3320">
        <v>15287</v>
      </c>
    </row>
    <row r="7" spans="1:11">
      <c r="A7" s="3320" t="s">
        <v>3540</v>
      </c>
      <c r="B7" s="3320" t="s">
        <v>3537</v>
      </c>
      <c r="C7" s="3320" t="s">
        <v>3538</v>
      </c>
      <c r="D7" s="3320">
        <v>49</v>
      </c>
      <c r="E7" s="3320">
        <v>7054</v>
      </c>
      <c r="F7" s="3320">
        <v>33090</v>
      </c>
      <c r="G7" s="3320">
        <v>23342.59</v>
      </c>
      <c r="H7" s="3320" t="s">
        <v>3535</v>
      </c>
      <c r="I7" s="3320" t="s">
        <v>3535</v>
      </c>
      <c r="J7" s="3320">
        <v>9</v>
      </c>
      <c r="K7" s="3320">
        <v>1247</v>
      </c>
    </row>
    <row r="8" spans="1:11">
      <c r="A8" s="3320" t="s">
        <v>3541</v>
      </c>
      <c r="B8" s="3320" t="s">
        <v>3537</v>
      </c>
      <c r="C8" s="3320" t="s">
        <v>3538</v>
      </c>
      <c r="D8" s="3320">
        <v>15</v>
      </c>
      <c r="E8" s="3320">
        <v>2727</v>
      </c>
      <c r="F8" s="3320">
        <v>27956</v>
      </c>
      <c r="G8" s="3320">
        <v>7623.9</v>
      </c>
      <c r="H8" s="3320" t="s">
        <v>3535</v>
      </c>
      <c r="I8" s="3320" t="s">
        <v>3535</v>
      </c>
      <c r="J8" s="3320">
        <v>7</v>
      </c>
      <c r="K8" s="3320">
        <v>1309</v>
      </c>
    </row>
    <row r="9" spans="1:11">
      <c r="A9" s="3318" t="s">
        <v>3542</v>
      </c>
      <c r="B9" s="3318" t="s">
        <v>3537</v>
      </c>
      <c r="C9" s="3318" t="s">
        <v>3543</v>
      </c>
      <c r="D9" s="3318">
        <v>6</v>
      </c>
      <c r="E9" s="3318">
        <v>582</v>
      </c>
      <c r="F9" s="3318">
        <v>23326</v>
      </c>
      <c r="G9" s="3318">
        <v>1356.67</v>
      </c>
      <c r="H9" s="3318" t="s">
        <v>3535</v>
      </c>
      <c r="I9" s="3318" t="s">
        <v>3535</v>
      </c>
      <c r="J9" s="3318" t="s">
        <v>3535</v>
      </c>
      <c r="K9" s="3318" t="s">
        <v>3535</v>
      </c>
    </row>
    <row r="10" spans="1:11">
      <c r="A10" s="3318" t="s">
        <v>4842</v>
      </c>
      <c r="B10" s="3318" t="s">
        <v>3537</v>
      </c>
      <c r="C10" s="3318" t="s">
        <v>3538</v>
      </c>
      <c r="D10" s="3318">
        <v>1</v>
      </c>
      <c r="E10" s="3318">
        <v>76</v>
      </c>
      <c r="F10" s="3318">
        <v>11700</v>
      </c>
      <c r="G10" s="3318">
        <v>88.67</v>
      </c>
      <c r="H10" s="3318" t="s">
        <v>3535</v>
      </c>
      <c r="I10" s="3318" t="s">
        <v>3535</v>
      </c>
      <c r="J10" s="3318">
        <v>1</v>
      </c>
      <c r="K10" s="3318">
        <v>76</v>
      </c>
    </row>
    <row r="11" spans="1:11">
      <c r="A11" s="3318" t="s">
        <v>3640</v>
      </c>
      <c r="B11" s="3318" t="s">
        <v>3537</v>
      </c>
      <c r="C11" s="3318" t="s">
        <v>3538</v>
      </c>
      <c r="D11" s="3318" t="s">
        <v>3535</v>
      </c>
      <c r="E11" s="3318" t="s">
        <v>3535</v>
      </c>
      <c r="F11" s="3318" t="s">
        <v>3535</v>
      </c>
      <c r="G11" s="3318" t="s">
        <v>3535</v>
      </c>
      <c r="H11" s="3318" t="s">
        <v>3535</v>
      </c>
      <c r="I11" s="3318" t="s">
        <v>3535</v>
      </c>
      <c r="J11" s="3318">
        <v>189</v>
      </c>
      <c r="K11" s="3318">
        <v>16357</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K16" sqref="K16"/>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1">
      <c r="A1" s="3712" t="s">
        <v>4852</v>
      </c>
      <c r="B1" s="3712"/>
      <c r="C1" s="3712"/>
      <c r="D1" s="3712"/>
      <c r="E1" s="3712"/>
      <c r="F1" s="3712"/>
      <c r="G1" s="3712"/>
      <c r="H1" s="3712"/>
      <c r="I1" s="3712"/>
      <c r="J1" s="3712"/>
      <c r="K1" s="3712"/>
    </row>
    <row r="2" spans="1:11">
      <c r="A2" s="3712" t="s">
        <v>3527</v>
      </c>
      <c r="B2" s="3712" t="s">
        <v>3528</v>
      </c>
      <c r="C2" s="3712" t="s">
        <v>3529</v>
      </c>
      <c r="D2" s="3712" t="s">
        <v>3530</v>
      </c>
      <c r="E2" s="3712" t="s">
        <v>3531</v>
      </c>
      <c r="F2" s="3712" t="s">
        <v>3532</v>
      </c>
      <c r="G2" s="3712" t="s">
        <v>3533</v>
      </c>
      <c r="H2" s="3712" t="s">
        <v>3642</v>
      </c>
      <c r="I2" s="3712" t="s">
        <v>3562</v>
      </c>
      <c r="J2" s="3712" t="s">
        <v>4841</v>
      </c>
      <c r="K2" s="3712" t="s">
        <v>3560</v>
      </c>
    </row>
    <row r="3" spans="1:11">
      <c r="A3" s="3321" t="s">
        <v>3534</v>
      </c>
      <c r="B3" s="3321" t="s">
        <v>3535</v>
      </c>
      <c r="C3" s="3321" t="s">
        <v>3535</v>
      </c>
      <c r="D3" s="3321">
        <v>1672</v>
      </c>
      <c r="E3" s="3321">
        <v>30142</v>
      </c>
      <c r="F3" s="3321">
        <v>1046</v>
      </c>
      <c r="G3" s="3321">
        <v>3152.45</v>
      </c>
      <c r="H3" s="3321">
        <v>224</v>
      </c>
      <c r="I3" s="3321">
        <v>4827</v>
      </c>
      <c r="J3" s="3321">
        <v>2606</v>
      </c>
      <c r="K3" s="3321">
        <v>51860</v>
      </c>
    </row>
    <row r="4" spans="1:11">
      <c r="A4" s="3321" t="s">
        <v>3542</v>
      </c>
      <c r="B4" s="3321" t="s">
        <v>3537</v>
      </c>
      <c r="C4" s="3321" t="s">
        <v>3543</v>
      </c>
      <c r="D4" s="3321">
        <v>1455</v>
      </c>
      <c r="E4" s="3321">
        <v>26013</v>
      </c>
      <c r="F4" s="3321">
        <v>499</v>
      </c>
      <c r="G4" s="3321">
        <v>1298.1500000000001</v>
      </c>
      <c r="H4" s="3321" t="s">
        <v>3535</v>
      </c>
      <c r="I4" s="3321" t="s">
        <v>3535</v>
      </c>
      <c r="J4" s="3321">
        <v>383</v>
      </c>
      <c r="K4" s="3321">
        <v>8798</v>
      </c>
    </row>
    <row r="5" spans="1:11">
      <c r="A5" s="3322" t="s">
        <v>3641</v>
      </c>
      <c r="B5" s="3322" t="s">
        <v>3537</v>
      </c>
      <c r="C5" s="3322" t="s">
        <v>3538</v>
      </c>
      <c r="D5" s="3322">
        <v>103</v>
      </c>
      <c r="E5" s="3322">
        <v>1964</v>
      </c>
      <c r="F5" s="3322">
        <v>4242</v>
      </c>
      <c r="G5" s="3322">
        <v>833.31</v>
      </c>
      <c r="H5" s="3322" t="s">
        <v>3535</v>
      </c>
      <c r="I5" s="3322" t="s">
        <v>3535</v>
      </c>
      <c r="J5" s="3322">
        <v>866</v>
      </c>
      <c r="K5" s="3322">
        <v>16525</v>
      </c>
    </row>
    <row r="6" spans="1:11">
      <c r="A6" s="3322" t="s">
        <v>3539</v>
      </c>
      <c r="B6" s="3322" t="s">
        <v>3537</v>
      </c>
      <c r="C6" s="3322" t="s">
        <v>3538</v>
      </c>
      <c r="D6" s="3322">
        <v>85</v>
      </c>
      <c r="E6" s="3322">
        <v>1663</v>
      </c>
      <c r="F6" s="3322">
        <v>5001</v>
      </c>
      <c r="G6" s="3322">
        <v>831.59</v>
      </c>
      <c r="H6" s="3322">
        <v>224</v>
      </c>
      <c r="I6" s="3322">
        <v>4827</v>
      </c>
      <c r="J6" s="3322">
        <v>144</v>
      </c>
      <c r="K6" s="3322">
        <v>3429</v>
      </c>
    </row>
    <row r="7" spans="1:11">
      <c r="A7" s="3321" t="s">
        <v>3640</v>
      </c>
      <c r="B7" s="3321" t="s">
        <v>3537</v>
      </c>
      <c r="C7" s="3321" t="s">
        <v>3538</v>
      </c>
      <c r="D7" s="3321">
        <v>23</v>
      </c>
      <c r="E7" s="3321">
        <v>390</v>
      </c>
      <c r="F7" s="3321">
        <v>3205</v>
      </c>
      <c r="G7" s="3321">
        <v>124.84</v>
      </c>
      <c r="H7" s="3321" t="s">
        <v>3535</v>
      </c>
      <c r="I7" s="3321" t="s">
        <v>3535</v>
      </c>
      <c r="J7" s="3321">
        <v>1099</v>
      </c>
      <c r="K7" s="3321">
        <v>18566</v>
      </c>
    </row>
    <row r="8" spans="1:11">
      <c r="A8" s="3322" t="s">
        <v>3540</v>
      </c>
      <c r="B8" s="3322" t="s">
        <v>3537</v>
      </c>
      <c r="C8" s="3322" t="s">
        <v>3538</v>
      </c>
      <c r="D8" s="3322">
        <v>5</v>
      </c>
      <c r="E8" s="3322">
        <v>82</v>
      </c>
      <c r="F8" s="3322">
        <v>6941</v>
      </c>
      <c r="G8" s="3322">
        <v>57.24</v>
      </c>
      <c r="H8" s="3322" t="s">
        <v>3535</v>
      </c>
      <c r="I8" s="3322" t="s">
        <v>3535</v>
      </c>
      <c r="J8" s="3322" t="s">
        <v>3535</v>
      </c>
      <c r="K8" s="3322" t="s">
        <v>3535</v>
      </c>
    </row>
    <row r="9" spans="1:11">
      <c r="A9" s="3321" t="s">
        <v>3639</v>
      </c>
      <c r="B9" s="3321" t="s">
        <v>3537</v>
      </c>
      <c r="C9" s="3321" t="s">
        <v>3638</v>
      </c>
      <c r="D9" s="3321">
        <v>1</v>
      </c>
      <c r="E9" s="3321">
        <v>29</v>
      </c>
      <c r="F9" s="3321">
        <v>2500</v>
      </c>
      <c r="G9" s="3321">
        <v>7.32</v>
      </c>
      <c r="H9" s="3321" t="s">
        <v>3535</v>
      </c>
      <c r="I9" s="3321" t="s">
        <v>3535</v>
      </c>
      <c r="J9" s="3321" t="s">
        <v>3535</v>
      </c>
      <c r="K9" s="3321" t="s">
        <v>3535</v>
      </c>
    </row>
    <row r="10" spans="1:11">
      <c r="A10" s="3321" t="s">
        <v>3541</v>
      </c>
      <c r="B10" s="3321" t="s">
        <v>3537</v>
      </c>
      <c r="C10" s="3321" t="s">
        <v>3538</v>
      </c>
      <c r="D10" s="3321" t="s">
        <v>3535</v>
      </c>
      <c r="E10" s="3321" t="s">
        <v>3535</v>
      </c>
      <c r="F10" s="3321" t="s">
        <v>3535</v>
      </c>
      <c r="G10" s="3321" t="s">
        <v>3535</v>
      </c>
      <c r="H10" s="3321" t="s">
        <v>3535</v>
      </c>
      <c r="I10" s="3321" t="s">
        <v>3535</v>
      </c>
      <c r="J10" s="3321">
        <v>76</v>
      </c>
      <c r="K10" s="3321">
        <v>1840</v>
      </c>
    </row>
    <row r="11" spans="1:11">
      <c r="A11" s="3321" t="s">
        <v>4851</v>
      </c>
      <c r="B11" s="3321" t="s">
        <v>3537</v>
      </c>
      <c r="C11" s="3321" t="s">
        <v>3538</v>
      </c>
      <c r="D11" s="3321" t="s">
        <v>3535</v>
      </c>
      <c r="E11" s="3321" t="s">
        <v>3535</v>
      </c>
      <c r="F11" s="3321" t="s">
        <v>3535</v>
      </c>
      <c r="G11" s="3321" t="s">
        <v>3535</v>
      </c>
      <c r="H11" s="3321" t="s">
        <v>3535</v>
      </c>
      <c r="I11" s="3321" t="s">
        <v>3535</v>
      </c>
      <c r="J11" s="3321">
        <v>38</v>
      </c>
      <c r="K11" s="3321">
        <v>2701</v>
      </c>
    </row>
    <row r="14" spans="1:11">
      <c r="A14" s="3324" t="s">
        <v>3641</v>
      </c>
    </row>
    <row r="15" spans="1:11">
      <c r="A15" s="3323" t="s">
        <v>3566</v>
      </c>
      <c r="B15" s="3323" t="s">
        <v>3565</v>
      </c>
      <c r="C15" s="3323" t="s">
        <v>3531</v>
      </c>
      <c r="D15" s="3323" t="s">
        <v>3564</v>
      </c>
      <c r="E15" s="3323" t="s">
        <v>3533</v>
      </c>
      <c r="F15" s="3323" t="s">
        <v>3561</v>
      </c>
      <c r="G15" s="3323" t="s">
        <v>3560</v>
      </c>
    </row>
    <row r="16" spans="1:11">
      <c r="A16" s="3323" t="s">
        <v>3559</v>
      </c>
      <c r="B16" s="3323">
        <v>103</v>
      </c>
      <c r="C16" s="3323">
        <v>1964</v>
      </c>
      <c r="D16" s="3323">
        <v>4242</v>
      </c>
      <c r="E16" s="3323">
        <v>833.31</v>
      </c>
      <c r="F16" s="3323" t="s">
        <v>3535</v>
      </c>
      <c r="G16" s="3323" t="s">
        <v>3535</v>
      </c>
    </row>
    <row r="17" spans="1:9">
      <c r="A17" s="3323" t="s">
        <v>4843</v>
      </c>
      <c r="B17" s="3323">
        <v>5</v>
      </c>
      <c r="C17" s="3323">
        <v>72</v>
      </c>
      <c r="D17" s="3323">
        <v>5442</v>
      </c>
      <c r="E17" s="3323">
        <v>39.11</v>
      </c>
      <c r="F17" s="3323" t="s">
        <v>3535</v>
      </c>
      <c r="G17" s="3323" t="s">
        <v>3535</v>
      </c>
    </row>
    <row r="18" spans="1:9">
      <c r="A18" s="3323" t="s">
        <v>3624</v>
      </c>
      <c r="B18" s="3323" t="s">
        <v>3535</v>
      </c>
      <c r="C18" s="3323" t="s">
        <v>3535</v>
      </c>
      <c r="D18" s="3323" t="s">
        <v>3535</v>
      </c>
      <c r="E18" s="3323" t="s">
        <v>3535</v>
      </c>
      <c r="F18" s="3323">
        <v>866</v>
      </c>
      <c r="G18" s="3323">
        <v>16525</v>
      </c>
    </row>
    <row r="19" spans="1:9">
      <c r="A19" s="3323" t="s">
        <v>3558</v>
      </c>
      <c r="B19" s="3323">
        <v>68</v>
      </c>
      <c r="C19" s="3323">
        <v>1208</v>
      </c>
      <c r="D19" s="3323">
        <v>5442</v>
      </c>
      <c r="E19" s="3323">
        <v>657.28</v>
      </c>
      <c r="F19" s="3323" t="s">
        <v>3535</v>
      </c>
      <c r="G19" s="3323" t="s">
        <v>3535</v>
      </c>
    </row>
    <row r="20" spans="1:9">
      <c r="A20" s="3323" t="s">
        <v>3556</v>
      </c>
      <c r="B20" s="3323">
        <v>30</v>
      </c>
      <c r="C20" s="3323">
        <v>685</v>
      </c>
      <c r="D20" s="3323">
        <v>2000</v>
      </c>
      <c r="E20" s="3323">
        <v>136.91999999999999</v>
      </c>
      <c r="F20" s="3323" t="s">
        <v>3535</v>
      </c>
      <c r="G20" s="3323" t="s">
        <v>3535</v>
      </c>
    </row>
    <row r="22" spans="1:9">
      <c r="A22" s="3322" t="s">
        <v>3539</v>
      </c>
    </row>
    <row r="23" spans="1:9">
      <c r="A23" s="3323" t="s">
        <v>3566</v>
      </c>
      <c r="B23" s="3323" t="s">
        <v>3565</v>
      </c>
      <c r="C23" s="3323" t="s">
        <v>3531</v>
      </c>
      <c r="D23" s="3323" t="s">
        <v>3564</v>
      </c>
      <c r="E23" s="3323" t="s">
        <v>3533</v>
      </c>
      <c r="F23" s="3323" t="s">
        <v>3563</v>
      </c>
      <c r="G23" s="3323" t="s">
        <v>3562</v>
      </c>
      <c r="H23" s="3323" t="s">
        <v>3561</v>
      </c>
      <c r="I23" s="3323" t="s">
        <v>3560</v>
      </c>
    </row>
    <row r="24" spans="1:9">
      <c r="A24" s="3323" t="s">
        <v>3559</v>
      </c>
      <c r="B24" s="3323">
        <v>116</v>
      </c>
      <c r="C24" s="3323">
        <v>2679</v>
      </c>
      <c r="D24" s="3323">
        <v>5160</v>
      </c>
      <c r="E24" s="3323">
        <v>1382.7</v>
      </c>
      <c r="F24" s="3323">
        <v>224</v>
      </c>
      <c r="G24" s="3323">
        <v>4827</v>
      </c>
      <c r="H24" s="3323" t="s">
        <v>3535</v>
      </c>
      <c r="I24" s="3323" t="s">
        <v>3535</v>
      </c>
    </row>
    <row r="25" spans="1:9">
      <c r="A25" s="3323" t="s">
        <v>4843</v>
      </c>
      <c r="B25" s="3323">
        <v>2</v>
      </c>
      <c r="C25" s="3323">
        <v>60</v>
      </c>
      <c r="D25" s="3323">
        <v>4460</v>
      </c>
      <c r="E25" s="3323">
        <v>26.57</v>
      </c>
      <c r="F25" s="3323" t="s">
        <v>3535</v>
      </c>
      <c r="G25" s="3323" t="s">
        <v>3535</v>
      </c>
      <c r="H25" s="3323" t="s">
        <v>3535</v>
      </c>
      <c r="I25" s="3323" t="s">
        <v>3535</v>
      </c>
    </row>
    <row r="26" spans="1:9">
      <c r="A26" s="3323" t="s">
        <v>3624</v>
      </c>
      <c r="B26" s="3323">
        <v>4</v>
      </c>
      <c r="C26" s="3323">
        <v>80</v>
      </c>
      <c r="D26" s="3323">
        <v>4460</v>
      </c>
      <c r="E26" s="3323">
        <v>35.54</v>
      </c>
      <c r="F26" s="3323" t="s">
        <v>3535</v>
      </c>
      <c r="G26" s="3323" t="s">
        <v>3535</v>
      </c>
      <c r="H26" s="3323">
        <v>144</v>
      </c>
      <c r="I26" s="3323">
        <v>3429</v>
      </c>
    </row>
    <row r="27" spans="1:9">
      <c r="A27" s="3323" t="s">
        <v>3558</v>
      </c>
      <c r="B27" s="3323">
        <v>1</v>
      </c>
      <c r="C27" s="3323">
        <v>39</v>
      </c>
      <c r="D27" s="3323">
        <v>4460</v>
      </c>
      <c r="E27" s="3323">
        <v>17.510000000000002</v>
      </c>
      <c r="F27" s="3323" t="s">
        <v>3535</v>
      </c>
      <c r="G27" s="3323" t="s">
        <v>3535</v>
      </c>
      <c r="H27" s="3323" t="s">
        <v>3535</v>
      </c>
      <c r="I27" s="3323" t="s">
        <v>3535</v>
      </c>
    </row>
    <row r="28" spans="1:9">
      <c r="A28" s="3323" t="s">
        <v>3557</v>
      </c>
      <c r="B28" s="3323">
        <v>5</v>
      </c>
      <c r="C28" s="3323">
        <v>95</v>
      </c>
      <c r="D28" s="3323">
        <v>3661</v>
      </c>
      <c r="E28" s="3323">
        <v>34.6</v>
      </c>
      <c r="F28" s="3323" t="s">
        <v>3535</v>
      </c>
      <c r="G28" s="3323" t="s">
        <v>3535</v>
      </c>
      <c r="H28" s="3323" t="s">
        <v>3535</v>
      </c>
      <c r="I28" s="3323" t="s">
        <v>3535</v>
      </c>
    </row>
    <row r="29" spans="1:9">
      <c r="A29" s="3323" t="s">
        <v>3556</v>
      </c>
      <c r="B29" s="3323">
        <v>9</v>
      </c>
      <c r="C29" s="3323">
        <v>212</v>
      </c>
      <c r="D29" s="3323">
        <v>4005</v>
      </c>
      <c r="E29" s="3323">
        <v>84.94</v>
      </c>
      <c r="F29" s="3323" t="s">
        <v>3535</v>
      </c>
      <c r="G29" s="3323" t="s">
        <v>3535</v>
      </c>
      <c r="H29" s="3323" t="s">
        <v>3535</v>
      </c>
      <c r="I29" s="3323" t="s">
        <v>3535</v>
      </c>
    </row>
    <row r="30" spans="1:9">
      <c r="A30" s="3323" t="s">
        <v>3555</v>
      </c>
      <c r="B30" s="3323">
        <v>18</v>
      </c>
      <c r="C30" s="3323">
        <v>456</v>
      </c>
      <c r="D30" s="3323">
        <v>4567</v>
      </c>
      <c r="E30" s="3323">
        <v>208.47</v>
      </c>
      <c r="F30" s="3323" t="s">
        <v>3535</v>
      </c>
      <c r="G30" s="3323" t="s">
        <v>3535</v>
      </c>
      <c r="H30" s="3323" t="s">
        <v>3535</v>
      </c>
      <c r="I30" s="3323" t="s">
        <v>3535</v>
      </c>
    </row>
    <row r="31" spans="1:9">
      <c r="A31" s="3323" t="s">
        <v>3554</v>
      </c>
      <c r="B31" s="3323">
        <v>43</v>
      </c>
      <c r="C31" s="3323">
        <v>605</v>
      </c>
      <c r="D31" s="3323">
        <v>5973</v>
      </c>
      <c r="E31" s="3323">
        <v>361.53</v>
      </c>
      <c r="F31" s="3323" t="s">
        <v>3535</v>
      </c>
      <c r="G31" s="3323" t="s">
        <v>3535</v>
      </c>
      <c r="H31" s="3323" t="s">
        <v>3535</v>
      </c>
      <c r="I31" s="3323" t="s">
        <v>3535</v>
      </c>
    </row>
    <row r="32" spans="1:9">
      <c r="A32" s="3323" t="s">
        <v>3553</v>
      </c>
      <c r="B32" s="3323">
        <v>1</v>
      </c>
      <c r="C32" s="3323">
        <v>32</v>
      </c>
      <c r="D32" s="3323">
        <v>6764</v>
      </c>
      <c r="E32" s="3323">
        <v>21.5</v>
      </c>
      <c r="F32" s="3323">
        <v>224</v>
      </c>
      <c r="G32" s="3323">
        <v>4827</v>
      </c>
      <c r="H32" s="3323" t="s">
        <v>3535</v>
      </c>
      <c r="I32" s="3323" t="s">
        <v>3535</v>
      </c>
    </row>
    <row r="33" spans="1:9">
      <c r="A33" s="3323" t="s">
        <v>3551</v>
      </c>
      <c r="B33" s="3323">
        <v>1</v>
      </c>
      <c r="C33" s="3323">
        <v>34</v>
      </c>
      <c r="D33" s="3323">
        <v>6764</v>
      </c>
      <c r="E33" s="3323">
        <v>23.02</v>
      </c>
      <c r="F33" s="3323" t="s">
        <v>3535</v>
      </c>
      <c r="G33" s="3323" t="s">
        <v>3535</v>
      </c>
      <c r="H33" s="3323" t="s">
        <v>3535</v>
      </c>
      <c r="I33" s="3323" t="s">
        <v>3535</v>
      </c>
    </row>
    <row r="34" spans="1:9">
      <c r="A34" s="3323" t="s">
        <v>3549</v>
      </c>
      <c r="B34" s="3323">
        <v>1</v>
      </c>
      <c r="C34" s="3323">
        <v>50</v>
      </c>
      <c r="D34" s="3323">
        <v>3562</v>
      </c>
      <c r="E34" s="3323">
        <v>17.899999999999999</v>
      </c>
      <c r="F34" s="3323" t="s">
        <v>3535</v>
      </c>
      <c r="G34" s="3323" t="s">
        <v>3535</v>
      </c>
      <c r="H34" s="3323" t="s">
        <v>3535</v>
      </c>
      <c r="I34" s="3323" t="s">
        <v>3535</v>
      </c>
    </row>
    <row r="35" spans="1:9">
      <c r="A35" s="3323" t="s">
        <v>3548</v>
      </c>
      <c r="B35" s="3323">
        <v>1</v>
      </c>
      <c r="C35" s="3323">
        <v>50</v>
      </c>
      <c r="D35" s="3323">
        <v>6426</v>
      </c>
      <c r="E35" s="3323">
        <v>32.22</v>
      </c>
      <c r="F35" s="3323" t="s">
        <v>3535</v>
      </c>
      <c r="G35" s="3323" t="s">
        <v>3535</v>
      </c>
      <c r="H35" s="3323" t="s">
        <v>3535</v>
      </c>
      <c r="I35" s="3323" t="s">
        <v>3535</v>
      </c>
    </row>
    <row r="36" spans="1:9">
      <c r="A36" s="3323" t="s">
        <v>3545</v>
      </c>
      <c r="B36" s="3323">
        <v>1</v>
      </c>
      <c r="C36" s="3323">
        <v>36</v>
      </c>
      <c r="D36" s="3323">
        <v>3749</v>
      </c>
      <c r="E36" s="3323">
        <v>13.31</v>
      </c>
      <c r="F36" s="3323" t="s">
        <v>3535</v>
      </c>
      <c r="G36" s="3323" t="s">
        <v>3535</v>
      </c>
      <c r="H36" s="3323" t="s">
        <v>3535</v>
      </c>
      <c r="I36" s="3323" t="s">
        <v>3535</v>
      </c>
    </row>
    <row r="37" spans="1:9">
      <c r="A37" s="3323" t="s">
        <v>3544</v>
      </c>
      <c r="B37" s="3323">
        <v>1</v>
      </c>
      <c r="C37" s="3323">
        <v>31</v>
      </c>
      <c r="D37" s="3323">
        <v>7328</v>
      </c>
      <c r="E37" s="3323">
        <v>22.42</v>
      </c>
      <c r="F37" s="3323" t="s">
        <v>3535</v>
      </c>
      <c r="G37" s="3323" t="s">
        <v>3535</v>
      </c>
      <c r="H37" s="3323" t="s">
        <v>3535</v>
      </c>
      <c r="I37" s="3323" t="s">
        <v>3535</v>
      </c>
    </row>
    <row r="38" spans="1:9">
      <c r="A38" s="3323" t="s">
        <v>3621</v>
      </c>
      <c r="B38" s="3323">
        <v>1</v>
      </c>
      <c r="C38" s="3323">
        <v>54</v>
      </c>
      <c r="D38" s="3323">
        <v>4458</v>
      </c>
      <c r="E38" s="3323">
        <v>24</v>
      </c>
      <c r="F38" s="3323" t="s">
        <v>3535</v>
      </c>
      <c r="G38" s="3323" t="s">
        <v>3535</v>
      </c>
      <c r="H38" s="3323" t="s">
        <v>3535</v>
      </c>
      <c r="I38" s="3323" t="s">
        <v>3535</v>
      </c>
    </row>
    <row r="39" spans="1:9">
      <c r="A39" s="3323" t="s">
        <v>3620</v>
      </c>
      <c r="B39" s="3323">
        <v>1</v>
      </c>
      <c r="C39" s="3323">
        <v>30</v>
      </c>
      <c r="D39" s="3323">
        <v>5304</v>
      </c>
      <c r="E39" s="3323">
        <v>15.93</v>
      </c>
      <c r="F39" s="3323" t="s">
        <v>3535</v>
      </c>
      <c r="G39" s="3323" t="s">
        <v>3535</v>
      </c>
      <c r="H39" s="3323" t="s">
        <v>3535</v>
      </c>
      <c r="I39" s="3323" t="s">
        <v>3535</v>
      </c>
    </row>
    <row r="40" spans="1:9">
      <c r="A40" s="3323" t="s">
        <v>3617</v>
      </c>
      <c r="B40" s="3323">
        <v>3</v>
      </c>
      <c r="C40" s="3323">
        <v>74</v>
      </c>
      <c r="D40" s="3323">
        <v>5421</v>
      </c>
      <c r="E40" s="3323">
        <v>39.97</v>
      </c>
      <c r="F40" s="3323" t="s">
        <v>3535</v>
      </c>
      <c r="G40" s="3323" t="s">
        <v>3535</v>
      </c>
      <c r="H40" s="3323" t="s">
        <v>3535</v>
      </c>
      <c r="I40" s="3323" t="s">
        <v>3535</v>
      </c>
    </row>
    <row r="41" spans="1:9">
      <c r="A41" s="3323" t="s">
        <v>3616</v>
      </c>
      <c r="B41" s="3323">
        <v>1</v>
      </c>
      <c r="C41" s="3323">
        <v>36</v>
      </c>
      <c r="D41" s="3323">
        <v>6764</v>
      </c>
      <c r="E41" s="3323">
        <v>24.02</v>
      </c>
      <c r="F41" s="3323" t="s">
        <v>3535</v>
      </c>
      <c r="G41" s="3323" t="s">
        <v>3535</v>
      </c>
      <c r="H41" s="3323" t="s">
        <v>3535</v>
      </c>
      <c r="I41" s="3323" t="s">
        <v>3535</v>
      </c>
    </row>
    <row r="42" spans="1:9">
      <c r="A42" s="3323" t="s">
        <v>3609</v>
      </c>
      <c r="B42" s="3323">
        <v>7</v>
      </c>
      <c r="C42" s="3323">
        <v>229</v>
      </c>
      <c r="D42" s="3323">
        <v>5432</v>
      </c>
      <c r="E42" s="3323">
        <v>124.4</v>
      </c>
      <c r="F42" s="3323" t="s">
        <v>3535</v>
      </c>
      <c r="G42" s="3323" t="s">
        <v>3535</v>
      </c>
      <c r="H42" s="3323" t="s">
        <v>3535</v>
      </c>
      <c r="I42" s="3323" t="s">
        <v>3535</v>
      </c>
    </row>
    <row r="43" spans="1:9">
      <c r="A43" s="3323" t="s">
        <v>3608</v>
      </c>
      <c r="B43" s="3323">
        <v>2</v>
      </c>
      <c r="C43" s="3323">
        <v>67</v>
      </c>
      <c r="D43" s="3323">
        <v>6240</v>
      </c>
      <c r="E43" s="3323">
        <v>42.11</v>
      </c>
      <c r="F43" s="3323" t="s">
        <v>3535</v>
      </c>
      <c r="G43" s="3323" t="s">
        <v>3535</v>
      </c>
      <c r="H43" s="3323" t="s">
        <v>3535</v>
      </c>
      <c r="I43" s="3323" t="s">
        <v>3535</v>
      </c>
    </row>
    <row r="44" spans="1:9">
      <c r="A44" s="3323" t="s">
        <v>3607</v>
      </c>
      <c r="B44" s="3323">
        <v>6</v>
      </c>
      <c r="C44" s="3323">
        <v>197</v>
      </c>
      <c r="D44" s="3323">
        <v>4820</v>
      </c>
      <c r="E44" s="3323">
        <v>95.03</v>
      </c>
      <c r="F44" s="3323" t="s">
        <v>3535</v>
      </c>
      <c r="G44" s="3323" t="s">
        <v>3535</v>
      </c>
      <c r="H44" s="3323" t="s">
        <v>3535</v>
      </c>
      <c r="I44" s="3323" t="s">
        <v>3535</v>
      </c>
    </row>
    <row r="45" spans="1:9">
      <c r="A45" s="3323" t="s">
        <v>3606</v>
      </c>
      <c r="B45" s="3323">
        <v>4</v>
      </c>
      <c r="C45" s="3323">
        <v>110</v>
      </c>
      <c r="D45" s="3323">
        <v>5526</v>
      </c>
      <c r="E45" s="3323">
        <v>60.89</v>
      </c>
      <c r="F45" s="3323" t="s">
        <v>3535</v>
      </c>
      <c r="G45" s="3323" t="s">
        <v>3535</v>
      </c>
      <c r="H45" s="3323" t="s">
        <v>3535</v>
      </c>
      <c r="I45" s="3323" t="s">
        <v>3535</v>
      </c>
    </row>
    <row r="46" spans="1:9">
      <c r="A46" s="3323" t="s">
        <v>3604</v>
      </c>
      <c r="B46" s="3323">
        <v>3</v>
      </c>
      <c r="C46" s="3323">
        <v>103</v>
      </c>
      <c r="D46" s="3323">
        <v>5503</v>
      </c>
      <c r="E46" s="3323">
        <v>56.8</v>
      </c>
      <c r="F46" s="3323" t="s">
        <v>3535</v>
      </c>
      <c r="G46" s="3323" t="s">
        <v>3535</v>
      </c>
      <c r="H46" s="3323" t="s">
        <v>3535</v>
      </c>
      <c r="I46" s="3323" t="s">
        <v>3535</v>
      </c>
    </row>
    <row r="48" spans="1:9">
      <c r="A48" s="3322" t="s">
        <v>3540</v>
      </c>
    </row>
    <row r="49" spans="1:7">
      <c r="A49" s="3323" t="s">
        <v>3566</v>
      </c>
      <c r="B49" s="3323" t="s">
        <v>3565</v>
      </c>
      <c r="C49" s="3323" t="s">
        <v>3531</v>
      </c>
      <c r="D49" s="3323" t="s">
        <v>3564</v>
      </c>
      <c r="E49" s="3323" t="s">
        <v>3533</v>
      </c>
      <c r="F49" s="3323" t="s">
        <v>3563</v>
      </c>
      <c r="G49" s="3323" t="s">
        <v>3562</v>
      </c>
    </row>
    <row r="50" spans="1:7">
      <c r="A50" s="3323" t="s">
        <v>3559</v>
      </c>
      <c r="B50" s="3323">
        <v>58</v>
      </c>
      <c r="C50" s="3323">
        <v>741</v>
      </c>
      <c r="D50" s="3323">
        <v>6970</v>
      </c>
      <c r="E50" s="3323">
        <v>516.54</v>
      </c>
      <c r="F50" s="3323">
        <v>58</v>
      </c>
      <c r="G50" s="3323">
        <v>722</v>
      </c>
    </row>
    <row r="51" spans="1:7">
      <c r="A51" s="3323" t="s">
        <v>3556</v>
      </c>
      <c r="B51" s="3323">
        <v>2</v>
      </c>
      <c r="C51" s="3323">
        <v>20</v>
      </c>
      <c r="D51" s="3323">
        <v>6500</v>
      </c>
      <c r="E51" s="3323">
        <v>13.18</v>
      </c>
      <c r="F51" s="3323" t="s">
        <v>3535</v>
      </c>
      <c r="G51" s="3323" t="s">
        <v>3535</v>
      </c>
    </row>
    <row r="52" spans="1:7">
      <c r="A52" s="3323" t="s">
        <v>3555</v>
      </c>
      <c r="B52" s="3323">
        <v>1</v>
      </c>
      <c r="C52" s="3323">
        <v>21</v>
      </c>
      <c r="D52" s="3323">
        <v>6000</v>
      </c>
      <c r="E52" s="3323">
        <v>12.46</v>
      </c>
      <c r="F52" s="3323" t="s">
        <v>3535</v>
      </c>
      <c r="G52" s="3323" t="s">
        <v>3535</v>
      </c>
    </row>
    <row r="53" spans="1:7">
      <c r="A53" s="3323" t="s">
        <v>3552</v>
      </c>
      <c r="B53" s="3323">
        <v>2</v>
      </c>
      <c r="C53" s="3323">
        <v>41</v>
      </c>
      <c r="D53" s="3323">
        <v>7629</v>
      </c>
      <c r="E53" s="3323">
        <v>31.6</v>
      </c>
      <c r="F53" s="3323" t="s">
        <v>3535</v>
      </c>
      <c r="G53" s="3323" t="s">
        <v>3535</v>
      </c>
    </row>
    <row r="54" spans="1:7">
      <c r="A54" s="3323" t="s">
        <v>3548</v>
      </c>
      <c r="B54" s="3323">
        <v>5</v>
      </c>
      <c r="C54" s="3323">
        <v>65</v>
      </c>
      <c r="D54" s="3323">
        <v>6426</v>
      </c>
      <c r="E54" s="3323">
        <v>41.53</v>
      </c>
      <c r="F54" s="3323" t="s">
        <v>3535</v>
      </c>
      <c r="G54" s="3323" t="s">
        <v>3535</v>
      </c>
    </row>
    <row r="55" spans="1:7">
      <c r="A55" s="3323" t="s">
        <v>3546</v>
      </c>
      <c r="B55" s="3323">
        <v>1</v>
      </c>
      <c r="C55" s="3323">
        <v>13</v>
      </c>
      <c r="D55" s="3323">
        <v>6000</v>
      </c>
      <c r="E55" s="3323">
        <v>7.59</v>
      </c>
      <c r="F55" s="3323" t="s">
        <v>3535</v>
      </c>
      <c r="G55" s="3323" t="s">
        <v>3535</v>
      </c>
    </row>
    <row r="56" spans="1:7">
      <c r="A56" s="3323" t="s">
        <v>3545</v>
      </c>
      <c r="B56" s="3323">
        <v>1</v>
      </c>
      <c r="C56" s="3323">
        <v>21</v>
      </c>
      <c r="D56" s="3323">
        <v>7000</v>
      </c>
      <c r="E56" s="3323">
        <v>14.71</v>
      </c>
      <c r="F56" s="3323" t="s">
        <v>3535</v>
      </c>
      <c r="G56" s="3323" t="s">
        <v>3535</v>
      </c>
    </row>
    <row r="57" spans="1:7">
      <c r="A57" s="3323" t="s">
        <v>3622</v>
      </c>
      <c r="B57" s="3323">
        <v>46</v>
      </c>
      <c r="C57" s="3323">
        <v>560</v>
      </c>
      <c r="D57" s="3323">
        <v>7057</v>
      </c>
      <c r="E57" s="3323">
        <v>395.47</v>
      </c>
      <c r="F57" s="3323" t="s">
        <v>3535</v>
      </c>
      <c r="G57" s="3323" t="s">
        <v>3535</v>
      </c>
    </row>
    <row r="58" spans="1:7">
      <c r="A58" s="3323" t="s">
        <v>3617</v>
      </c>
      <c r="B58" s="3323" t="s">
        <v>3535</v>
      </c>
      <c r="C58" s="3323" t="s">
        <v>3535</v>
      </c>
      <c r="D58" s="3323" t="s">
        <v>3535</v>
      </c>
      <c r="E58" s="3323" t="s">
        <v>3535</v>
      </c>
      <c r="F58" s="3323">
        <v>58</v>
      </c>
      <c r="G58" s="3323">
        <v>722</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77"/>
  <sheetViews>
    <sheetView topLeftCell="A46" workbookViewId="0">
      <selection activeCell="H75" sqref="H75"/>
    </sheetView>
  </sheetViews>
  <sheetFormatPr defaultRowHeight="12"/>
  <cols>
    <col min="1" max="344" width="20" style="3216" customWidth="1"/>
    <col min="345"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191</v>
      </c>
      <c r="C2" s="3216">
        <v>28912</v>
      </c>
      <c r="D2" s="3216">
        <v>27718</v>
      </c>
      <c r="E2" s="3216">
        <v>80137.62</v>
      </c>
      <c r="F2" s="3216">
        <v>192</v>
      </c>
      <c r="G2" s="3216">
        <v>29321</v>
      </c>
      <c r="H2" s="3216" t="s">
        <v>3535</v>
      </c>
      <c r="I2" s="3216" t="s">
        <v>3535</v>
      </c>
    </row>
    <row r="3" spans="1:9">
      <c r="A3" s="3313" t="s">
        <v>4821</v>
      </c>
      <c r="B3" s="3216" t="s">
        <v>633</v>
      </c>
      <c r="C3" s="3216" t="s">
        <v>633</v>
      </c>
      <c r="D3" s="3216" t="s">
        <v>633</v>
      </c>
      <c r="E3" s="3216" t="s">
        <v>633</v>
      </c>
      <c r="F3" s="3216" t="s">
        <v>633</v>
      </c>
      <c r="G3" s="3216" t="s">
        <v>633</v>
      </c>
      <c r="H3" s="3216">
        <v>7</v>
      </c>
      <c r="I3" s="3314">
        <v>1309</v>
      </c>
    </row>
    <row r="4" spans="1:9">
      <c r="A4" s="3216" t="s">
        <v>3558</v>
      </c>
      <c r="B4" s="3216">
        <v>1</v>
      </c>
      <c r="C4" s="3216">
        <v>190</v>
      </c>
      <c r="D4" s="3216">
        <v>28850</v>
      </c>
      <c r="E4" s="3216">
        <v>548.12</v>
      </c>
      <c r="F4" s="3216" t="s">
        <v>3535</v>
      </c>
      <c r="G4" s="3216" t="s">
        <v>3535</v>
      </c>
      <c r="H4" s="3216" t="s">
        <v>3535</v>
      </c>
      <c r="I4" s="3216" t="s">
        <v>3535</v>
      </c>
    </row>
    <row r="5" spans="1:9">
      <c r="A5" s="3216" t="s">
        <v>3556</v>
      </c>
      <c r="B5" s="3216" t="s">
        <v>3535</v>
      </c>
      <c r="C5" s="3216" t="s">
        <v>3535</v>
      </c>
      <c r="D5" s="3216" t="s">
        <v>3535</v>
      </c>
      <c r="E5" s="3216" t="s">
        <v>3535</v>
      </c>
      <c r="F5" s="3216" t="s">
        <v>3535</v>
      </c>
      <c r="G5" s="3216" t="s">
        <v>3535</v>
      </c>
      <c r="H5" s="3216">
        <v>8</v>
      </c>
      <c r="I5" s="3216">
        <v>1499</v>
      </c>
    </row>
    <row r="6" spans="1:9">
      <c r="A6" s="3216" t="s">
        <v>3555</v>
      </c>
      <c r="B6" s="3216">
        <v>1</v>
      </c>
      <c r="C6" s="3216">
        <v>170</v>
      </c>
      <c r="D6" s="3216">
        <v>28850</v>
      </c>
      <c r="E6" s="3216">
        <v>489.07</v>
      </c>
      <c r="F6" s="3216" t="s">
        <v>3535</v>
      </c>
      <c r="G6" s="3216" t="s">
        <v>3535</v>
      </c>
      <c r="H6" s="3216">
        <v>8</v>
      </c>
      <c r="I6" s="3216">
        <v>1499</v>
      </c>
    </row>
    <row r="7" spans="1:9">
      <c r="A7" s="3216" t="s">
        <v>3554</v>
      </c>
      <c r="B7" s="3216" t="s">
        <v>3535</v>
      </c>
      <c r="C7" s="3216" t="s">
        <v>3535</v>
      </c>
      <c r="D7" s="3216" t="s">
        <v>3535</v>
      </c>
      <c r="E7" s="3216" t="s">
        <v>3535</v>
      </c>
      <c r="F7" s="3216" t="s">
        <v>3535</v>
      </c>
      <c r="G7" s="3216" t="s">
        <v>3535</v>
      </c>
      <c r="H7" s="3216">
        <v>9</v>
      </c>
      <c r="I7" s="3216">
        <v>1669</v>
      </c>
    </row>
    <row r="8" spans="1:9">
      <c r="A8" s="3216" t="s">
        <v>3553</v>
      </c>
      <c r="B8" s="3216" t="s">
        <v>3535</v>
      </c>
      <c r="C8" s="3216" t="s">
        <v>3535</v>
      </c>
      <c r="D8" s="3216" t="s">
        <v>3535</v>
      </c>
      <c r="E8" s="3216" t="s">
        <v>3535</v>
      </c>
      <c r="F8" s="3216" t="s">
        <v>3535</v>
      </c>
      <c r="G8" s="3216" t="s">
        <v>3535</v>
      </c>
      <c r="H8" s="3216">
        <v>9</v>
      </c>
      <c r="I8" s="3216">
        <v>1669</v>
      </c>
    </row>
    <row r="9" spans="1:9">
      <c r="A9" s="3216" t="s">
        <v>3552</v>
      </c>
      <c r="B9" s="3216">
        <v>5</v>
      </c>
      <c r="C9" s="3216">
        <v>889</v>
      </c>
      <c r="D9" s="3216">
        <v>27573</v>
      </c>
      <c r="E9" s="3216">
        <v>2449.9699999999998</v>
      </c>
      <c r="F9" s="3216" t="s">
        <v>3535</v>
      </c>
      <c r="G9" s="3216" t="s">
        <v>3535</v>
      </c>
      <c r="H9" s="3216">
        <v>9</v>
      </c>
      <c r="I9" s="3216">
        <v>1669</v>
      </c>
    </row>
    <row r="10" spans="1:9">
      <c r="A10" s="3216" t="s">
        <v>3551</v>
      </c>
      <c r="B10" s="3216">
        <v>7</v>
      </c>
      <c r="C10" s="3216">
        <v>1309</v>
      </c>
      <c r="D10" s="3216">
        <v>27935</v>
      </c>
      <c r="E10" s="3216">
        <v>3657.98</v>
      </c>
      <c r="F10" s="3216" t="s">
        <v>3535</v>
      </c>
      <c r="G10" s="3216" t="s">
        <v>3535</v>
      </c>
      <c r="H10" s="3216">
        <v>14</v>
      </c>
      <c r="I10" s="3216">
        <v>2558</v>
      </c>
    </row>
    <row r="11" spans="1:9">
      <c r="A11" s="3216" t="s">
        <v>3550</v>
      </c>
      <c r="B11" s="3216">
        <v>1</v>
      </c>
      <c r="C11" s="3216">
        <v>170</v>
      </c>
      <c r="D11" s="3216">
        <v>28240</v>
      </c>
      <c r="E11" s="3216">
        <v>478.76</v>
      </c>
      <c r="F11" s="3216" t="s">
        <v>3535</v>
      </c>
      <c r="G11" s="3216" t="s">
        <v>3535</v>
      </c>
      <c r="H11" s="3216">
        <v>21</v>
      </c>
      <c r="I11" s="3216">
        <v>3867</v>
      </c>
    </row>
    <row r="12" spans="1:9">
      <c r="A12" s="3216" t="s">
        <v>3547</v>
      </c>
      <c r="B12" s="3216">
        <v>2</v>
      </c>
      <c r="C12" s="3216">
        <v>379</v>
      </c>
      <c r="D12" s="3216">
        <v>28509</v>
      </c>
      <c r="E12" s="3216">
        <v>1080.1500000000001</v>
      </c>
      <c r="F12" s="3216" t="s">
        <v>3535</v>
      </c>
      <c r="G12" s="3216" t="s">
        <v>3535</v>
      </c>
      <c r="H12" s="3216">
        <v>21</v>
      </c>
      <c r="I12" s="3216">
        <v>3856</v>
      </c>
    </row>
    <row r="13" spans="1:9">
      <c r="A13" s="3216" t="s">
        <v>3546</v>
      </c>
      <c r="B13" s="3216">
        <v>1</v>
      </c>
      <c r="C13" s="3216">
        <v>189</v>
      </c>
      <c r="D13" s="3216">
        <v>28518</v>
      </c>
      <c r="E13" s="3216">
        <v>540.25</v>
      </c>
      <c r="F13" s="3216" t="s">
        <v>3535</v>
      </c>
      <c r="G13" s="3216" t="s">
        <v>3535</v>
      </c>
      <c r="H13" s="3216">
        <v>23</v>
      </c>
      <c r="I13" s="3216">
        <v>4235</v>
      </c>
    </row>
    <row r="14" spans="1:9">
      <c r="A14" s="3216" t="s">
        <v>3545</v>
      </c>
      <c r="B14" s="3216">
        <v>3</v>
      </c>
      <c r="C14" s="3216">
        <v>568</v>
      </c>
      <c r="D14" s="3216">
        <v>28543</v>
      </c>
      <c r="E14" s="3216">
        <v>1622.17</v>
      </c>
      <c r="F14" s="3216" t="s">
        <v>3535</v>
      </c>
      <c r="G14" s="3216" t="s">
        <v>3535</v>
      </c>
      <c r="H14" s="3216">
        <v>24</v>
      </c>
      <c r="I14" s="3216">
        <v>4424</v>
      </c>
    </row>
    <row r="15" spans="1:9">
      <c r="A15" s="3216" t="s">
        <v>3544</v>
      </c>
      <c r="B15" s="3216" t="s">
        <v>3535</v>
      </c>
      <c r="C15" s="3216" t="s">
        <v>3535</v>
      </c>
      <c r="D15" s="3216" t="s">
        <v>3535</v>
      </c>
      <c r="E15" s="3216" t="s">
        <v>3535</v>
      </c>
      <c r="F15" s="3216" t="s">
        <v>3535</v>
      </c>
      <c r="G15" s="3216" t="s">
        <v>3535</v>
      </c>
      <c r="H15" s="3216">
        <v>27</v>
      </c>
      <c r="I15" s="3216">
        <v>4992</v>
      </c>
    </row>
    <row r="16" spans="1:9">
      <c r="A16" s="3216" t="s">
        <v>3622</v>
      </c>
      <c r="B16" s="3216">
        <v>1</v>
      </c>
      <c r="C16" s="3216">
        <v>189</v>
      </c>
      <c r="D16" s="3216">
        <v>29400</v>
      </c>
      <c r="E16" s="3216">
        <v>556.95000000000005</v>
      </c>
      <c r="F16" s="3216" t="s">
        <v>3535</v>
      </c>
      <c r="G16" s="3216" t="s">
        <v>3535</v>
      </c>
      <c r="H16" s="3216">
        <v>26</v>
      </c>
      <c r="I16" s="3216">
        <v>4823</v>
      </c>
    </row>
    <row r="17" spans="1:9">
      <c r="A17" s="3216" t="s">
        <v>3621</v>
      </c>
      <c r="B17" s="3216">
        <v>2</v>
      </c>
      <c r="C17" s="3216">
        <v>327</v>
      </c>
      <c r="D17" s="3216">
        <v>28979</v>
      </c>
      <c r="E17" s="3216">
        <v>948.56</v>
      </c>
      <c r="F17" s="3216" t="s">
        <v>3535</v>
      </c>
      <c r="G17" s="3216" t="s">
        <v>3535</v>
      </c>
      <c r="H17" s="3216">
        <v>27</v>
      </c>
      <c r="I17" s="3216">
        <v>5013</v>
      </c>
    </row>
    <row r="18" spans="1:9">
      <c r="A18" s="3216" t="s">
        <v>3620</v>
      </c>
      <c r="B18" s="3216" t="s">
        <v>3535</v>
      </c>
      <c r="C18" s="3216" t="s">
        <v>3535</v>
      </c>
      <c r="D18" s="3216" t="s">
        <v>3535</v>
      </c>
      <c r="E18" s="3216" t="s">
        <v>3535</v>
      </c>
      <c r="F18" s="3216" t="s">
        <v>3535</v>
      </c>
      <c r="G18" s="3216" t="s">
        <v>3535</v>
      </c>
      <c r="H18" s="3216">
        <v>28</v>
      </c>
      <c r="I18" s="3216">
        <v>5202</v>
      </c>
    </row>
    <row r="19" spans="1:9">
      <c r="A19" s="3216" t="s">
        <v>3619</v>
      </c>
      <c r="B19" s="3216">
        <v>1</v>
      </c>
      <c r="C19" s="3216">
        <v>169</v>
      </c>
      <c r="D19" s="3216">
        <v>28308</v>
      </c>
      <c r="E19" s="3216">
        <v>478.5</v>
      </c>
      <c r="F19" s="3216" t="s">
        <v>3535</v>
      </c>
      <c r="G19" s="3216" t="s">
        <v>3535</v>
      </c>
      <c r="H19" s="3216">
        <v>28</v>
      </c>
      <c r="I19" s="3216">
        <v>5202</v>
      </c>
    </row>
    <row r="20" spans="1:9">
      <c r="A20" s="3216" t="s">
        <v>3618</v>
      </c>
      <c r="B20" s="3216">
        <v>2</v>
      </c>
      <c r="C20" s="3216">
        <v>379</v>
      </c>
      <c r="D20" s="3216">
        <v>27418</v>
      </c>
      <c r="E20" s="3216">
        <v>1038.81</v>
      </c>
      <c r="F20" s="3216" t="s">
        <v>3535</v>
      </c>
      <c r="G20" s="3216" t="s">
        <v>3535</v>
      </c>
      <c r="H20" s="3216">
        <v>29</v>
      </c>
      <c r="I20" s="3216">
        <v>5371</v>
      </c>
    </row>
    <row r="21" spans="1:9">
      <c r="A21" s="3216" t="s">
        <v>3617</v>
      </c>
      <c r="B21" s="3216">
        <v>4</v>
      </c>
      <c r="C21" s="3216">
        <v>613</v>
      </c>
      <c r="D21" s="3216">
        <v>26958</v>
      </c>
      <c r="E21" s="3216">
        <v>1653.77</v>
      </c>
      <c r="F21" s="3216" t="s">
        <v>3535</v>
      </c>
      <c r="G21" s="3216" t="s">
        <v>3535</v>
      </c>
      <c r="H21" s="3216">
        <v>35</v>
      </c>
      <c r="I21" s="3216">
        <v>6364</v>
      </c>
    </row>
    <row r="22" spans="1:9">
      <c r="A22" s="3216" t="s">
        <v>3616</v>
      </c>
      <c r="B22" s="3216">
        <v>1</v>
      </c>
      <c r="C22" s="3216">
        <v>139</v>
      </c>
      <c r="D22" s="3216">
        <v>25650</v>
      </c>
      <c r="E22" s="3216">
        <v>356.51</v>
      </c>
      <c r="F22" s="3216" t="s">
        <v>3535</v>
      </c>
      <c r="G22" s="3216" t="s">
        <v>3535</v>
      </c>
      <c r="H22" s="3216">
        <v>35</v>
      </c>
      <c r="I22" s="3216">
        <v>6364</v>
      </c>
    </row>
    <row r="23" spans="1:9">
      <c r="A23" s="3216" t="s">
        <v>3615</v>
      </c>
      <c r="B23" s="3216">
        <v>2</v>
      </c>
      <c r="C23" s="3216">
        <v>306</v>
      </c>
      <c r="D23" s="3216">
        <v>27213</v>
      </c>
      <c r="E23" s="3216">
        <v>832.34</v>
      </c>
      <c r="F23" s="3216" t="s">
        <v>3535</v>
      </c>
      <c r="G23" s="3216" t="s">
        <v>3535</v>
      </c>
      <c r="H23" s="3216">
        <v>38</v>
      </c>
      <c r="I23" s="3216">
        <v>6808</v>
      </c>
    </row>
    <row r="24" spans="1:9">
      <c r="A24" s="3216" t="s">
        <v>3614</v>
      </c>
      <c r="B24" s="3216">
        <v>4</v>
      </c>
      <c r="C24" s="3216">
        <v>635</v>
      </c>
      <c r="D24" s="3216">
        <v>26939</v>
      </c>
      <c r="E24" s="3216">
        <v>1711.54</v>
      </c>
      <c r="F24" s="3216" t="s">
        <v>3535</v>
      </c>
      <c r="G24" s="3216" t="s">
        <v>3535</v>
      </c>
      <c r="H24" s="3216">
        <v>38</v>
      </c>
      <c r="I24" s="3216">
        <v>6808</v>
      </c>
    </row>
    <row r="25" spans="1:9">
      <c r="A25" s="3216" t="s">
        <v>3613</v>
      </c>
      <c r="B25" s="3216">
        <v>5</v>
      </c>
      <c r="C25" s="3216">
        <v>771</v>
      </c>
      <c r="D25" s="3216">
        <v>26552</v>
      </c>
      <c r="E25" s="3216">
        <v>2046.86</v>
      </c>
      <c r="F25" s="3216" t="s">
        <v>3535</v>
      </c>
      <c r="G25" s="3216" t="s">
        <v>3535</v>
      </c>
      <c r="H25" s="3216">
        <v>68</v>
      </c>
      <c r="I25" s="3216">
        <v>11364</v>
      </c>
    </row>
    <row r="26" spans="1:9">
      <c r="A26" s="3216" t="s">
        <v>3612</v>
      </c>
      <c r="B26" s="3216">
        <v>1</v>
      </c>
      <c r="C26" s="3216">
        <v>169</v>
      </c>
      <c r="D26" s="3216">
        <v>28900</v>
      </c>
      <c r="E26" s="3216">
        <v>488.5</v>
      </c>
      <c r="F26" s="3216" t="s">
        <v>3535</v>
      </c>
      <c r="G26" s="3216" t="s">
        <v>3535</v>
      </c>
      <c r="H26" s="3216">
        <v>68</v>
      </c>
      <c r="I26" s="3216">
        <v>11364</v>
      </c>
    </row>
    <row r="27" spans="1:9">
      <c r="A27" s="3216" t="s">
        <v>3611</v>
      </c>
      <c r="B27" s="3216">
        <v>6</v>
      </c>
      <c r="C27" s="3216">
        <v>857</v>
      </c>
      <c r="D27" s="3216">
        <v>28088</v>
      </c>
      <c r="E27" s="3216">
        <v>2407.73</v>
      </c>
      <c r="F27" s="3216" t="s">
        <v>3535</v>
      </c>
      <c r="G27" s="3216" t="s">
        <v>3535</v>
      </c>
      <c r="H27" s="3216">
        <v>68</v>
      </c>
      <c r="I27" s="3216">
        <v>11364</v>
      </c>
    </row>
    <row r="28" spans="1:9">
      <c r="A28" s="3216" t="s">
        <v>3610</v>
      </c>
      <c r="B28" s="3216">
        <v>14</v>
      </c>
      <c r="C28" s="3216">
        <v>2123</v>
      </c>
      <c r="D28" s="3216">
        <v>27002</v>
      </c>
      <c r="E28" s="3216">
        <v>5731.81</v>
      </c>
      <c r="F28" s="3216" t="s">
        <v>3535</v>
      </c>
      <c r="G28" s="3216" t="s">
        <v>3535</v>
      </c>
      <c r="H28" s="3216">
        <v>68</v>
      </c>
      <c r="I28" s="3216">
        <v>11364</v>
      </c>
    </row>
    <row r="29" spans="1:9">
      <c r="A29" s="3216" t="s">
        <v>3609</v>
      </c>
      <c r="B29" s="3216">
        <v>10</v>
      </c>
      <c r="C29" s="3216">
        <v>1440</v>
      </c>
      <c r="D29" s="3216">
        <v>28094</v>
      </c>
      <c r="E29" s="3216">
        <v>4046.41</v>
      </c>
      <c r="F29" s="3216" t="s">
        <v>3535</v>
      </c>
      <c r="G29" s="3216" t="s">
        <v>3535</v>
      </c>
      <c r="H29" s="3216">
        <v>67</v>
      </c>
      <c r="I29" s="3216">
        <v>11226</v>
      </c>
    </row>
    <row r="30" spans="1:9">
      <c r="A30" s="3216" t="s">
        <v>3608</v>
      </c>
      <c r="B30" s="3216">
        <v>10</v>
      </c>
      <c r="C30" s="3216">
        <v>1532</v>
      </c>
      <c r="D30" s="3216">
        <v>28343</v>
      </c>
      <c r="E30" s="3216">
        <v>4341.05</v>
      </c>
      <c r="F30" s="3216" t="s">
        <v>3535</v>
      </c>
      <c r="G30" s="3216" t="s">
        <v>3535</v>
      </c>
      <c r="H30" s="3216">
        <v>77</v>
      </c>
      <c r="I30" s="3216">
        <v>12667</v>
      </c>
    </row>
    <row r="31" spans="1:9">
      <c r="A31" s="3216" t="s">
        <v>3607</v>
      </c>
      <c r="B31" s="3216">
        <v>19</v>
      </c>
      <c r="C31" s="3216">
        <v>2757</v>
      </c>
      <c r="D31" s="3216">
        <v>27715</v>
      </c>
      <c r="E31" s="3216">
        <v>7641.75</v>
      </c>
      <c r="F31" s="3216" t="s">
        <v>3535</v>
      </c>
      <c r="G31" s="3216" t="s">
        <v>3535</v>
      </c>
      <c r="H31" s="3216">
        <v>85</v>
      </c>
      <c r="I31" s="3216">
        <v>13923</v>
      </c>
    </row>
    <row r="32" spans="1:9">
      <c r="A32" s="3216" t="s">
        <v>3606</v>
      </c>
      <c r="B32" s="3216">
        <v>14</v>
      </c>
      <c r="C32" s="3216">
        <v>2072</v>
      </c>
      <c r="D32" s="3216">
        <v>28302</v>
      </c>
      <c r="E32" s="3216">
        <v>5865.23</v>
      </c>
      <c r="F32" s="3216" t="s">
        <v>3535</v>
      </c>
      <c r="G32" s="3216" t="s">
        <v>3535</v>
      </c>
      <c r="H32" s="3216">
        <v>104</v>
      </c>
      <c r="I32" s="3216">
        <v>16680</v>
      </c>
    </row>
    <row r="33" spans="1:9">
      <c r="A33" s="3216" t="s">
        <v>3605</v>
      </c>
      <c r="B33" s="3216">
        <v>30</v>
      </c>
      <c r="C33" s="3216">
        <v>4393</v>
      </c>
      <c r="D33" s="3216">
        <v>27770</v>
      </c>
      <c r="E33" s="3216">
        <v>12198.91</v>
      </c>
      <c r="F33" s="3216" t="s">
        <v>3535</v>
      </c>
      <c r="G33" s="3216" t="s">
        <v>3535</v>
      </c>
      <c r="H33" s="3216">
        <v>118</v>
      </c>
      <c r="I33" s="3216">
        <v>18753</v>
      </c>
    </row>
    <row r="34" spans="1:9">
      <c r="A34" s="3216" t="s">
        <v>3604</v>
      </c>
      <c r="B34" s="3216">
        <v>8</v>
      </c>
      <c r="C34" s="3216">
        <v>1129</v>
      </c>
      <c r="D34" s="3216">
        <v>27373</v>
      </c>
      <c r="E34" s="3216">
        <v>3091.27</v>
      </c>
      <c r="F34" s="3216" t="s">
        <v>3535</v>
      </c>
      <c r="G34" s="3216" t="s">
        <v>3535</v>
      </c>
      <c r="H34" s="3216">
        <v>148</v>
      </c>
      <c r="I34" s="3216">
        <v>23146</v>
      </c>
    </row>
    <row r="35" spans="1:9">
      <c r="A35" s="3216" t="s">
        <v>3603</v>
      </c>
      <c r="B35" s="3216">
        <v>14</v>
      </c>
      <c r="C35" s="3216">
        <v>1988</v>
      </c>
      <c r="D35" s="3216">
        <v>27376</v>
      </c>
      <c r="E35" s="3216">
        <v>5441.38</v>
      </c>
      <c r="F35" s="3216" t="s">
        <v>3535</v>
      </c>
      <c r="G35" s="3216" t="s">
        <v>3535</v>
      </c>
      <c r="H35" s="3216">
        <v>156</v>
      </c>
      <c r="I35" s="3216">
        <v>24275</v>
      </c>
    </row>
    <row r="36" spans="1:9">
      <c r="A36" s="3216" t="s">
        <v>3602</v>
      </c>
      <c r="B36" s="3216">
        <v>7</v>
      </c>
      <c r="C36" s="3216">
        <v>936</v>
      </c>
      <c r="D36" s="3216">
        <v>27220</v>
      </c>
      <c r="E36" s="3216">
        <v>2549.17</v>
      </c>
      <c r="F36" s="3216" t="s">
        <v>3535</v>
      </c>
      <c r="G36" s="3216" t="s">
        <v>3535</v>
      </c>
      <c r="H36" s="3216">
        <v>170</v>
      </c>
      <c r="I36" s="3216">
        <v>26263</v>
      </c>
    </row>
    <row r="37" spans="1:9">
      <c r="A37" s="3216" t="s">
        <v>3601</v>
      </c>
      <c r="B37" s="3216">
        <v>5</v>
      </c>
      <c r="C37" s="3216">
        <v>717</v>
      </c>
      <c r="D37" s="3216">
        <v>27293</v>
      </c>
      <c r="E37" s="3216">
        <v>1956.62</v>
      </c>
      <c r="F37" s="3216" t="s">
        <v>3535</v>
      </c>
      <c r="G37" s="3216" t="s">
        <v>3535</v>
      </c>
      <c r="H37" s="3216">
        <v>177</v>
      </c>
      <c r="I37" s="3216">
        <v>27199</v>
      </c>
    </row>
    <row r="38" spans="1:9">
      <c r="A38" s="3216" t="s">
        <v>3600</v>
      </c>
      <c r="B38" s="3216">
        <v>10</v>
      </c>
      <c r="C38" s="3216">
        <v>1405</v>
      </c>
      <c r="D38" s="3216">
        <v>27664</v>
      </c>
      <c r="E38" s="3216">
        <v>3887.49</v>
      </c>
      <c r="F38" s="3216" t="s">
        <v>3535</v>
      </c>
      <c r="G38" s="3216" t="s">
        <v>3535</v>
      </c>
      <c r="H38" s="3216">
        <v>182</v>
      </c>
      <c r="I38" s="3216">
        <v>27916</v>
      </c>
    </row>
    <row r="39" spans="1:9">
      <c r="A39" s="3216" t="s">
        <v>3599</v>
      </c>
      <c r="B39" s="3216" t="s">
        <v>3535</v>
      </c>
      <c r="C39" s="3216" t="s">
        <v>3535</v>
      </c>
      <c r="D39" s="3216" t="s">
        <v>3535</v>
      </c>
      <c r="E39" s="3216" t="s">
        <v>3535</v>
      </c>
      <c r="F39" s="3216">
        <v>192</v>
      </c>
      <c r="G39" s="3216">
        <v>29321</v>
      </c>
      <c r="H39" s="3216">
        <v>192</v>
      </c>
      <c r="I39" s="3216">
        <v>29321</v>
      </c>
    </row>
    <row r="77" spans="5:5">
      <c r="E77" s="3365" t="s">
        <v>5277</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70"/>
  <sheetViews>
    <sheetView topLeftCell="A39" workbookViewId="0">
      <selection activeCell="L90" sqref="A82:L90"/>
    </sheetView>
  </sheetViews>
  <sheetFormatPr defaultRowHeight="12"/>
  <cols>
    <col min="1" max="281" width="20" style="3216" customWidth="1"/>
    <col min="282"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194</v>
      </c>
      <c r="C2" s="3216">
        <v>27489</v>
      </c>
      <c r="D2" s="3216">
        <v>33560</v>
      </c>
      <c r="E2" s="3216">
        <v>92252.77</v>
      </c>
      <c r="F2" s="3216">
        <v>161</v>
      </c>
      <c r="G2" s="3216">
        <v>22852</v>
      </c>
      <c r="H2" s="3216" t="s">
        <v>3535</v>
      </c>
      <c r="I2" s="3216" t="s">
        <v>3535</v>
      </c>
    </row>
    <row r="3" spans="1:9">
      <c r="A3" s="3315" t="s">
        <v>4821</v>
      </c>
      <c r="B3" s="3216" t="s">
        <v>633</v>
      </c>
      <c r="C3" s="3216" t="s">
        <v>633</v>
      </c>
      <c r="D3" s="3216" t="s">
        <v>633</v>
      </c>
      <c r="E3" s="3216" t="s">
        <v>633</v>
      </c>
      <c r="F3" s="3216" t="s">
        <v>633</v>
      </c>
      <c r="G3" s="3216" t="s">
        <v>633</v>
      </c>
      <c r="H3" s="3216">
        <v>9</v>
      </c>
      <c r="I3" s="3314">
        <v>1247</v>
      </c>
    </row>
    <row r="4" spans="1:9">
      <c r="A4" s="3216" t="s">
        <v>3557</v>
      </c>
      <c r="B4" s="3216">
        <v>2</v>
      </c>
      <c r="C4" s="3216">
        <v>300</v>
      </c>
      <c r="D4" s="3216">
        <v>32933</v>
      </c>
      <c r="E4" s="3216">
        <v>987.5</v>
      </c>
      <c r="F4" s="3216" t="s">
        <v>3535</v>
      </c>
      <c r="G4" s="3216" t="s">
        <v>3535</v>
      </c>
      <c r="H4" s="3216" t="s">
        <v>3535</v>
      </c>
      <c r="I4" s="3216" t="s">
        <v>3535</v>
      </c>
    </row>
    <row r="5" spans="1:9">
      <c r="A5" s="3216" t="s">
        <v>3556</v>
      </c>
      <c r="B5" s="3216">
        <v>5</v>
      </c>
      <c r="C5" s="3216">
        <v>770</v>
      </c>
      <c r="D5" s="3216">
        <v>32892</v>
      </c>
      <c r="E5" s="3216">
        <v>2533.48</v>
      </c>
      <c r="F5" s="3216" t="s">
        <v>3535</v>
      </c>
      <c r="G5" s="3216" t="s">
        <v>3535</v>
      </c>
      <c r="H5" s="3216">
        <v>3</v>
      </c>
      <c r="I5" s="3216">
        <v>515</v>
      </c>
    </row>
    <row r="6" spans="1:9">
      <c r="A6" s="3216" t="s">
        <v>3555</v>
      </c>
      <c r="B6" s="3216">
        <v>8</v>
      </c>
      <c r="C6" s="3216">
        <v>1138</v>
      </c>
      <c r="D6" s="3216">
        <v>32458</v>
      </c>
      <c r="E6" s="3216">
        <v>3694.93</v>
      </c>
      <c r="F6" s="3216" t="s">
        <v>3535</v>
      </c>
      <c r="G6" s="3216" t="s">
        <v>3535</v>
      </c>
      <c r="H6" s="3216">
        <v>7</v>
      </c>
      <c r="I6" s="3216">
        <v>1138</v>
      </c>
    </row>
    <row r="7" spans="1:9">
      <c r="A7" s="3216" t="s">
        <v>3554</v>
      </c>
      <c r="B7" s="3216">
        <v>1</v>
      </c>
      <c r="C7" s="3216">
        <v>138</v>
      </c>
      <c r="D7" s="3216">
        <v>35014</v>
      </c>
      <c r="E7" s="3216">
        <v>482.35</v>
      </c>
      <c r="F7" s="3216" t="s">
        <v>3535</v>
      </c>
      <c r="G7" s="3216" t="s">
        <v>3535</v>
      </c>
      <c r="H7" s="3216">
        <v>15</v>
      </c>
      <c r="I7" s="3216">
        <v>2277</v>
      </c>
    </row>
    <row r="8" spans="1:9">
      <c r="A8" s="3216" t="s">
        <v>3553</v>
      </c>
      <c r="B8" s="3216">
        <v>15</v>
      </c>
      <c r="C8" s="3216">
        <v>2167</v>
      </c>
      <c r="D8" s="3216">
        <v>33130</v>
      </c>
      <c r="E8" s="3216">
        <v>7179.09</v>
      </c>
      <c r="F8" s="3216" t="s">
        <v>3535</v>
      </c>
      <c r="G8" s="3216" t="s">
        <v>3535</v>
      </c>
      <c r="H8" s="3216">
        <v>8</v>
      </c>
      <c r="I8" s="3216">
        <v>1254</v>
      </c>
    </row>
    <row r="9" spans="1:9">
      <c r="A9" s="3216" t="s">
        <v>3552</v>
      </c>
      <c r="B9" s="3216">
        <v>10</v>
      </c>
      <c r="C9" s="3216">
        <v>1428</v>
      </c>
      <c r="D9" s="3216">
        <v>33847</v>
      </c>
      <c r="E9" s="3216">
        <v>4831.92</v>
      </c>
      <c r="F9" s="3216" t="s">
        <v>3535</v>
      </c>
      <c r="G9" s="3216" t="s">
        <v>3535</v>
      </c>
      <c r="H9" s="3216">
        <v>19</v>
      </c>
      <c r="I9" s="3216">
        <v>2847</v>
      </c>
    </row>
    <row r="10" spans="1:9">
      <c r="A10" s="3216" t="s">
        <v>3551</v>
      </c>
      <c r="B10" s="3216" t="s">
        <v>3535</v>
      </c>
      <c r="C10" s="3216" t="s">
        <v>3535</v>
      </c>
      <c r="D10" s="3216" t="s">
        <v>3535</v>
      </c>
      <c r="E10" s="3216" t="s">
        <v>3535</v>
      </c>
      <c r="F10" s="3216" t="s">
        <v>3535</v>
      </c>
      <c r="G10" s="3216" t="s">
        <v>3535</v>
      </c>
      <c r="H10" s="3216">
        <v>25</v>
      </c>
      <c r="I10" s="3216">
        <v>3713</v>
      </c>
    </row>
    <row r="11" spans="1:9">
      <c r="A11" s="3216" t="s">
        <v>3550</v>
      </c>
      <c r="B11" s="3216">
        <v>1</v>
      </c>
      <c r="C11" s="3216">
        <v>147</v>
      </c>
      <c r="D11" s="3216">
        <v>29958</v>
      </c>
      <c r="E11" s="3216">
        <v>441.28</v>
      </c>
      <c r="F11" s="3216" t="s">
        <v>3535</v>
      </c>
      <c r="G11" s="3216" t="s">
        <v>3535</v>
      </c>
      <c r="H11" s="3216">
        <v>22</v>
      </c>
      <c r="I11" s="3216">
        <v>3299</v>
      </c>
    </row>
    <row r="12" spans="1:9">
      <c r="A12" s="3216" t="s">
        <v>3549</v>
      </c>
      <c r="B12" s="3216">
        <v>7</v>
      </c>
      <c r="C12" s="3216">
        <v>966</v>
      </c>
      <c r="D12" s="3216">
        <v>33034</v>
      </c>
      <c r="E12" s="3216">
        <v>3192.03</v>
      </c>
      <c r="F12" s="3216" t="s">
        <v>3535</v>
      </c>
      <c r="G12" s="3216" t="s">
        <v>3535</v>
      </c>
      <c r="H12" s="3216">
        <v>22</v>
      </c>
      <c r="I12" s="3216">
        <v>3284</v>
      </c>
    </row>
    <row r="13" spans="1:9">
      <c r="A13" s="3216" t="s">
        <v>3548</v>
      </c>
      <c r="B13" s="3216">
        <v>13</v>
      </c>
      <c r="C13" s="3216">
        <v>1842</v>
      </c>
      <c r="D13" s="3216">
        <v>33834</v>
      </c>
      <c r="E13" s="3216">
        <v>6231.51</v>
      </c>
      <c r="F13" s="3216" t="s">
        <v>3535</v>
      </c>
      <c r="G13" s="3216" t="s">
        <v>3535</v>
      </c>
      <c r="H13" s="3216">
        <v>28</v>
      </c>
      <c r="I13" s="3216">
        <v>4113</v>
      </c>
    </row>
    <row r="14" spans="1:9">
      <c r="A14" s="3216" t="s">
        <v>3547</v>
      </c>
      <c r="B14" s="3216">
        <v>8</v>
      </c>
      <c r="C14" s="3216">
        <v>1133</v>
      </c>
      <c r="D14" s="3216">
        <v>32523</v>
      </c>
      <c r="E14" s="3216">
        <v>3686.45</v>
      </c>
      <c r="F14" s="3216" t="s">
        <v>3535</v>
      </c>
      <c r="G14" s="3216" t="s">
        <v>3535</v>
      </c>
      <c r="H14" s="3216">
        <v>39</v>
      </c>
      <c r="I14" s="3216">
        <v>5653</v>
      </c>
    </row>
    <row r="15" spans="1:9">
      <c r="A15" s="3216" t="s">
        <v>3546</v>
      </c>
      <c r="B15" s="3216">
        <v>3</v>
      </c>
      <c r="C15" s="3216">
        <v>414</v>
      </c>
      <c r="D15" s="3216">
        <v>35013</v>
      </c>
      <c r="E15" s="3216">
        <v>1448.47</v>
      </c>
      <c r="F15" s="3216" t="s">
        <v>3535</v>
      </c>
      <c r="G15" s="3216" t="s">
        <v>3535</v>
      </c>
      <c r="H15" s="3216">
        <v>47</v>
      </c>
      <c r="I15" s="3216">
        <v>6786</v>
      </c>
    </row>
    <row r="16" spans="1:9">
      <c r="A16" s="3216" t="s">
        <v>3545</v>
      </c>
      <c r="B16" s="3216">
        <v>2</v>
      </c>
      <c r="C16" s="3216">
        <v>276</v>
      </c>
      <c r="D16" s="3216">
        <v>33348</v>
      </c>
      <c r="E16" s="3216">
        <v>919.75</v>
      </c>
      <c r="F16" s="3216" t="s">
        <v>3535</v>
      </c>
      <c r="G16" s="3216" t="s">
        <v>3535</v>
      </c>
      <c r="H16" s="3216">
        <v>50</v>
      </c>
      <c r="I16" s="3216">
        <v>7200</v>
      </c>
    </row>
    <row r="17" spans="1:9">
      <c r="A17" s="3216" t="s">
        <v>3544</v>
      </c>
      <c r="B17" s="3216">
        <v>12</v>
      </c>
      <c r="C17" s="3216">
        <v>1786</v>
      </c>
      <c r="D17" s="3216">
        <v>34306</v>
      </c>
      <c r="E17" s="3216">
        <v>6125.38</v>
      </c>
      <c r="F17" s="3216" t="s">
        <v>3535</v>
      </c>
      <c r="G17" s="3216" t="s">
        <v>3535</v>
      </c>
      <c r="H17" s="3216">
        <v>52</v>
      </c>
      <c r="I17" s="3216">
        <v>7476</v>
      </c>
    </row>
    <row r="18" spans="1:9">
      <c r="A18" s="3216" t="s">
        <v>3622</v>
      </c>
      <c r="B18" s="3216">
        <v>6</v>
      </c>
      <c r="C18" s="3216">
        <v>858</v>
      </c>
      <c r="D18" s="3216">
        <v>34535</v>
      </c>
      <c r="E18" s="3216">
        <v>2962.92</v>
      </c>
      <c r="F18" s="3216" t="s">
        <v>3535</v>
      </c>
      <c r="G18" s="3216" t="s">
        <v>3535</v>
      </c>
      <c r="H18" s="3216">
        <v>63</v>
      </c>
      <c r="I18" s="3216">
        <v>9123</v>
      </c>
    </row>
    <row r="19" spans="1:9">
      <c r="A19" s="3216" t="s">
        <v>3621</v>
      </c>
      <c r="B19" s="3216">
        <v>4</v>
      </c>
      <c r="C19" s="3216">
        <v>548</v>
      </c>
      <c r="D19" s="3216">
        <v>33750</v>
      </c>
      <c r="E19" s="3216">
        <v>1848.6</v>
      </c>
      <c r="F19" s="3216" t="s">
        <v>3535</v>
      </c>
      <c r="G19" s="3216" t="s">
        <v>3535</v>
      </c>
      <c r="H19" s="3216">
        <v>69</v>
      </c>
      <c r="I19" s="3216">
        <v>9981</v>
      </c>
    </row>
    <row r="20" spans="1:9">
      <c r="A20" s="3216" t="s">
        <v>3620</v>
      </c>
      <c r="B20" s="3216">
        <v>7</v>
      </c>
      <c r="C20" s="3216">
        <v>971</v>
      </c>
      <c r="D20" s="3216">
        <v>32538</v>
      </c>
      <c r="E20" s="3216">
        <v>3158.3</v>
      </c>
      <c r="F20" s="3216" t="s">
        <v>3535</v>
      </c>
      <c r="G20" s="3216" t="s">
        <v>3535</v>
      </c>
      <c r="H20" s="3216">
        <v>73</v>
      </c>
      <c r="I20" s="3216">
        <v>10529</v>
      </c>
    </row>
    <row r="21" spans="1:9">
      <c r="A21" s="3216" t="s">
        <v>3619</v>
      </c>
      <c r="B21" s="3216">
        <v>9</v>
      </c>
      <c r="C21" s="3216">
        <v>1250</v>
      </c>
      <c r="D21" s="3216">
        <v>33844</v>
      </c>
      <c r="E21" s="3216">
        <v>4230.71</v>
      </c>
      <c r="F21" s="3216" t="s">
        <v>3535</v>
      </c>
      <c r="G21" s="3216" t="s">
        <v>3535</v>
      </c>
      <c r="H21" s="3216">
        <v>76</v>
      </c>
      <c r="I21" s="3216">
        <v>10962</v>
      </c>
    </row>
    <row r="22" spans="1:9">
      <c r="A22" s="3216" t="s">
        <v>3618</v>
      </c>
      <c r="B22" s="3216">
        <v>10</v>
      </c>
      <c r="C22" s="3216">
        <v>1330</v>
      </c>
      <c r="D22" s="3216">
        <v>32779</v>
      </c>
      <c r="E22" s="3216">
        <v>4359.8900000000003</v>
      </c>
      <c r="F22" s="3216" t="s">
        <v>3535</v>
      </c>
      <c r="G22" s="3216" t="s">
        <v>3535</v>
      </c>
      <c r="H22" s="3216">
        <v>83</v>
      </c>
      <c r="I22" s="3216">
        <v>11955</v>
      </c>
    </row>
    <row r="23" spans="1:9">
      <c r="A23" s="3216" t="s">
        <v>3617</v>
      </c>
      <c r="B23" s="3216">
        <v>11</v>
      </c>
      <c r="C23" s="3216">
        <v>1555</v>
      </c>
      <c r="D23" s="3216">
        <v>33603</v>
      </c>
      <c r="E23" s="3216">
        <v>5225.6499999999996</v>
      </c>
      <c r="F23" s="3216">
        <v>32</v>
      </c>
      <c r="G23" s="3216">
        <v>4375</v>
      </c>
      <c r="H23" s="3216">
        <v>71</v>
      </c>
      <c r="I23" s="3216">
        <v>10303</v>
      </c>
    </row>
    <row r="24" spans="1:9">
      <c r="A24" s="3216" t="s">
        <v>3616</v>
      </c>
      <c r="B24" s="3216">
        <v>10</v>
      </c>
      <c r="C24" s="3216">
        <v>1472</v>
      </c>
      <c r="D24" s="3216">
        <v>34602</v>
      </c>
      <c r="E24" s="3216">
        <v>5093.54</v>
      </c>
      <c r="F24" s="3216" t="s">
        <v>3535</v>
      </c>
      <c r="G24" s="3216" t="s">
        <v>3535</v>
      </c>
      <c r="H24" s="3216">
        <v>72</v>
      </c>
      <c r="I24" s="3216">
        <v>10441</v>
      </c>
    </row>
    <row r="25" spans="1:9">
      <c r="A25" s="3216" t="s">
        <v>3615</v>
      </c>
      <c r="B25" s="3216">
        <v>5</v>
      </c>
      <c r="C25" s="3216">
        <v>678</v>
      </c>
      <c r="D25" s="3216">
        <v>32504</v>
      </c>
      <c r="E25" s="3216">
        <v>2202.66</v>
      </c>
      <c r="F25" s="3216" t="s">
        <v>3535</v>
      </c>
      <c r="G25" s="3216" t="s">
        <v>3535</v>
      </c>
      <c r="H25" s="3216">
        <v>86</v>
      </c>
      <c r="I25" s="3216">
        <v>12452</v>
      </c>
    </row>
    <row r="26" spans="1:9">
      <c r="A26" s="3216" t="s">
        <v>3614</v>
      </c>
      <c r="B26" s="3216">
        <v>10</v>
      </c>
      <c r="C26" s="3216">
        <v>1394</v>
      </c>
      <c r="D26" s="3216">
        <v>33745</v>
      </c>
      <c r="E26" s="3216">
        <v>4703.41</v>
      </c>
      <c r="F26" s="3216" t="s">
        <v>3535</v>
      </c>
      <c r="G26" s="3216" t="s">
        <v>3535</v>
      </c>
      <c r="H26" s="3216">
        <v>87</v>
      </c>
      <c r="I26" s="3216">
        <v>12590</v>
      </c>
    </row>
    <row r="27" spans="1:9">
      <c r="A27" s="3216" t="s">
        <v>3613</v>
      </c>
      <c r="B27" s="3216">
        <v>6</v>
      </c>
      <c r="C27" s="3216">
        <v>862</v>
      </c>
      <c r="D27" s="3216">
        <v>35036</v>
      </c>
      <c r="E27" s="3216">
        <v>3018.6</v>
      </c>
      <c r="F27" s="3216" t="s">
        <v>3535</v>
      </c>
      <c r="G27" s="3216" t="s">
        <v>3535</v>
      </c>
      <c r="H27" s="3216">
        <v>68</v>
      </c>
      <c r="I27" s="3216">
        <v>10009</v>
      </c>
    </row>
    <row r="28" spans="1:9">
      <c r="A28" s="3216" t="s">
        <v>3612</v>
      </c>
      <c r="B28" s="3216">
        <v>4</v>
      </c>
      <c r="C28" s="3216">
        <v>561</v>
      </c>
      <c r="D28" s="3216">
        <v>34809</v>
      </c>
      <c r="E28" s="3216">
        <v>1951.17</v>
      </c>
      <c r="F28" s="3216" t="s">
        <v>3535</v>
      </c>
      <c r="G28" s="3216" t="s">
        <v>3535</v>
      </c>
      <c r="H28" s="3216">
        <v>68</v>
      </c>
      <c r="I28" s="3216">
        <v>10009</v>
      </c>
    </row>
    <row r="29" spans="1:9">
      <c r="A29" s="3216" t="s">
        <v>3611</v>
      </c>
      <c r="B29" s="3216">
        <v>5</v>
      </c>
      <c r="C29" s="3216">
        <v>721</v>
      </c>
      <c r="D29" s="3216">
        <v>33217</v>
      </c>
      <c r="E29" s="3216">
        <v>2395.98</v>
      </c>
      <c r="F29" s="3216">
        <v>54</v>
      </c>
      <c r="G29" s="3216">
        <v>7487</v>
      </c>
      <c r="H29" s="3216">
        <v>68</v>
      </c>
      <c r="I29" s="3216">
        <v>10009</v>
      </c>
    </row>
    <row r="30" spans="1:9">
      <c r="A30" s="3216" t="s">
        <v>3610</v>
      </c>
      <c r="B30" s="3216">
        <v>13</v>
      </c>
      <c r="C30" s="3216">
        <v>1806</v>
      </c>
      <c r="D30" s="3216">
        <v>33152</v>
      </c>
      <c r="E30" s="3216">
        <v>5987.5</v>
      </c>
      <c r="F30" s="3216" t="s">
        <v>3535</v>
      </c>
      <c r="G30" s="3216" t="s">
        <v>3535</v>
      </c>
      <c r="H30" s="3216">
        <v>68</v>
      </c>
      <c r="I30" s="3216">
        <v>10009</v>
      </c>
    </row>
    <row r="31" spans="1:9">
      <c r="A31" s="3216" t="s">
        <v>3609</v>
      </c>
      <c r="B31" s="3216">
        <v>4</v>
      </c>
      <c r="C31" s="3216">
        <v>557</v>
      </c>
      <c r="D31" s="3216">
        <v>34364</v>
      </c>
      <c r="E31" s="3216">
        <v>1914.52</v>
      </c>
      <c r="F31" s="3216">
        <v>21</v>
      </c>
      <c r="G31" s="3216">
        <v>3195</v>
      </c>
      <c r="H31" s="3216">
        <v>68</v>
      </c>
      <c r="I31" s="3216">
        <v>10009</v>
      </c>
    </row>
    <row r="32" spans="1:9">
      <c r="A32" s="3216" t="s">
        <v>3608</v>
      </c>
      <c r="B32" s="3216">
        <v>3</v>
      </c>
      <c r="C32" s="3216">
        <v>423</v>
      </c>
      <c r="D32" s="3216">
        <v>34171</v>
      </c>
      <c r="E32" s="3216">
        <v>1445.19</v>
      </c>
      <c r="F32" s="3216">
        <v>54</v>
      </c>
      <c r="G32" s="3216">
        <v>7794</v>
      </c>
      <c r="H32" s="3216">
        <v>51</v>
      </c>
      <c r="I32" s="3216">
        <v>7371</v>
      </c>
    </row>
    <row r="70" spans="5:5">
      <c r="E70" s="3365" t="s">
        <v>5277</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
  <sheetViews>
    <sheetView workbookViewId="0">
      <selection activeCell="S26" sqref="S26"/>
    </sheetView>
  </sheetViews>
  <sheetFormatPr defaultRowHeight="12"/>
  <cols>
    <col min="1" max="2" width="9.375" style="3316" bestFit="1" customWidth="1"/>
    <col min="3" max="3" width="11.5" style="3316" bestFit="1" customWidth="1"/>
    <col min="4" max="8" width="6.375" style="3316" bestFit="1" customWidth="1"/>
    <col min="9" max="9" width="19.125" style="3316" bestFit="1" customWidth="1"/>
    <col min="10" max="10" width="8" style="3316" bestFit="1" customWidth="1"/>
    <col min="11" max="11" width="4.75" style="3316" bestFit="1" customWidth="1"/>
    <col min="12" max="12" width="11.5" style="3316" bestFit="1" customWidth="1"/>
    <col min="13" max="13" width="13.375" style="3316" bestFit="1" customWidth="1"/>
    <col min="14" max="14" width="14.25" style="3316" bestFit="1" customWidth="1"/>
    <col min="15" max="16384" width="9" style="3316"/>
  </cols>
  <sheetData>
    <row r="1" spans="1:14" s="2849" customFormat="1">
      <c r="A1" s="2849" t="s">
        <v>3703</v>
      </c>
      <c r="B1" s="2849" t="s">
        <v>4822</v>
      </c>
      <c r="C1" s="2849" t="s">
        <v>4823</v>
      </c>
      <c r="D1" s="2849" t="s">
        <v>4824</v>
      </c>
      <c r="E1" s="2849" t="s">
        <v>4825</v>
      </c>
      <c r="F1" s="2849" t="s">
        <v>4826</v>
      </c>
      <c r="G1" s="2849" t="s">
        <v>4827</v>
      </c>
      <c r="H1" s="2849" t="s">
        <v>4828</v>
      </c>
      <c r="I1" s="2849" t="s">
        <v>4829</v>
      </c>
      <c r="J1" s="2849" t="s">
        <v>4830</v>
      </c>
      <c r="K1" s="2849" t="s">
        <v>4396</v>
      </c>
      <c r="L1" s="2849" t="s">
        <v>3531</v>
      </c>
      <c r="M1" s="2849" t="s">
        <v>3533</v>
      </c>
      <c r="N1" s="2849" t="s">
        <v>4831</v>
      </c>
    </row>
    <row r="2" spans="1:14" s="2849" customFormat="1">
      <c r="A2" s="3317">
        <v>45800.333333333336</v>
      </c>
      <c r="B2" s="3317">
        <v>45762.333333333336</v>
      </c>
      <c r="C2" s="2849">
        <v>38</v>
      </c>
      <c r="D2" s="2849" t="s">
        <v>4832</v>
      </c>
      <c r="E2" s="2849">
        <v>2</v>
      </c>
      <c r="F2" s="2849">
        <v>8</v>
      </c>
      <c r="G2" s="2849">
        <v>6</v>
      </c>
      <c r="H2" s="2849">
        <v>601</v>
      </c>
      <c r="I2" s="2849" t="s">
        <v>4833</v>
      </c>
      <c r="J2" s="2849" t="s">
        <v>4834</v>
      </c>
      <c r="K2" s="2849" t="s">
        <v>4835</v>
      </c>
      <c r="L2" s="2849">
        <v>116.74</v>
      </c>
      <c r="M2" s="2849">
        <v>333.54</v>
      </c>
      <c r="N2" s="2849">
        <v>28571</v>
      </c>
    </row>
    <row r="3" spans="1:14" s="2849" customFormat="1">
      <c r="A3" s="3317">
        <v>45800.333333333336</v>
      </c>
      <c r="B3" s="3317">
        <v>45762.333333333336</v>
      </c>
      <c r="C3" s="2849">
        <v>38</v>
      </c>
      <c r="D3" s="2849" t="s">
        <v>4836</v>
      </c>
      <c r="E3" s="2849">
        <v>1</v>
      </c>
      <c r="F3" s="2849">
        <v>8</v>
      </c>
      <c r="G3" s="2849">
        <v>7</v>
      </c>
      <c r="H3" s="2849">
        <v>702</v>
      </c>
      <c r="I3" s="2849" t="s">
        <v>4833</v>
      </c>
      <c r="J3" s="2849" t="s">
        <v>4834</v>
      </c>
      <c r="K3" s="2849" t="s">
        <v>4835</v>
      </c>
      <c r="L3" s="2849">
        <v>134.80000000000001</v>
      </c>
      <c r="M3" s="2849">
        <v>385.14</v>
      </c>
      <c r="N3" s="2849">
        <v>28571</v>
      </c>
    </row>
    <row r="4" spans="1:14" s="2849" customFormat="1">
      <c r="A4" s="3317">
        <v>45796.333333333336</v>
      </c>
      <c r="B4" s="3317">
        <v>45762.333333333336</v>
      </c>
      <c r="C4" s="2849">
        <v>34</v>
      </c>
      <c r="D4" s="2849" t="s">
        <v>4837</v>
      </c>
      <c r="E4" s="2849">
        <v>2</v>
      </c>
      <c r="F4" s="2849">
        <v>8</v>
      </c>
      <c r="G4" s="2849">
        <v>6</v>
      </c>
      <c r="H4" s="2849">
        <v>601</v>
      </c>
      <c r="I4" s="2849" t="s">
        <v>4833</v>
      </c>
      <c r="J4" s="2849" t="s">
        <v>4834</v>
      </c>
      <c r="K4" s="2849" t="s">
        <v>4835</v>
      </c>
      <c r="L4" s="2849">
        <v>112.02</v>
      </c>
      <c r="M4" s="2849">
        <v>320.05</v>
      </c>
      <c r="N4" s="2849">
        <v>28571</v>
      </c>
    </row>
    <row r="5" spans="1:14" s="2849" customFormat="1">
      <c r="A5" s="3317">
        <v>45793.333333333336</v>
      </c>
      <c r="B5" s="3317">
        <v>45762.333333333336</v>
      </c>
      <c r="C5" s="2849">
        <v>31</v>
      </c>
      <c r="D5" s="2849" t="s">
        <v>4832</v>
      </c>
      <c r="E5" s="2849">
        <v>2</v>
      </c>
      <c r="F5" s="2849">
        <v>8</v>
      </c>
      <c r="G5" s="2849">
        <v>6</v>
      </c>
      <c r="H5" s="2849">
        <v>601</v>
      </c>
      <c r="I5" s="2849" t="s">
        <v>4833</v>
      </c>
      <c r="J5" s="2849" t="s">
        <v>4834</v>
      </c>
      <c r="K5" s="2849" t="s">
        <v>4835</v>
      </c>
      <c r="L5" s="2849">
        <v>116.74</v>
      </c>
      <c r="M5" s="2849">
        <v>338.37</v>
      </c>
      <c r="N5" s="2849">
        <v>28985</v>
      </c>
    </row>
    <row r="6" spans="1:14" s="2849" customFormat="1">
      <c r="A6" s="3317">
        <v>45788.333333333336</v>
      </c>
      <c r="B6" s="3317">
        <v>45762.333333333336</v>
      </c>
      <c r="C6" s="2849">
        <v>26</v>
      </c>
      <c r="D6" s="2849" t="s">
        <v>4838</v>
      </c>
      <c r="E6" s="2849">
        <v>2</v>
      </c>
      <c r="F6" s="2849">
        <v>8</v>
      </c>
      <c r="G6" s="2849">
        <v>5</v>
      </c>
      <c r="H6" s="2849">
        <v>502</v>
      </c>
      <c r="I6" s="2849" t="s">
        <v>4833</v>
      </c>
      <c r="J6" s="2849" t="s">
        <v>4834</v>
      </c>
      <c r="K6" s="2849" t="s">
        <v>4835</v>
      </c>
      <c r="L6" s="2849">
        <v>114.98</v>
      </c>
      <c r="M6" s="2849">
        <v>324.77999999999997</v>
      </c>
      <c r="N6" s="2849">
        <v>28247</v>
      </c>
    </row>
    <row r="7" spans="1:14" s="2849" customFormat="1">
      <c r="A7" s="3317">
        <v>45787.333333333336</v>
      </c>
      <c r="B7" s="3317">
        <v>45762.333333333336</v>
      </c>
      <c r="C7" s="2849">
        <v>25</v>
      </c>
      <c r="D7" s="2849" t="s">
        <v>4832</v>
      </c>
      <c r="E7" s="2849">
        <v>2</v>
      </c>
      <c r="F7" s="2849">
        <v>8</v>
      </c>
      <c r="G7" s="2849">
        <v>4</v>
      </c>
      <c r="H7" s="2849">
        <v>402</v>
      </c>
      <c r="I7" s="2849" t="s">
        <v>4833</v>
      </c>
      <c r="J7" s="2849" t="s">
        <v>4834</v>
      </c>
      <c r="K7" s="2849" t="s">
        <v>4835</v>
      </c>
      <c r="L7" s="2849">
        <v>116.74</v>
      </c>
      <c r="M7" s="2849">
        <v>329.76</v>
      </c>
      <c r="N7" s="2849">
        <v>28247</v>
      </c>
    </row>
    <row r="8" spans="1:14" s="2849" customFormat="1">
      <c r="A8" s="3317">
        <v>45786.333333333336</v>
      </c>
      <c r="B8" s="3317">
        <v>45762.333333333336</v>
      </c>
      <c r="C8" s="2849">
        <v>24</v>
      </c>
      <c r="D8" s="2849" t="s">
        <v>4832</v>
      </c>
      <c r="E8" s="2849">
        <v>1</v>
      </c>
      <c r="F8" s="2849">
        <v>8</v>
      </c>
      <c r="G8" s="2849">
        <v>5</v>
      </c>
      <c r="H8" s="2849">
        <v>502</v>
      </c>
      <c r="I8" s="2849" t="s">
        <v>4833</v>
      </c>
      <c r="J8" s="2849" t="s">
        <v>4834</v>
      </c>
      <c r="K8" s="2849" t="s">
        <v>4835</v>
      </c>
      <c r="L8" s="2849">
        <v>134.55000000000001</v>
      </c>
      <c r="M8" s="2849">
        <v>380.06</v>
      </c>
      <c r="N8" s="2849">
        <v>28247</v>
      </c>
    </row>
    <row r="9" spans="1:14" s="2849" customFormat="1">
      <c r="A9" s="3317">
        <v>45782.333333333336</v>
      </c>
      <c r="B9" s="3317">
        <v>45762.333333333336</v>
      </c>
      <c r="C9" s="2849">
        <v>20</v>
      </c>
      <c r="D9" s="2849" t="s">
        <v>4839</v>
      </c>
      <c r="E9" s="2849">
        <v>1</v>
      </c>
      <c r="F9" s="2849">
        <v>8</v>
      </c>
      <c r="G9" s="2849">
        <v>4</v>
      </c>
      <c r="H9" s="2849">
        <v>401</v>
      </c>
      <c r="I9" s="2849" t="s">
        <v>4833</v>
      </c>
      <c r="J9" s="2849" t="s">
        <v>4834</v>
      </c>
      <c r="K9" s="2849" t="s">
        <v>4835</v>
      </c>
      <c r="L9" s="2849">
        <v>128.49</v>
      </c>
      <c r="M9" s="2849">
        <v>362.95</v>
      </c>
      <c r="N9" s="2849">
        <v>28247</v>
      </c>
    </row>
    <row r="10" spans="1:14" s="2849" customFormat="1">
      <c r="A10" s="3317">
        <v>45778.333333333336</v>
      </c>
      <c r="B10" s="3317">
        <v>45762.333333333336</v>
      </c>
      <c r="C10" s="2849">
        <v>16</v>
      </c>
      <c r="D10" s="2849" t="s">
        <v>4838</v>
      </c>
      <c r="E10" s="2849">
        <v>2</v>
      </c>
      <c r="F10" s="2849">
        <v>8</v>
      </c>
      <c r="G10" s="2849">
        <v>8</v>
      </c>
      <c r="H10" s="2849">
        <v>801</v>
      </c>
      <c r="I10" s="2849" t="s">
        <v>4833</v>
      </c>
      <c r="J10" s="2849" t="s">
        <v>4834</v>
      </c>
      <c r="K10" s="2849" t="s">
        <v>4835</v>
      </c>
      <c r="L10" s="2849">
        <v>114.6</v>
      </c>
      <c r="M10" s="2849">
        <v>347.16</v>
      </c>
      <c r="N10" s="2849">
        <v>30293</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928</v>
      </c>
      <c r="B2" s="3386" t="s">
        <v>929</v>
      </c>
      <c r="C2" s="3386" t="s">
        <v>930</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5">
      <c r="A3" s="3381"/>
      <c r="B3" s="3381"/>
      <c r="C3" s="3381"/>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34697</v>
      </c>
      <c r="E4" s="796">
        <f ca="1">结果表!E118</f>
        <v>9174</v>
      </c>
      <c r="F4" s="796">
        <f ca="1">结果表!F118</f>
        <v>19858</v>
      </c>
      <c r="G4" s="796">
        <f ca="1">结果表!G118</f>
        <v>5250</v>
      </c>
      <c r="H4" s="796">
        <f ca="1">结果表!H118</f>
        <v>54555</v>
      </c>
      <c r="I4" s="796">
        <f ca="1">结果表!I118</f>
        <v>14424</v>
      </c>
    </row>
    <row r="5" spans="1:9" ht="30" customHeight="1">
      <c r="A5" s="3381" t="s">
        <v>927</v>
      </c>
      <c r="B5" s="3381"/>
      <c r="C5" s="3381"/>
      <c r="D5" s="3381" t="str">
        <f ca="1">结果表!D119</f>
        <v>叁亿肆仟陆佰玖拾柒万元整</v>
      </c>
      <c r="E5" s="3381"/>
      <c r="F5" s="3381" t="str">
        <f ca="1">结果表!F119</f>
        <v>壹亿玖仟捌佰伍拾捌万元整</v>
      </c>
      <c r="G5" s="3381"/>
      <c r="H5" s="3381" t="str">
        <f ca="1">结果表!H119</f>
        <v>伍亿肆仟伍佰伍拾伍万元整</v>
      </c>
      <c r="I5" s="3381"/>
    </row>
    <row r="6" spans="1:9" ht="15.75">
      <c r="A6" s="3380" t="str">
        <f>结果表!A120</f>
        <v>估价师知悉的法定优先受偿款</v>
      </c>
      <c r="B6" s="3380"/>
      <c r="C6" s="3380"/>
      <c r="D6" s="3380">
        <f>结果表!D120</f>
        <v>0</v>
      </c>
      <c r="E6" s="3380"/>
      <c r="F6" s="3380"/>
      <c r="G6" s="3380"/>
      <c r="H6" s="3380"/>
      <c r="I6" s="3380"/>
    </row>
    <row r="7" spans="1:9" ht="15">
      <c r="A7" s="3381" t="s">
        <v>927</v>
      </c>
      <c r="B7" s="3381"/>
      <c r="C7" s="3381"/>
      <c r="D7" s="3382" t="str">
        <f>结果表!D121</f>
        <v>零元整</v>
      </c>
      <c r="E7" s="3383"/>
      <c r="F7" s="3383"/>
      <c r="G7" s="3383"/>
      <c r="H7" s="3383"/>
      <c r="I7" s="3384"/>
    </row>
    <row r="8" spans="1:9" ht="15.75">
      <c r="A8" s="3380" t="str">
        <f>结果表!A122</f>
        <v>房地产抵押价值</v>
      </c>
      <c r="B8" s="3380"/>
      <c r="C8" s="3380"/>
      <c r="D8" s="3380">
        <f ca="1">结果表!D122</f>
        <v>54555</v>
      </c>
      <c r="E8" s="3380"/>
      <c r="F8" s="3380"/>
      <c r="G8" s="3380"/>
      <c r="H8" s="3380"/>
      <c r="I8" s="3380"/>
    </row>
    <row r="9" spans="1:9" ht="15">
      <c r="A9" s="3381" t="s">
        <v>927</v>
      </c>
      <c r="B9" s="3381"/>
      <c r="C9" s="3381"/>
      <c r="D9" s="3381" t="str">
        <f ca="1">结果表!D123</f>
        <v>伍亿肆仟伍佰伍拾伍万元整</v>
      </c>
      <c r="E9" s="3381"/>
      <c r="F9" s="3381"/>
      <c r="G9" s="3381"/>
      <c r="H9" s="3381"/>
      <c r="I9" s="3381"/>
    </row>
    <row r="10" spans="1:9" ht="15.75">
      <c r="A10" s="3380" t="str">
        <f>结果表!A124</f>
        <v/>
      </c>
      <c r="B10" s="3380"/>
      <c r="C10" s="3380"/>
      <c r="D10" s="3380" t="str">
        <f>结果表!D124</f>
        <v>——</v>
      </c>
      <c r="E10" s="3380"/>
      <c r="F10" s="3380"/>
      <c r="G10" s="3380"/>
      <c r="H10" s="3380"/>
      <c r="I10" s="3380"/>
    </row>
    <row r="11" spans="1:9" ht="15">
      <c r="A11" s="3381" t="s">
        <v>927</v>
      </c>
      <c r="B11" s="3381"/>
      <c r="C11" s="3381"/>
      <c r="D11" s="3381" t="e">
        <f>结果表!D125</f>
        <v>#VALUE!</v>
      </c>
      <c r="E11" s="3381"/>
      <c r="F11" s="3381"/>
      <c r="G11" s="3381"/>
      <c r="H11" s="3381"/>
      <c r="I11" s="3381"/>
    </row>
    <row r="12" spans="1:9" ht="15.75">
      <c r="A12" s="3380" t="str">
        <f>结果表!A126</f>
        <v/>
      </c>
      <c r="B12" s="3380"/>
      <c r="C12" s="3380"/>
      <c r="D12" s="3380" t="str">
        <f>结果表!D126</f>
        <v>——</v>
      </c>
      <c r="E12" s="3380"/>
      <c r="F12" s="3380"/>
      <c r="G12" s="3380"/>
      <c r="H12" s="3380"/>
      <c r="I12" s="3380"/>
    </row>
    <row r="13" spans="1:9" ht="15.75" thickBot="1">
      <c r="A13" s="3378" t="s">
        <v>927</v>
      </c>
      <c r="B13" s="3378"/>
      <c r="C13" s="3378"/>
      <c r="D13" s="3378" t="e">
        <f>结果表!D127</f>
        <v>#VALUE!</v>
      </c>
      <c r="E13" s="3378"/>
      <c r="F13" s="3378"/>
      <c r="G13" s="3378"/>
      <c r="H13" s="3378"/>
      <c r="I13" s="3378"/>
    </row>
    <row r="14" spans="1:9" ht="15" thickTop="1">
      <c r="A14" s="3379" t="s">
        <v>932</v>
      </c>
      <c r="B14" s="3379"/>
      <c r="C14" s="3379"/>
      <c r="D14" s="3379"/>
      <c r="E14" s="3379"/>
      <c r="F14" s="3379"/>
      <c r="G14" s="3379"/>
      <c r="H14" s="3379"/>
      <c r="I14" s="3379"/>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topLeftCell="A76" zoomScale="85" zoomScaleNormal="85" workbookViewId="0">
      <selection activeCell="I108" sqref="I108"/>
    </sheetView>
  </sheetViews>
  <sheetFormatPr defaultRowHeight="14.25"/>
  <cols>
    <col min="1" max="677" width="20" style="3214" customWidth="1"/>
    <col min="678" max="16384" width="9" style="3214"/>
  </cols>
  <sheetData>
    <row r="1" spans="1:9">
      <c r="A1" s="3714" t="s">
        <v>3566</v>
      </c>
      <c r="B1" s="3714" t="s">
        <v>3565</v>
      </c>
      <c r="C1" s="3714" t="s">
        <v>3531</v>
      </c>
      <c r="D1" s="3714" t="s">
        <v>3564</v>
      </c>
      <c r="E1" s="3714" t="s">
        <v>3533</v>
      </c>
      <c r="F1" s="3714" t="s">
        <v>3563</v>
      </c>
      <c r="G1" s="3714" t="s">
        <v>3562</v>
      </c>
      <c r="H1" s="3714" t="s">
        <v>3561</v>
      </c>
      <c r="I1" s="3714" t="s">
        <v>3560</v>
      </c>
    </row>
    <row r="2" spans="1:9">
      <c r="A2" s="3214" t="s">
        <v>3559</v>
      </c>
      <c r="B2" s="3214">
        <v>606</v>
      </c>
      <c r="C2" s="3214">
        <v>70061</v>
      </c>
      <c r="D2" s="3214">
        <v>24431</v>
      </c>
      <c r="E2" s="3214">
        <v>171169.13</v>
      </c>
      <c r="F2" s="3214">
        <v>563</v>
      </c>
      <c r="G2" s="3214">
        <v>53359</v>
      </c>
      <c r="H2" s="3214" t="s">
        <v>3535</v>
      </c>
      <c r="I2" s="3214" t="s">
        <v>3535</v>
      </c>
    </row>
    <row r="3" spans="1:9">
      <c r="A3" s="3214" t="s">
        <v>3624</v>
      </c>
      <c r="B3" s="3214">
        <v>6</v>
      </c>
      <c r="C3" s="3214">
        <v>681</v>
      </c>
      <c r="D3" s="3214">
        <v>25663</v>
      </c>
      <c r="E3" s="3214">
        <v>1748.82</v>
      </c>
      <c r="F3" s="3214" t="s">
        <v>3535</v>
      </c>
      <c r="G3" s="3214" t="s">
        <v>3535</v>
      </c>
      <c r="H3" s="3214" t="s">
        <v>3535</v>
      </c>
      <c r="I3" s="3214" t="s">
        <v>3535</v>
      </c>
    </row>
    <row r="4" spans="1:9">
      <c r="A4" s="3214" t="s">
        <v>3558</v>
      </c>
      <c r="B4" s="3214">
        <v>1</v>
      </c>
      <c r="C4" s="3214">
        <v>184</v>
      </c>
      <c r="D4" s="3214">
        <v>28050</v>
      </c>
      <c r="E4" s="3214">
        <v>517.13</v>
      </c>
      <c r="F4" s="3214" t="s">
        <v>3535</v>
      </c>
      <c r="G4" s="3214" t="s">
        <v>3535</v>
      </c>
      <c r="H4" s="3214" t="s">
        <v>3535</v>
      </c>
      <c r="I4" s="3214" t="s">
        <v>3535</v>
      </c>
    </row>
    <row r="5" spans="1:9">
      <c r="A5" s="3214" t="s">
        <v>3623</v>
      </c>
      <c r="B5" s="3214">
        <v>2</v>
      </c>
      <c r="C5" s="3214">
        <v>369</v>
      </c>
      <c r="D5" s="3214">
        <v>22509</v>
      </c>
      <c r="E5" s="3214">
        <v>830.6</v>
      </c>
      <c r="F5" s="3214" t="s">
        <v>3535</v>
      </c>
      <c r="G5" s="3214" t="s">
        <v>3535</v>
      </c>
      <c r="H5" s="3214" t="s">
        <v>3535</v>
      </c>
      <c r="I5" s="3214" t="s">
        <v>3535</v>
      </c>
    </row>
    <row r="6" spans="1:9">
      <c r="A6" s="3214" t="s">
        <v>3557</v>
      </c>
      <c r="B6" s="3214">
        <v>10</v>
      </c>
      <c r="C6" s="3214">
        <v>1233</v>
      </c>
      <c r="D6" s="3214">
        <v>23977</v>
      </c>
      <c r="E6" s="3214">
        <v>2955.75</v>
      </c>
      <c r="F6" s="3214" t="s">
        <v>3535</v>
      </c>
      <c r="G6" s="3214" t="s">
        <v>3535</v>
      </c>
      <c r="H6" s="3214" t="s">
        <v>3535</v>
      </c>
      <c r="I6" s="3214" t="s">
        <v>3535</v>
      </c>
    </row>
    <row r="7" spans="1:9">
      <c r="A7" s="3214" t="s">
        <v>3556</v>
      </c>
      <c r="B7" s="3214">
        <v>9</v>
      </c>
      <c r="C7" s="3214">
        <v>1376</v>
      </c>
      <c r="D7" s="3214">
        <v>23597</v>
      </c>
      <c r="E7" s="3214">
        <v>3247.68</v>
      </c>
      <c r="F7" s="3214" t="s">
        <v>3535</v>
      </c>
      <c r="G7" s="3214" t="s">
        <v>3535</v>
      </c>
      <c r="H7" s="3214">
        <v>66</v>
      </c>
      <c r="I7" s="3214">
        <v>6959</v>
      </c>
    </row>
    <row r="8" spans="1:9">
      <c r="A8" s="3214" t="s">
        <v>3555</v>
      </c>
      <c r="B8" s="3214">
        <v>15</v>
      </c>
      <c r="C8" s="3214">
        <v>2137</v>
      </c>
      <c r="D8" s="3214">
        <v>23316</v>
      </c>
      <c r="E8" s="3214">
        <v>4983.43</v>
      </c>
      <c r="F8" s="3214" t="s">
        <v>3535</v>
      </c>
      <c r="G8" s="3214" t="s">
        <v>3535</v>
      </c>
      <c r="H8" s="3214">
        <v>69</v>
      </c>
      <c r="I8" s="3214">
        <v>7294</v>
      </c>
    </row>
    <row r="9" spans="1:9">
      <c r="A9" s="3214" t="s">
        <v>3554</v>
      </c>
      <c r="B9" s="3214">
        <v>11</v>
      </c>
      <c r="C9" s="3214">
        <v>1802</v>
      </c>
      <c r="D9" s="3214">
        <v>23166</v>
      </c>
      <c r="E9" s="3214">
        <v>4174.37</v>
      </c>
      <c r="F9" s="3214" t="s">
        <v>3535</v>
      </c>
      <c r="G9" s="3214" t="s">
        <v>3535</v>
      </c>
      <c r="H9" s="3214">
        <v>113</v>
      </c>
      <c r="I9" s="3214">
        <v>11266</v>
      </c>
    </row>
    <row r="10" spans="1:9">
      <c r="A10" s="3214" t="s">
        <v>3553</v>
      </c>
      <c r="B10" s="3214">
        <v>10</v>
      </c>
      <c r="C10" s="3214">
        <v>954</v>
      </c>
      <c r="D10" s="3214">
        <v>24813</v>
      </c>
      <c r="E10" s="3214">
        <v>2366.08</v>
      </c>
      <c r="F10" s="3214" t="s">
        <v>3535</v>
      </c>
      <c r="G10" s="3214" t="s">
        <v>3535</v>
      </c>
      <c r="H10" s="3214">
        <v>113</v>
      </c>
      <c r="I10" s="3214">
        <v>11300</v>
      </c>
    </row>
    <row r="11" spans="1:9">
      <c r="A11" s="3214" t="s">
        <v>3552</v>
      </c>
      <c r="B11" s="3214">
        <v>5</v>
      </c>
      <c r="C11" s="3214">
        <v>663</v>
      </c>
      <c r="D11" s="3214">
        <v>24060</v>
      </c>
      <c r="E11" s="3214">
        <v>1595.41</v>
      </c>
      <c r="F11" s="3214" t="s">
        <v>3535</v>
      </c>
      <c r="G11" s="3214" t="s">
        <v>3535</v>
      </c>
      <c r="H11" s="3214">
        <v>140</v>
      </c>
      <c r="I11" s="3214">
        <v>13765</v>
      </c>
    </row>
    <row r="12" spans="1:9">
      <c r="A12" s="3214" t="s">
        <v>3551</v>
      </c>
      <c r="B12" s="3214">
        <v>5</v>
      </c>
      <c r="C12" s="3214">
        <v>424</v>
      </c>
      <c r="D12" s="3214">
        <v>24850</v>
      </c>
      <c r="E12" s="3214">
        <v>1054.54</v>
      </c>
      <c r="F12" s="3214" t="s">
        <v>3535</v>
      </c>
      <c r="G12" s="3214" t="s">
        <v>3535</v>
      </c>
      <c r="H12" s="3214">
        <v>143</v>
      </c>
      <c r="I12" s="3214">
        <v>14057</v>
      </c>
    </row>
    <row r="13" spans="1:9">
      <c r="A13" s="3214" t="s">
        <v>3550</v>
      </c>
      <c r="B13" s="3214">
        <v>8</v>
      </c>
      <c r="C13" s="3214">
        <v>923</v>
      </c>
      <c r="D13" s="3214">
        <v>23885</v>
      </c>
      <c r="E13" s="3214">
        <v>2203.9899999999998</v>
      </c>
      <c r="F13" s="3214" t="s">
        <v>3535</v>
      </c>
      <c r="G13" s="3214" t="s">
        <v>3535</v>
      </c>
      <c r="H13" s="3214">
        <v>148</v>
      </c>
      <c r="I13" s="3214">
        <v>14481</v>
      </c>
    </row>
    <row r="14" spans="1:9">
      <c r="A14" s="3214" t="s">
        <v>3549</v>
      </c>
      <c r="B14" s="3214">
        <v>5</v>
      </c>
      <c r="C14" s="3214">
        <v>663</v>
      </c>
      <c r="D14" s="3214">
        <v>24142</v>
      </c>
      <c r="E14" s="3214">
        <v>1600.86</v>
      </c>
      <c r="F14" s="3214" t="s">
        <v>3535</v>
      </c>
      <c r="G14" s="3214" t="s">
        <v>3535</v>
      </c>
      <c r="H14" s="3214">
        <v>154</v>
      </c>
      <c r="I14" s="3214">
        <v>15003</v>
      </c>
    </row>
    <row r="15" spans="1:9">
      <c r="A15" s="3214" t="s">
        <v>3548</v>
      </c>
      <c r="B15" s="3214">
        <v>3</v>
      </c>
      <c r="C15" s="3214">
        <v>497</v>
      </c>
      <c r="D15" s="3214">
        <v>24709</v>
      </c>
      <c r="E15" s="3214">
        <v>1227.51</v>
      </c>
      <c r="F15" s="3214" t="s">
        <v>3535</v>
      </c>
      <c r="G15" s="3214" t="s">
        <v>3535</v>
      </c>
      <c r="H15" s="3214">
        <v>156</v>
      </c>
      <c r="I15" s="3214">
        <v>15181</v>
      </c>
    </row>
    <row r="16" spans="1:9">
      <c r="A16" s="3214" t="s">
        <v>3547</v>
      </c>
      <c r="B16" s="3214">
        <v>11</v>
      </c>
      <c r="C16" s="3214">
        <v>1109</v>
      </c>
      <c r="D16" s="3214">
        <v>24861</v>
      </c>
      <c r="E16" s="3214">
        <v>2756.16</v>
      </c>
      <c r="F16" s="3214" t="s">
        <v>3535</v>
      </c>
      <c r="G16" s="3214" t="s">
        <v>3535</v>
      </c>
      <c r="H16" s="3214">
        <v>157</v>
      </c>
      <c r="I16" s="3214">
        <v>15304</v>
      </c>
    </row>
    <row r="17" spans="1:9">
      <c r="A17" s="3214" t="s">
        <v>3546</v>
      </c>
      <c r="B17" s="3214">
        <v>5</v>
      </c>
      <c r="C17" s="3214">
        <v>577</v>
      </c>
      <c r="D17" s="3214">
        <v>23779</v>
      </c>
      <c r="E17" s="3214">
        <v>1372.19</v>
      </c>
      <c r="F17" s="3214" t="s">
        <v>3535</v>
      </c>
      <c r="G17" s="3214" t="s">
        <v>3535</v>
      </c>
      <c r="H17" s="3214">
        <v>167</v>
      </c>
      <c r="I17" s="3214">
        <v>16289</v>
      </c>
    </row>
    <row r="18" spans="1:9">
      <c r="A18" s="3214" t="s">
        <v>3545</v>
      </c>
      <c r="B18" s="3214">
        <v>7</v>
      </c>
      <c r="C18" s="3214">
        <v>1215</v>
      </c>
      <c r="D18" s="3214">
        <v>23688</v>
      </c>
      <c r="E18" s="3214">
        <v>2879.24</v>
      </c>
      <c r="F18" s="3214" t="s">
        <v>3535</v>
      </c>
      <c r="G18" s="3214" t="s">
        <v>3535</v>
      </c>
      <c r="H18" s="3214">
        <v>171</v>
      </c>
      <c r="I18" s="3214">
        <v>16681</v>
      </c>
    </row>
    <row r="19" spans="1:9">
      <c r="A19" s="3214" t="s">
        <v>3544</v>
      </c>
      <c r="B19" s="3214">
        <v>11</v>
      </c>
      <c r="C19" s="3214">
        <v>1184</v>
      </c>
      <c r="D19" s="3214">
        <v>25367</v>
      </c>
      <c r="E19" s="3214">
        <v>3002.71</v>
      </c>
      <c r="F19" s="3214" t="s">
        <v>3535</v>
      </c>
      <c r="G19" s="3214" t="s">
        <v>3535</v>
      </c>
      <c r="H19" s="3214">
        <v>172</v>
      </c>
      <c r="I19" s="3214">
        <v>16769</v>
      </c>
    </row>
    <row r="20" spans="1:9">
      <c r="A20" s="3214" t="s">
        <v>3622</v>
      </c>
      <c r="B20" s="3214">
        <v>11</v>
      </c>
      <c r="C20" s="3214">
        <v>1270</v>
      </c>
      <c r="D20" s="3214">
        <v>24934</v>
      </c>
      <c r="E20" s="3214">
        <v>3166.02</v>
      </c>
      <c r="F20" s="3214" t="s">
        <v>3535</v>
      </c>
      <c r="G20" s="3214" t="s">
        <v>3535</v>
      </c>
      <c r="H20" s="3214">
        <v>183</v>
      </c>
      <c r="I20" s="3214">
        <v>17953</v>
      </c>
    </row>
    <row r="21" spans="1:9">
      <c r="A21" s="3214" t="s">
        <v>3621</v>
      </c>
      <c r="B21" s="3214">
        <v>16</v>
      </c>
      <c r="C21" s="3214">
        <v>1951</v>
      </c>
      <c r="D21" s="3214">
        <v>24926</v>
      </c>
      <c r="E21" s="3214">
        <v>4862.2</v>
      </c>
      <c r="F21" s="3214" t="s">
        <v>3535</v>
      </c>
      <c r="G21" s="3214" t="s">
        <v>3535</v>
      </c>
      <c r="H21" s="3214">
        <v>191</v>
      </c>
      <c r="I21" s="3214">
        <v>18730</v>
      </c>
    </row>
    <row r="22" spans="1:9">
      <c r="A22" s="3214" t="s">
        <v>3620</v>
      </c>
      <c r="B22" s="3214">
        <v>21</v>
      </c>
      <c r="C22" s="3214">
        <v>2659</v>
      </c>
      <c r="D22" s="3214">
        <v>24912</v>
      </c>
      <c r="E22" s="3214">
        <v>6623.46</v>
      </c>
      <c r="F22" s="3214" t="s">
        <v>3535</v>
      </c>
      <c r="G22" s="3214" t="s">
        <v>3535</v>
      </c>
      <c r="H22" s="3214">
        <v>204</v>
      </c>
      <c r="I22" s="3214">
        <v>20125</v>
      </c>
    </row>
    <row r="23" spans="1:9">
      <c r="A23" s="3214" t="s">
        <v>3619</v>
      </c>
      <c r="B23" s="3214">
        <v>11</v>
      </c>
      <c r="C23" s="3214">
        <v>1240</v>
      </c>
      <c r="D23" s="3214">
        <v>24701</v>
      </c>
      <c r="E23" s="3214">
        <v>3062.67</v>
      </c>
      <c r="F23" s="3214" t="s">
        <v>3535</v>
      </c>
      <c r="G23" s="3214" t="s">
        <v>3535</v>
      </c>
      <c r="H23" s="3214">
        <v>220</v>
      </c>
      <c r="I23" s="3214">
        <v>21824</v>
      </c>
    </row>
    <row r="24" spans="1:9">
      <c r="A24" s="3214" t="s">
        <v>3618</v>
      </c>
      <c r="B24" s="3214">
        <v>8</v>
      </c>
      <c r="C24" s="3214">
        <v>991</v>
      </c>
      <c r="D24" s="3214">
        <v>24663</v>
      </c>
      <c r="E24" s="3214">
        <v>2444.41</v>
      </c>
      <c r="F24" s="3214" t="s">
        <v>3535</v>
      </c>
      <c r="G24" s="3214" t="s">
        <v>3535</v>
      </c>
      <c r="H24" s="3214">
        <v>230</v>
      </c>
      <c r="I24" s="3214">
        <v>22850</v>
      </c>
    </row>
    <row r="25" spans="1:9">
      <c r="A25" s="3214" t="s">
        <v>3617</v>
      </c>
      <c r="B25" s="3214">
        <v>63</v>
      </c>
      <c r="C25" s="3214">
        <v>6531</v>
      </c>
      <c r="D25" s="3214">
        <v>25343</v>
      </c>
      <c r="E25" s="3214">
        <v>16552.66</v>
      </c>
      <c r="F25" s="3214" t="s">
        <v>3535</v>
      </c>
      <c r="G25" s="3214" t="s">
        <v>3535</v>
      </c>
      <c r="H25" s="3214">
        <v>296</v>
      </c>
      <c r="I25" s="3214">
        <v>29514</v>
      </c>
    </row>
    <row r="26" spans="1:9">
      <c r="A26" s="3214" t="s">
        <v>3616</v>
      </c>
      <c r="B26" s="3214">
        <v>27</v>
      </c>
      <c r="C26" s="3214">
        <v>2830</v>
      </c>
      <c r="D26" s="3214">
        <v>24664</v>
      </c>
      <c r="E26" s="3214">
        <v>6980.44</v>
      </c>
      <c r="F26" s="3214">
        <v>247</v>
      </c>
      <c r="G26" s="3214">
        <v>25310</v>
      </c>
      <c r="H26" s="3214">
        <v>296</v>
      </c>
      <c r="I26" s="3214">
        <v>29514</v>
      </c>
    </row>
    <row r="27" spans="1:9">
      <c r="A27" s="3214" t="s">
        <v>3615</v>
      </c>
      <c r="B27" s="3214">
        <v>8</v>
      </c>
      <c r="C27" s="3214">
        <v>984</v>
      </c>
      <c r="D27" s="3214">
        <v>23371</v>
      </c>
      <c r="E27" s="3214">
        <v>2300.7800000000002</v>
      </c>
      <c r="F27" s="3214" t="s">
        <v>3535</v>
      </c>
      <c r="G27" s="3214" t="s">
        <v>3535</v>
      </c>
      <c r="H27" s="3214">
        <v>78</v>
      </c>
      <c r="I27" s="3214">
        <v>6921</v>
      </c>
    </row>
    <row r="28" spans="1:9">
      <c r="A28" s="3214" t="s">
        <v>3614</v>
      </c>
      <c r="B28" s="3214">
        <v>12</v>
      </c>
      <c r="C28" s="3214">
        <v>1446</v>
      </c>
      <c r="D28" s="3214">
        <v>22941</v>
      </c>
      <c r="E28" s="3214">
        <v>3317.02</v>
      </c>
      <c r="F28" s="3214" t="s">
        <v>3535</v>
      </c>
      <c r="G28" s="3214" t="s">
        <v>3535</v>
      </c>
      <c r="H28" s="3214">
        <v>78</v>
      </c>
      <c r="I28" s="3214">
        <v>6921</v>
      </c>
    </row>
    <row r="29" spans="1:9">
      <c r="A29" s="3214" t="s">
        <v>3613</v>
      </c>
      <c r="B29" s="3214">
        <v>8</v>
      </c>
      <c r="C29" s="3214">
        <v>1217</v>
      </c>
      <c r="D29" s="3214">
        <v>23049</v>
      </c>
      <c r="E29" s="3214">
        <v>2806.21</v>
      </c>
      <c r="F29" s="3214" t="s">
        <v>3535</v>
      </c>
      <c r="G29" s="3214" t="s">
        <v>3535</v>
      </c>
      <c r="H29" s="3214">
        <v>213</v>
      </c>
      <c r="I29" s="3214">
        <v>29361</v>
      </c>
    </row>
    <row r="30" spans="1:9">
      <c r="A30" s="3214" t="s">
        <v>3612</v>
      </c>
      <c r="B30" s="3214">
        <v>14</v>
      </c>
      <c r="C30" s="3214">
        <v>2073</v>
      </c>
      <c r="D30" s="3214">
        <v>23497</v>
      </c>
      <c r="E30" s="3214">
        <v>4871.34</v>
      </c>
      <c r="F30" s="3214" t="s">
        <v>3535</v>
      </c>
      <c r="G30" s="3214" t="s">
        <v>3535</v>
      </c>
      <c r="H30" s="3214">
        <v>213</v>
      </c>
      <c r="I30" s="3214">
        <v>29361</v>
      </c>
    </row>
    <row r="31" spans="1:9">
      <c r="A31" s="3214" t="s">
        <v>3611</v>
      </c>
      <c r="B31" s="3214">
        <v>1</v>
      </c>
      <c r="C31" s="3214">
        <v>89</v>
      </c>
      <c r="D31" s="3214">
        <v>23532</v>
      </c>
      <c r="E31" s="3214">
        <v>209.91</v>
      </c>
      <c r="F31" s="3214" t="s">
        <v>3535</v>
      </c>
      <c r="G31" s="3214" t="s">
        <v>3535</v>
      </c>
      <c r="H31" s="3214">
        <v>213</v>
      </c>
      <c r="I31" s="3214">
        <v>29361</v>
      </c>
    </row>
    <row r="32" spans="1:9">
      <c r="A32" s="3214" t="s">
        <v>3610</v>
      </c>
      <c r="B32" s="3214">
        <v>18</v>
      </c>
      <c r="C32" s="3214">
        <v>1896</v>
      </c>
      <c r="D32" s="3214">
        <v>22872</v>
      </c>
      <c r="E32" s="3214">
        <v>4336.59</v>
      </c>
      <c r="F32" s="3214" t="s">
        <v>3535</v>
      </c>
      <c r="G32" s="3214" t="s">
        <v>3535</v>
      </c>
      <c r="H32" s="3214">
        <v>213</v>
      </c>
      <c r="I32" s="3214">
        <v>29361</v>
      </c>
    </row>
    <row r="33" spans="1:9">
      <c r="A33" s="3214" t="s">
        <v>3609</v>
      </c>
      <c r="B33" s="3214">
        <v>22</v>
      </c>
      <c r="C33" s="3214">
        <v>2448</v>
      </c>
      <c r="D33" s="3214">
        <v>23094</v>
      </c>
      <c r="E33" s="3214">
        <v>5653.64</v>
      </c>
      <c r="F33" s="3214" t="s">
        <v>3535</v>
      </c>
      <c r="G33" s="3214" t="s">
        <v>3535</v>
      </c>
      <c r="H33" s="3214">
        <v>213</v>
      </c>
      <c r="I33" s="3214">
        <v>29361</v>
      </c>
    </row>
    <row r="34" spans="1:9">
      <c r="A34" s="3214" t="s">
        <v>3608</v>
      </c>
      <c r="B34" s="3214">
        <v>18</v>
      </c>
      <c r="C34" s="3214">
        <v>1979</v>
      </c>
      <c r="D34" s="3214">
        <v>22672</v>
      </c>
      <c r="E34" s="3214">
        <v>4487.6400000000003</v>
      </c>
      <c r="F34" s="3214" t="s">
        <v>3535</v>
      </c>
      <c r="G34" s="3214" t="s">
        <v>3535</v>
      </c>
      <c r="H34" s="3214">
        <v>235</v>
      </c>
      <c r="I34" s="3214">
        <v>31809</v>
      </c>
    </row>
    <row r="35" spans="1:9">
      <c r="A35" s="3214" t="s">
        <v>3607</v>
      </c>
      <c r="B35" s="3214">
        <v>23</v>
      </c>
      <c r="C35" s="3214">
        <v>2133</v>
      </c>
      <c r="D35" s="3214">
        <v>22537</v>
      </c>
      <c r="E35" s="3214">
        <v>4808.1499999999996</v>
      </c>
      <c r="F35" s="3214" t="s">
        <v>3535</v>
      </c>
      <c r="G35" s="3214" t="s">
        <v>3535</v>
      </c>
      <c r="H35" s="3214">
        <v>254</v>
      </c>
      <c r="I35" s="3214">
        <v>33973</v>
      </c>
    </row>
    <row r="36" spans="1:9">
      <c r="A36" s="3214" t="s">
        <v>3606</v>
      </c>
      <c r="B36" s="3214">
        <v>12</v>
      </c>
      <c r="C36" s="3214">
        <v>1437</v>
      </c>
      <c r="D36" s="3214">
        <v>22963</v>
      </c>
      <c r="E36" s="3214">
        <v>3299.32</v>
      </c>
      <c r="F36" s="3214" t="s">
        <v>3535</v>
      </c>
      <c r="G36" s="3214" t="s">
        <v>3535</v>
      </c>
      <c r="H36" s="3214">
        <v>280</v>
      </c>
      <c r="I36" s="3214">
        <v>36374</v>
      </c>
    </row>
    <row r="37" spans="1:9">
      <c r="A37" s="3214" t="s">
        <v>3605</v>
      </c>
      <c r="B37" s="3214">
        <v>16</v>
      </c>
      <c r="C37" s="3214">
        <v>2105</v>
      </c>
      <c r="D37" s="3214">
        <v>23128</v>
      </c>
      <c r="E37" s="3214">
        <v>4869.3100000000004</v>
      </c>
      <c r="F37" s="3214" t="s">
        <v>3535</v>
      </c>
      <c r="G37" s="3214" t="s">
        <v>3535</v>
      </c>
      <c r="H37" s="3214">
        <v>298</v>
      </c>
      <c r="I37" s="3214">
        <v>38433</v>
      </c>
    </row>
    <row r="38" spans="1:9">
      <c r="A38" s="3214" t="s">
        <v>3604</v>
      </c>
      <c r="B38" s="3214">
        <v>18</v>
      </c>
      <c r="C38" s="3214">
        <v>2061</v>
      </c>
      <c r="D38" s="3214">
        <v>22956</v>
      </c>
      <c r="E38" s="3214">
        <v>4730.8100000000004</v>
      </c>
      <c r="F38" s="3214" t="s">
        <v>3535</v>
      </c>
      <c r="G38" s="3214" t="s">
        <v>3535</v>
      </c>
      <c r="H38" s="3214">
        <v>316</v>
      </c>
      <c r="I38" s="3214">
        <v>40717</v>
      </c>
    </row>
    <row r="39" spans="1:9">
      <c r="A39" s="3214" t="s">
        <v>3603</v>
      </c>
      <c r="B39" s="3214">
        <v>17</v>
      </c>
      <c r="C39" s="3214">
        <v>1517</v>
      </c>
      <c r="D39" s="3214">
        <v>22792</v>
      </c>
      <c r="E39" s="3214">
        <v>3457.37</v>
      </c>
      <c r="F39" s="3214" t="s">
        <v>3535</v>
      </c>
      <c r="G39" s="3214" t="s">
        <v>3535</v>
      </c>
      <c r="H39" s="3214">
        <v>333</v>
      </c>
      <c r="I39" s="3214">
        <v>42691</v>
      </c>
    </row>
    <row r="40" spans="1:9">
      <c r="A40" s="3214" t="s">
        <v>3602</v>
      </c>
      <c r="B40" s="3214">
        <v>11</v>
      </c>
      <c r="C40" s="3214">
        <v>1076</v>
      </c>
      <c r="D40" s="3214">
        <v>23908</v>
      </c>
      <c r="E40" s="3214">
        <v>2572.06</v>
      </c>
      <c r="F40" s="3214" t="s">
        <v>3535</v>
      </c>
      <c r="G40" s="3214" t="s">
        <v>3535</v>
      </c>
      <c r="H40" s="3214">
        <v>349</v>
      </c>
      <c r="I40" s="3214">
        <v>44120</v>
      </c>
    </row>
    <row r="41" spans="1:9">
      <c r="A41" s="3214" t="s">
        <v>3601</v>
      </c>
      <c r="B41" s="3214">
        <v>1</v>
      </c>
      <c r="C41" s="3214">
        <v>89</v>
      </c>
      <c r="D41" s="3214">
        <v>23697</v>
      </c>
      <c r="E41" s="3214">
        <v>211.38</v>
      </c>
      <c r="F41" s="3214" t="s">
        <v>3535</v>
      </c>
      <c r="G41" s="3214" t="s">
        <v>3535</v>
      </c>
      <c r="H41" s="3214">
        <v>361</v>
      </c>
      <c r="I41" s="3214">
        <v>45284</v>
      </c>
    </row>
    <row r="42" spans="1:9">
      <c r="A42" s="3214" t="s">
        <v>3600</v>
      </c>
      <c r="B42" s="3214" t="s">
        <v>3535</v>
      </c>
      <c r="C42" s="3214" t="s">
        <v>3535</v>
      </c>
      <c r="D42" s="3214" t="s">
        <v>3535</v>
      </c>
      <c r="E42" s="3214" t="s">
        <v>3535</v>
      </c>
      <c r="F42" s="3214" t="s">
        <v>3535</v>
      </c>
      <c r="G42" s="3214" t="s">
        <v>3535</v>
      </c>
      <c r="H42" s="3214">
        <v>362</v>
      </c>
      <c r="I42" s="3214">
        <v>45374</v>
      </c>
    </row>
    <row r="43" spans="1:9">
      <c r="A43" s="3214" t="s">
        <v>3599</v>
      </c>
      <c r="B43" s="3214">
        <v>11</v>
      </c>
      <c r="C43" s="3214">
        <v>1076</v>
      </c>
      <c r="D43" s="3214">
        <v>23334</v>
      </c>
      <c r="E43" s="3214">
        <v>2510.44</v>
      </c>
      <c r="F43" s="3214" t="s">
        <v>3535</v>
      </c>
      <c r="G43" s="3214" t="s">
        <v>3535</v>
      </c>
      <c r="H43" s="3214">
        <v>361</v>
      </c>
      <c r="I43" s="3214">
        <v>45197</v>
      </c>
    </row>
    <row r="44" spans="1:9">
      <c r="A44" s="3214" t="s">
        <v>3598</v>
      </c>
      <c r="B44" s="3214">
        <v>20</v>
      </c>
      <c r="C44" s="3214">
        <v>1959</v>
      </c>
      <c r="D44" s="3214">
        <v>24055</v>
      </c>
      <c r="E44" s="3214">
        <v>4711.9799999999996</v>
      </c>
      <c r="F44" s="3214" t="s">
        <v>3535</v>
      </c>
      <c r="G44" s="3214" t="s">
        <v>3535</v>
      </c>
      <c r="H44" s="3214">
        <v>372</v>
      </c>
      <c r="I44" s="3214">
        <v>46273</v>
      </c>
    </row>
    <row r="45" spans="1:9">
      <c r="A45" s="3214" t="s">
        <v>3597</v>
      </c>
      <c r="B45" s="3214">
        <v>24</v>
      </c>
      <c r="C45" s="3214">
        <v>2315</v>
      </c>
      <c r="D45" s="3214">
        <v>24441</v>
      </c>
      <c r="E45" s="3214">
        <v>5657.41</v>
      </c>
      <c r="F45" s="3214" t="s">
        <v>3535</v>
      </c>
      <c r="G45" s="3214" t="s">
        <v>3535</v>
      </c>
      <c r="H45" s="3214">
        <v>224</v>
      </c>
      <c r="I45" s="3214">
        <v>33339</v>
      </c>
    </row>
    <row r="46" spans="1:9">
      <c r="A46" s="3214" t="s">
        <v>3596</v>
      </c>
      <c r="B46" s="3214" t="s">
        <v>3535</v>
      </c>
      <c r="C46" s="3214" t="s">
        <v>3535</v>
      </c>
      <c r="D46" s="3214" t="s">
        <v>3535</v>
      </c>
      <c r="E46" s="3214" t="s">
        <v>3535</v>
      </c>
      <c r="F46" s="3214" t="s">
        <v>3535</v>
      </c>
      <c r="G46" s="3214" t="s">
        <v>3535</v>
      </c>
      <c r="H46" s="3214">
        <v>248</v>
      </c>
      <c r="I46" s="3214">
        <v>35654</v>
      </c>
    </row>
    <row r="47" spans="1:9">
      <c r="A47" s="3214" t="s">
        <v>3595</v>
      </c>
      <c r="B47" s="3214">
        <v>1</v>
      </c>
      <c r="C47" s="3214">
        <v>184</v>
      </c>
      <c r="D47" s="3214">
        <v>24924</v>
      </c>
      <c r="E47" s="3214">
        <v>459.49</v>
      </c>
      <c r="F47" s="3214" t="s">
        <v>3535</v>
      </c>
      <c r="G47" s="3214" t="s">
        <v>3535</v>
      </c>
      <c r="H47" s="3214">
        <v>135</v>
      </c>
      <c r="I47" s="3214">
        <v>25568</v>
      </c>
    </row>
    <row r="48" spans="1:9">
      <c r="A48" s="3214" t="s">
        <v>3594</v>
      </c>
      <c r="B48" s="3214">
        <v>6</v>
      </c>
      <c r="C48" s="3214">
        <v>1136</v>
      </c>
      <c r="D48" s="3214">
        <v>25413</v>
      </c>
      <c r="E48" s="3214">
        <v>2887.39</v>
      </c>
      <c r="F48" s="3214" t="s">
        <v>3535</v>
      </c>
      <c r="G48" s="3214" t="s">
        <v>3535</v>
      </c>
      <c r="H48" s="3214">
        <v>135</v>
      </c>
      <c r="I48" s="3214">
        <v>25568</v>
      </c>
    </row>
    <row r="49" spans="1:9">
      <c r="A49" s="3214" t="s">
        <v>3593</v>
      </c>
      <c r="B49" s="3214">
        <v>1</v>
      </c>
      <c r="C49" s="3214">
        <v>177</v>
      </c>
      <c r="D49" s="3214">
        <v>24574</v>
      </c>
      <c r="E49" s="3214">
        <v>435.33</v>
      </c>
      <c r="F49" s="3214" t="s">
        <v>3535</v>
      </c>
      <c r="G49" s="3214" t="s">
        <v>3535</v>
      </c>
      <c r="H49" s="3214">
        <v>141</v>
      </c>
      <c r="I49" s="3214">
        <v>26704</v>
      </c>
    </row>
    <row r="50" spans="1:9">
      <c r="A50" s="3214" t="s">
        <v>3592</v>
      </c>
      <c r="B50" s="3214">
        <v>1</v>
      </c>
      <c r="C50" s="3214">
        <v>184</v>
      </c>
      <c r="D50" s="3214">
        <v>26015</v>
      </c>
      <c r="E50" s="3214">
        <v>479.62</v>
      </c>
      <c r="F50" s="3214" t="s">
        <v>3535</v>
      </c>
      <c r="G50" s="3214" t="s">
        <v>3535</v>
      </c>
      <c r="H50" s="3214">
        <v>142</v>
      </c>
      <c r="I50" s="3214">
        <v>26881</v>
      </c>
    </row>
    <row r="51" spans="1:9">
      <c r="A51" s="3214" t="s">
        <v>3591</v>
      </c>
      <c r="B51" s="3214" t="s">
        <v>3535</v>
      </c>
      <c r="C51" s="3214" t="s">
        <v>3535</v>
      </c>
      <c r="D51" s="3214" t="s">
        <v>3535</v>
      </c>
      <c r="E51" s="3214" t="s">
        <v>3535</v>
      </c>
      <c r="F51" s="3214" t="s">
        <v>3535</v>
      </c>
      <c r="G51" s="3214" t="s">
        <v>3535</v>
      </c>
      <c r="H51" s="3214">
        <v>143</v>
      </c>
      <c r="I51" s="3214">
        <v>27065</v>
      </c>
    </row>
    <row r="52" spans="1:9">
      <c r="A52" s="3214" t="s">
        <v>3590</v>
      </c>
      <c r="B52" s="3214">
        <v>1</v>
      </c>
      <c r="C52" s="3214">
        <v>185</v>
      </c>
      <c r="D52" s="3214">
        <v>26235</v>
      </c>
      <c r="E52" s="3214">
        <v>485.16</v>
      </c>
      <c r="F52" s="3214" t="s">
        <v>3535</v>
      </c>
      <c r="G52" s="3214" t="s">
        <v>3535</v>
      </c>
      <c r="H52" s="3214">
        <v>143</v>
      </c>
      <c r="I52" s="3214">
        <v>27065</v>
      </c>
    </row>
    <row r="53" spans="1:9">
      <c r="A53" s="3214" t="s">
        <v>3589</v>
      </c>
      <c r="B53" s="3214" t="s">
        <v>3535</v>
      </c>
      <c r="C53" s="3214" t="s">
        <v>3535</v>
      </c>
      <c r="D53" s="3214" t="s">
        <v>3535</v>
      </c>
      <c r="E53" s="3214" t="s">
        <v>3535</v>
      </c>
      <c r="F53" s="3214" t="s">
        <v>3535</v>
      </c>
      <c r="G53" s="3214" t="s">
        <v>3535</v>
      </c>
      <c r="H53" s="3214">
        <v>144</v>
      </c>
      <c r="I53" s="3214">
        <v>27250</v>
      </c>
    </row>
    <row r="54" spans="1:9">
      <c r="A54" s="3214" t="s">
        <v>3588</v>
      </c>
      <c r="B54" s="3214">
        <v>1</v>
      </c>
      <c r="C54" s="3214">
        <v>187</v>
      </c>
      <c r="D54" s="3214">
        <v>26122</v>
      </c>
      <c r="E54" s="3214">
        <v>488.71</v>
      </c>
      <c r="F54" s="3214" t="s">
        <v>3535</v>
      </c>
      <c r="G54" s="3214" t="s">
        <v>3535</v>
      </c>
      <c r="H54" s="3214">
        <v>144</v>
      </c>
      <c r="I54" s="3214">
        <v>27250</v>
      </c>
    </row>
    <row r="55" spans="1:9">
      <c r="A55" s="3214" t="s">
        <v>3587</v>
      </c>
      <c r="B55" s="3214">
        <v>1</v>
      </c>
      <c r="C55" s="3214">
        <v>187</v>
      </c>
      <c r="D55" s="3214">
        <v>26234</v>
      </c>
      <c r="E55" s="3214">
        <v>490.81</v>
      </c>
      <c r="F55" s="3214" t="s">
        <v>3535</v>
      </c>
      <c r="G55" s="3214" t="s">
        <v>3535</v>
      </c>
      <c r="H55" s="3214">
        <v>145</v>
      </c>
      <c r="I55" s="3214">
        <v>27437</v>
      </c>
    </row>
    <row r="56" spans="1:9">
      <c r="A56" s="3214" t="s">
        <v>3586</v>
      </c>
      <c r="B56" s="3214" t="s">
        <v>3535</v>
      </c>
      <c r="C56" s="3214" t="s">
        <v>3535</v>
      </c>
      <c r="D56" s="3214" t="s">
        <v>3535</v>
      </c>
      <c r="E56" s="3214" t="s">
        <v>3535</v>
      </c>
      <c r="F56" s="3214" t="s">
        <v>3535</v>
      </c>
      <c r="G56" s="3214" t="s">
        <v>3535</v>
      </c>
      <c r="H56" s="3214">
        <v>146</v>
      </c>
      <c r="I56" s="3214">
        <v>27624</v>
      </c>
    </row>
    <row r="57" spans="1:9">
      <c r="A57" s="3214" t="s">
        <v>3585</v>
      </c>
      <c r="B57" s="3214" t="s">
        <v>3535</v>
      </c>
      <c r="C57" s="3214" t="s">
        <v>3535</v>
      </c>
      <c r="D57" s="3214" t="s">
        <v>3535</v>
      </c>
      <c r="E57" s="3214" t="s">
        <v>3535</v>
      </c>
      <c r="F57" s="3214" t="s">
        <v>3535</v>
      </c>
      <c r="G57" s="3214" t="s">
        <v>3535</v>
      </c>
      <c r="H57" s="3214">
        <v>146</v>
      </c>
      <c r="I57" s="3214">
        <v>27624</v>
      </c>
    </row>
    <row r="58" spans="1:9">
      <c r="A58" s="3214" t="s">
        <v>3584</v>
      </c>
      <c r="B58" s="3214">
        <v>1</v>
      </c>
      <c r="C58" s="3214">
        <v>214</v>
      </c>
      <c r="D58" s="3214">
        <v>27611</v>
      </c>
      <c r="E58" s="3214">
        <v>592.07000000000005</v>
      </c>
      <c r="F58" s="3214" t="s">
        <v>3535</v>
      </c>
      <c r="G58" s="3214" t="s">
        <v>3535</v>
      </c>
      <c r="H58" s="3214">
        <v>146</v>
      </c>
      <c r="I58" s="3214">
        <v>27624</v>
      </c>
    </row>
    <row r="59" spans="1:9">
      <c r="A59" s="3214" t="s">
        <v>3583</v>
      </c>
      <c r="B59" s="3214" t="s">
        <v>3535</v>
      </c>
      <c r="C59" s="3214" t="s">
        <v>3535</v>
      </c>
      <c r="D59" s="3214" t="s">
        <v>3535</v>
      </c>
      <c r="E59" s="3214" t="s">
        <v>3535</v>
      </c>
      <c r="F59" s="3214" t="s">
        <v>3535</v>
      </c>
      <c r="G59" s="3214" t="s">
        <v>3535</v>
      </c>
      <c r="H59" s="3214">
        <v>147</v>
      </c>
      <c r="I59" s="3214">
        <v>27839</v>
      </c>
    </row>
    <row r="60" spans="1:9">
      <c r="A60" s="3214" t="s">
        <v>3582</v>
      </c>
      <c r="B60" s="3214">
        <v>2</v>
      </c>
      <c r="C60" s="3214">
        <v>372</v>
      </c>
      <c r="D60" s="3214">
        <v>28743</v>
      </c>
      <c r="E60" s="3214">
        <v>1068.47</v>
      </c>
      <c r="F60" s="3214" t="s">
        <v>3535</v>
      </c>
      <c r="G60" s="3214" t="s">
        <v>3535</v>
      </c>
      <c r="H60" s="3214">
        <v>147</v>
      </c>
      <c r="I60" s="3214">
        <v>27839</v>
      </c>
    </row>
    <row r="61" spans="1:9">
      <c r="A61" s="3214" t="s">
        <v>3581</v>
      </c>
      <c r="B61" s="3214" t="s">
        <v>3535</v>
      </c>
      <c r="C61" s="3214" t="s">
        <v>3535</v>
      </c>
      <c r="D61" s="3214" t="s">
        <v>3535</v>
      </c>
      <c r="E61" s="3214" t="s">
        <v>3535</v>
      </c>
      <c r="F61" s="3214" t="s">
        <v>3535</v>
      </c>
      <c r="G61" s="3214" t="s">
        <v>3535</v>
      </c>
      <c r="H61" s="3214">
        <v>149</v>
      </c>
      <c r="I61" s="3214">
        <v>28211</v>
      </c>
    </row>
    <row r="62" spans="1:9">
      <c r="A62" s="3214" t="s">
        <v>3580</v>
      </c>
      <c r="B62" s="3214" t="s">
        <v>3535</v>
      </c>
      <c r="C62" s="3214" t="s">
        <v>3535</v>
      </c>
      <c r="D62" s="3214" t="s">
        <v>3535</v>
      </c>
      <c r="E62" s="3214" t="s">
        <v>3535</v>
      </c>
      <c r="F62" s="3214" t="s">
        <v>3535</v>
      </c>
      <c r="G62" s="3214" t="s">
        <v>3535</v>
      </c>
      <c r="H62" s="3214">
        <v>418</v>
      </c>
      <c r="I62" s="3214">
        <v>52077</v>
      </c>
    </row>
    <row r="63" spans="1:9">
      <c r="A63" s="3214" t="s">
        <v>3579</v>
      </c>
      <c r="B63" s="3214">
        <v>1</v>
      </c>
      <c r="C63" s="3214">
        <v>186</v>
      </c>
      <c r="D63" s="3214">
        <v>28793</v>
      </c>
      <c r="E63" s="3214">
        <v>535.17999999999995</v>
      </c>
      <c r="F63" s="3214" t="s">
        <v>3535</v>
      </c>
      <c r="G63" s="3214" t="s">
        <v>3535</v>
      </c>
      <c r="H63" s="3214">
        <v>418</v>
      </c>
      <c r="I63" s="3214">
        <v>52077</v>
      </c>
    </row>
    <row r="64" spans="1:9">
      <c r="A64" s="3214" t="s">
        <v>3578</v>
      </c>
      <c r="B64" s="3214" t="s">
        <v>3535</v>
      </c>
      <c r="C64" s="3214" t="s">
        <v>3535</v>
      </c>
      <c r="D64" s="3214" t="s">
        <v>3535</v>
      </c>
      <c r="E64" s="3214" t="s">
        <v>3535</v>
      </c>
      <c r="F64" s="3214" t="s">
        <v>3535</v>
      </c>
      <c r="G64" s="3214" t="s">
        <v>3535</v>
      </c>
      <c r="H64" s="3214">
        <v>419</v>
      </c>
      <c r="I64" s="3214">
        <v>52263</v>
      </c>
    </row>
    <row r="65" spans="1:9">
      <c r="A65" s="3214" t="s">
        <v>3577</v>
      </c>
      <c r="B65" s="3214" t="s">
        <v>3535</v>
      </c>
      <c r="C65" s="3214" t="s">
        <v>3535</v>
      </c>
      <c r="D65" s="3214" t="s">
        <v>3535</v>
      </c>
      <c r="E65" s="3214" t="s">
        <v>3535</v>
      </c>
      <c r="F65" s="3214" t="s">
        <v>3535</v>
      </c>
      <c r="G65" s="3214" t="s">
        <v>3535</v>
      </c>
      <c r="H65" s="3214">
        <v>419</v>
      </c>
      <c r="I65" s="3214">
        <v>52263</v>
      </c>
    </row>
    <row r="66" spans="1:9">
      <c r="A66" s="3214" t="s">
        <v>3576</v>
      </c>
      <c r="B66" s="3214" t="s">
        <v>3535</v>
      </c>
      <c r="C66" s="3214" t="s">
        <v>3535</v>
      </c>
      <c r="D66" s="3214" t="s">
        <v>3535</v>
      </c>
      <c r="E66" s="3214" t="s">
        <v>3535</v>
      </c>
      <c r="F66" s="3214" t="s">
        <v>3535</v>
      </c>
      <c r="G66" s="3214" t="s">
        <v>3535</v>
      </c>
      <c r="H66" s="3214">
        <v>419</v>
      </c>
      <c r="I66" s="3214">
        <v>52263</v>
      </c>
    </row>
    <row r="67" spans="1:9">
      <c r="A67" s="3214" t="s">
        <v>3575</v>
      </c>
      <c r="B67" s="3214">
        <v>8</v>
      </c>
      <c r="C67" s="3214">
        <v>1504</v>
      </c>
      <c r="D67" s="3214">
        <v>28685</v>
      </c>
      <c r="E67" s="3214">
        <v>4313.07</v>
      </c>
      <c r="F67" s="3214" t="s">
        <v>3535</v>
      </c>
      <c r="G67" s="3214" t="s">
        <v>3535</v>
      </c>
      <c r="H67" s="3214">
        <v>419</v>
      </c>
      <c r="I67" s="3214">
        <v>52263</v>
      </c>
    </row>
    <row r="68" spans="1:9">
      <c r="A68" s="3214" t="s">
        <v>3574</v>
      </c>
      <c r="B68" s="3214">
        <v>1</v>
      </c>
      <c r="C68" s="3214">
        <v>89</v>
      </c>
      <c r="D68" s="3214">
        <v>28900</v>
      </c>
      <c r="E68" s="3214">
        <v>257.20999999999998</v>
      </c>
      <c r="F68" s="3214" t="s">
        <v>3535</v>
      </c>
      <c r="G68" s="3214" t="s">
        <v>3535</v>
      </c>
      <c r="H68" s="3214">
        <v>426</v>
      </c>
      <c r="I68" s="3214">
        <v>53680</v>
      </c>
    </row>
    <row r="69" spans="1:9">
      <c r="A69" s="3214" t="s">
        <v>3573</v>
      </c>
      <c r="B69" s="3214">
        <v>2</v>
      </c>
      <c r="C69" s="3214">
        <v>178</v>
      </c>
      <c r="D69" s="3214">
        <v>28899</v>
      </c>
      <c r="E69" s="3214">
        <v>514.17999999999995</v>
      </c>
      <c r="F69" s="3214" t="s">
        <v>3535</v>
      </c>
      <c r="G69" s="3214" t="s">
        <v>3535</v>
      </c>
      <c r="H69" s="3214">
        <v>270</v>
      </c>
      <c r="I69" s="3214">
        <v>23959</v>
      </c>
    </row>
    <row r="70" spans="1:9">
      <c r="A70" s="3214" t="s">
        <v>3572</v>
      </c>
      <c r="B70" s="3214">
        <v>2</v>
      </c>
      <c r="C70" s="3214">
        <v>177</v>
      </c>
      <c r="D70" s="3214">
        <v>28672</v>
      </c>
      <c r="E70" s="3214">
        <v>508.84</v>
      </c>
      <c r="F70" s="3214" t="s">
        <v>3535</v>
      </c>
      <c r="G70" s="3214" t="s">
        <v>3535</v>
      </c>
      <c r="H70" s="3214">
        <v>272</v>
      </c>
      <c r="I70" s="3214">
        <v>24137</v>
      </c>
    </row>
    <row r="71" spans="1:9">
      <c r="A71" s="3214" t="s">
        <v>3571</v>
      </c>
      <c r="B71" s="3214">
        <v>6</v>
      </c>
      <c r="C71" s="3214">
        <v>531</v>
      </c>
      <c r="D71" s="3214">
        <v>28657</v>
      </c>
      <c r="E71" s="3214">
        <v>1521.98</v>
      </c>
      <c r="F71" s="3214" t="s">
        <v>3535</v>
      </c>
      <c r="G71" s="3214" t="s">
        <v>3535</v>
      </c>
      <c r="H71" s="3214">
        <v>274</v>
      </c>
      <c r="I71" s="3214">
        <v>24314</v>
      </c>
    </row>
    <row r="72" spans="1:9">
      <c r="A72" s="3214" t="s">
        <v>3570</v>
      </c>
      <c r="B72" s="3214">
        <v>8</v>
      </c>
      <c r="C72" s="3214">
        <v>713</v>
      </c>
      <c r="D72" s="3214">
        <v>28483</v>
      </c>
      <c r="E72" s="3214">
        <v>2032.02</v>
      </c>
      <c r="F72" s="3214" t="s">
        <v>3535</v>
      </c>
      <c r="G72" s="3214" t="s">
        <v>3535</v>
      </c>
      <c r="H72" s="3214">
        <v>280</v>
      </c>
      <c r="I72" s="3214">
        <v>24845</v>
      </c>
    </row>
    <row r="73" spans="1:9">
      <c r="A73" s="3214" t="s">
        <v>3569</v>
      </c>
      <c r="B73" s="3214">
        <v>7</v>
      </c>
      <c r="C73" s="3214">
        <v>620</v>
      </c>
      <c r="D73" s="3214">
        <v>28555</v>
      </c>
      <c r="E73" s="3214">
        <v>1771.72</v>
      </c>
      <c r="F73" s="3214" t="s">
        <v>3535</v>
      </c>
      <c r="G73" s="3214" t="s">
        <v>3535</v>
      </c>
      <c r="H73" s="3214">
        <v>288</v>
      </c>
      <c r="I73" s="3214">
        <v>25559</v>
      </c>
    </row>
    <row r="74" spans="1:9">
      <c r="A74" s="3214" t="s">
        <v>3568</v>
      </c>
      <c r="B74" s="3214">
        <v>21</v>
      </c>
      <c r="C74" s="3214">
        <v>1870</v>
      </c>
      <c r="D74" s="3214">
        <v>28381</v>
      </c>
      <c r="E74" s="3214">
        <v>5308.18</v>
      </c>
      <c r="F74" s="3214" t="s">
        <v>3535</v>
      </c>
      <c r="G74" s="3214" t="s">
        <v>3535</v>
      </c>
      <c r="H74" s="3214">
        <v>295</v>
      </c>
      <c r="I74" s="3214">
        <v>26179</v>
      </c>
    </row>
    <row r="75" spans="1:9">
      <c r="A75" s="3214" t="s">
        <v>3567</v>
      </c>
      <c r="B75" s="3214" t="s">
        <v>3535</v>
      </c>
      <c r="C75" s="3214" t="s">
        <v>3535</v>
      </c>
      <c r="D75" s="3214" t="s">
        <v>3535</v>
      </c>
      <c r="E75" s="3214" t="s">
        <v>3535</v>
      </c>
      <c r="F75" s="3214">
        <v>316</v>
      </c>
      <c r="G75" s="3214">
        <v>28049</v>
      </c>
      <c r="H75" s="3214">
        <v>316</v>
      </c>
      <c r="I75" s="3214">
        <v>28049</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F28" sqref="F28"/>
    </sheetView>
  </sheetViews>
  <sheetFormatPr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3713" t="s">
        <v>3566</v>
      </c>
      <c r="B1" s="3713" t="s">
        <v>3565</v>
      </c>
      <c r="C1" s="3713" t="s">
        <v>3531</v>
      </c>
      <c r="D1" s="3713" t="s">
        <v>3564</v>
      </c>
      <c r="E1" s="3713" t="s">
        <v>3533</v>
      </c>
      <c r="F1" s="3713" t="s">
        <v>3563</v>
      </c>
      <c r="G1" s="3713" t="s">
        <v>3562</v>
      </c>
      <c r="H1" s="3713" t="s">
        <v>3561</v>
      </c>
      <c r="I1" s="3713" t="s">
        <v>3560</v>
      </c>
    </row>
    <row r="2" spans="1:9">
      <c r="A2" s="3216" t="s">
        <v>3559</v>
      </c>
      <c r="B2" s="3216">
        <v>135</v>
      </c>
      <c r="C2" s="3216">
        <v>16226</v>
      </c>
      <c r="D2" s="3216">
        <v>28324</v>
      </c>
      <c r="E2" s="3216">
        <v>45958.84</v>
      </c>
      <c r="F2" s="3216">
        <v>335</v>
      </c>
      <c r="G2" s="3216">
        <v>40487</v>
      </c>
      <c r="H2" s="3216" t="s">
        <v>3535</v>
      </c>
      <c r="I2" s="3216" t="s">
        <v>3535</v>
      </c>
    </row>
    <row r="3" spans="1:9">
      <c r="A3" s="3216" t="s">
        <v>4843</v>
      </c>
      <c r="B3" s="3216">
        <v>4</v>
      </c>
      <c r="C3" s="3216">
        <v>449</v>
      </c>
      <c r="D3" s="3216">
        <v>27976</v>
      </c>
      <c r="E3" s="3216">
        <v>1257.28</v>
      </c>
      <c r="F3" s="3216" t="s">
        <v>3535</v>
      </c>
      <c r="G3" s="3216" t="s">
        <v>3535</v>
      </c>
      <c r="H3" s="3216" t="s">
        <v>3535</v>
      </c>
      <c r="I3" s="3216" t="s">
        <v>3535</v>
      </c>
    </row>
    <row r="4" spans="1:9">
      <c r="A4" s="3216" t="s">
        <v>3624</v>
      </c>
      <c r="B4" s="3216" t="s">
        <v>3535</v>
      </c>
      <c r="C4" s="3216" t="s">
        <v>3535</v>
      </c>
      <c r="D4" s="3216" t="s">
        <v>3535</v>
      </c>
      <c r="E4" s="3216" t="s">
        <v>3535</v>
      </c>
      <c r="F4" s="3216" t="s">
        <v>3535</v>
      </c>
      <c r="G4" s="3216" t="s">
        <v>3535</v>
      </c>
      <c r="H4" s="3216">
        <v>205</v>
      </c>
      <c r="I4" s="3216">
        <v>24820</v>
      </c>
    </row>
    <row r="5" spans="1:9">
      <c r="A5" s="3216" t="s">
        <v>3558</v>
      </c>
      <c r="B5" s="3216">
        <v>1</v>
      </c>
      <c r="C5" s="3216">
        <v>110</v>
      </c>
      <c r="D5" s="3216">
        <v>27359</v>
      </c>
      <c r="E5" s="3216">
        <v>301.41000000000003</v>
      </c>
      <c r="F5" s="3216" t="s">
        <v>3535</v>
      </c>
      <c r="G5" s="3216" t="s">
        <v>3535</v>
      </c>
      <c r="H5" s="3216" t="s">
        <v>3535</v>
      </c>
      <c r="I5" s="3216" t="s">
        <v>3535</v>
      </c>
    </row>
    <row r="6" spans="1:9">
      <c r="A6" s="3216" t="s">
        <v>3557</v>
      </c>
      <c r="B6" s="3216">
        <v>2</v>
      </c>
      <c r="C6" s="3216">
        <v>251</v>
      </c>
      <c r="D6" s="3216">
        <v>28034</v>
      </c>
      <c r="E6" s="3216">
        <v>702.66</v>
      </c>
      <c r="F6" s="3216" t="s">
        <v>3535</v>
      </c>
      <c r="G6" s="3216" t="s">
        <v>3535</v>
      </c>
      <c r="H6" s="3216" t="s">
        <v>3535</v>
      </c>
      <c r="I6" s="3216" t="s">
        <v>3535</v>
      </c>
    </row>
    <row r="7" spans="1:9">
      <c r="A7" s="3216" t="s">
        <v>3556</v>
      </c>
      <c r="B7" s="3216">
        <v>10</v>
      </c>
      <c r="C7" s="3216">
        <v>1221</v>
      </c>
      <c r="D7" s="3216">
        <v>27985</v>
      </c>
      <c r="E7" s="3216">
        <v>3416.97</v>
      </c>
      <c r="F7" s="3216" t="s">
        <v>3535</v>
      </c>
      <c r="G7" s="3216" t="s">
        <v>3535</v>
      </c>
      <c r="H7" s="3216">
        <v>207</v>
      </c>
      <c r="I7" s="3216">
        <v>25071</v>
      </c>
    </row>
    <row r="8" spans="1:9">
      <c r="A8" s="3216" t="s">
        <v>3555</v>
      </c>
      <c r="B8" s="3216">
        <v>6</v>
      </c>
      <c r="C8" s="3216">
        <v>723</v>
      </c>
      <c r="D8" s="3216">
        <v>28147</v>
      </c>
      <c r="E8" s="3216">
        <v>2033.65</v>
      </c>
      <c r="F8" s="3216" t="s">
        <v>3535</v>
      </c>
      <c r="G8" s="3216" t="s">
        <v>3535</v>
      </c>
      <c r="H8" s="3216">
        <v>217</v>
      </c>
      <c r="I8" s="3216">
        <v>26292</v>
      </c>
    </row>
    <row r="9" spans="1:9">
      <c r="A9" s="3216" t="s">
        <v>3554</v>
      </c>
      <c r="B9" s="3216">
        <v>7</v>
      </c>
      <c r="C9" s="3216">
        <v>883</v>
      </c>
      <c r="D9" s="3216">
        <v>27995</v>
      </c>
      <c r="E9" s="3216">
        <v>2472.16</v>
      </c>
      <c r="F9" s="3216" t="s">
        <v>3535</v>
      </c>
      <c r="G9" s="3216" t="s">
        <v>3535</v>
      </c>
      <c r="H9" s="3216">
        <v>223</v>
      </c>
      <c r="I9" s="3216">
        <v>27014</v>
      </c>
    </row>
    <row r="10" spans="1:9">
      <c r="A10" s="3216" t="s">
        <v>3553</v>
      </c>
      <c r="B10" s="3216">
        <v>13</v>
      </c>
      <c r="C10" s="3216">
        <v>1571</v>
      </c>
      <c r="D10" s="3216">
        <v>28738</v>
      </c>
      <c r="E10" s="3216">
        <v>4515.95</v>
      </c>
      <c r="F10" s="3216" t="s">
        <v>3535</v>
      </c>
      <c r="G10" s="3216" t="s">
        <v>3535</v>
      </c>
      <c r="H10" s="3216">
        <v>230</v>
      </c>
      <c r="I10" s="3216">
        <v>27897</v>
      </c>
    </row>
    <row r="11" spans="1:9">
      <c r="A11" s="3216" t="s">
        <v>3552</v>
      </c>
      <c r="B11" s="3216">
        <v>23</v>
      </c>
      <c r="C11" s="3216">
        <v>2826</v>
      </c>
      <c r="D11" s="3216">
        <v>28257</v>
      </c>
      <c r="E11" s="3216">
        <v>7986.46</v>
      </c>
      <c r="F11" s="3216" t="s">
        <v>3535</v>
      </c>
      <c r="G11" s="3216" t="s">
        <v>3535</v>
      </c>
      <c r="H11" s="3216">
        <v>243</v>
      </c>
      <c r="I11" s="3216">
        <v>29469</v>
      </c>
    </row>
    <row r="12" spans="1:9">
      <c r="A12" s="3216" t="s">
        <v>3551</v>
      </c>
      <c r="B12" s="3216">
        <v>11</v>
      </c>
      <c r="C12" s="3216">
        <v>1289</v>
      </c>
      <c r="D12" s="3216">
        <v>28265</v>
      </c>
      <c r="E12" s="3216">
        <v>3643.82</v>
      </c>
      <c r="F12" s="3216" t="s">
        <v>3535</v>
      </c>
      <c r="G12" s="3216" t="s">
        <v>3535</v>
      </c>
      <c r="H12" s="3216">
        <v>266</v>
      </c>
      <c r="I12" s="3216">
        <v>32295</v>
      </c>
    </row>
    <row r="13" spans="1:9">
      <c r="A13" s="3216" t="s">
        <v>3550</v>
      </c>
      <c r="B13" s="3216">
        <v>16</v>
      </c>
      <c r="C13" s="3216">
        <v>1929</v>
      </c>
      <c r="D13" s="3216">
        <v>28711</v>
      </c>
      <c r="E13" s="3216">
        <v>5537.11</v>
      </c>
      <c r="F13" s="3216" t="s">
        <v>3535</v>
      </c>
      <c r="G13" s="3216" t="s">
        <v>3535</v>
      </c>
      <c r="H13" s="3216">
        <v>277</v>
      </c>
      <c r="I13" s="3216">
        <v>33584</v>
      </c>
    </row>
    <row r="14" spans="1:9">
      <c r="A14" s="3216" t="s">
        <v>3549</v>
      </c>
      <c r="B14" s="3216">
        <v>6</v>
      </c>
      <c r="C14" s="3216">
        <v>731</v>
      </c>
      <c r="D14" s="3216">
        <v>29425</v>
      </c>
      <c r="E14" s="3216">
        <v>2152.2399999999998</v>
      </c>
      <c r="F14" s="3216" t="s">
        <v>3535</v>
      </c>
      <c r="G14" s="3216" t="s">
        <v>3535</v>
      </c>
      <c r="H14" s="3216">
        <v>293</v>
      </c>
      <c r="I14" s="3216">
        <v>35513</v>
      </c>
    </row>
    <row r="15" spans="1:9">
      <c r="A15" s="3216" t="s">
        <v>3548</v>
      </c>
      <c r="B15" s="3216">
        <v>16</v>
      </c>
      <c r="C15" s="3216">
        <v>1850</v>
      </c>
      <c r="D15" s="3216">
        <v>27932</v>
      </c>
      <c r="E15" s="3216">
        <v>5166.0200000000004</v>
      </c>
      <c r="F15" s="3216" t="s">
        <v>3535</v>
      </c>
      <c r="G15" s="3216" t="s">
        <v>3535</v>
      </c>
      <c r="H15" s="3216">
        <v>299</v>
      </c>
      <c r="I15" s="3216">
        <v>36244</v>
      </c>
    </row>
    <row r="16" spans="1:9">
      <c r="A16" s="3216" t="s">
        <v>3547</v>
      </c>
      <c r="B16" s="3216">
        <v>18</v>
      </c>
      <c r="C16" s="3216">
        <v>2143</v>
      </c>
      <c r="D16" s="3216">
        <v>28289</v>
      </c>
      <c r="E16" s="3216">
        <v>6062.01</v>
      </c>
      <c r="F16" s="3216" t="s">
        <v>3535</v>
      </c>
      <c r="G16" s="3216" t="s">
        <v>3535</v>
      </c>
      <c r="H16" s="3216">
        <v>315</v>
      </c>
      <c r="I16" s="3216">
        <v>38094</v>
      </c>
    </row>
    <row r="17" spans="1:9">
      <c r="A17" s="3216" t="s">
        <v>3546</v>
      </c>
      <c r="B17" s="3216">
        <v>1</v>
      </c>
      <c r="C17" s="3216">
        <v>110</v>
      </c>
      <c r="D17" s="3216">
        <v>27932</v>
      </c>
      <c r="E17" s="3216">
        <v>306.47000000000003</v>
      </c>
      <c r="F17" s="3216" t="s">
        <v>3535</v>
      </c>
      <c r="G17" s="3216" t="s">
        <v>3535</v>
      </c>
      <c r="H17" s="3216">
        <v>333</v>
      </c>
      <c r="I17" s="3216">
        <v>40237</v>
      </c>
    </row>
    <row r="18" spans="1:9">
      <c r="A18" s="3216" t="s">
        <v>3545</v>
      </c>
      <c r="B18" s="3216" t="s">
        <v>3535</v>
      </c>
      <c r="C18" s="3216" t="s">
        <v>3535</v>
      </c>
      <c r="D18" s="3216" t="s">
        <v>3535</v>
      </c>
      <c r="E18" s="3216" t="s">
        <v>3535</v>
      </c>
      <c r="F18" s="3216" t="s">
        <v>3535</v>
      </c>
      <c r="G18" s="3216" t="s">
        <v>3535</v>
      </c>
      <c r="H18" s="3216">
        <v>334</v>
      </c>
      <c r="I18" s="3216">
        <v>40346</v>
      </c>
    </row>
    <row r="19" spans="1:9">
      <c r="A19" s="3216" t="s">
        <v>3544</v>
      </c>
      <c r="B19" s="3216">
        <v>1</v>
      </c>
      <c r="C19" s="3216">
        <v>140</v>
      </c>
      <c r="D19" s="3216">
        <v>28836</v>
      </c>
      <c r="E19" s="3216">
        <v>404.62</v>
      </c>
      <c r="F19" s="3216">
        <v>335</v>
      </c>
      <c r="G19" s="3216">
        <v>40487</v>
      </c>
      <c r="H19" s="3216">
        <v>334</v>
      </c>
      <c r="I19" s="3216">
        <v>40346</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workbookViewId="0">
      <selection activeCell="E17" sqref="E17"/>
    </sheetView>
  </sheetViews>
  <sheetFormatPr defaultRowHeight="14.25"/>
  <cols>
    <col min="1" max="650" width="20" style="3214" customWidth="1"/>
    <col min="651" max="16384" width="9" style="3214"/>
  </cols>
  <sheetData>
    <row r="1" spans="1:9">
      <c r="A1" s="3714" t="s">
        <v>3566</v>
      </c>
      <c r="B1" s="3714" t="s">
        <v>3565</v>
      </c>
      <c r="C1" s="3714" t="s">
        <v>3531</v>
      </c>
      <c r="D1" s="3714" t="s">
        <v>3564</v>
      </c>
      <c r="E1" s="3714" t="s">
        <v>3533</v>
      </c>
      <c r="F1" s="3714" t="s">
        <v>3563</v>
      </c>
      <c r="G1" s="3714" t="s">
        <v>3562</v>
      </c>
      <c r="H1" s="3714" t="s">
        <v>3561</v>
      </c>
      <c r="I1" s="3714" t="s">
        <v>3560</v>
      </c>
    </row>
    <row r="2" spans="1:9">
      <c r="A2" s="3214" t="s">
        <v>3559</v>
      </c>
      <c r="B2" s="3214">
        <v>1676</v>
      </c>
      <c r="C2" s="3214">
        <v>163365</v>
      </c>
      <c r="D2" s="3214">
        <v>23826</v>
      </c>
      <c r="E2" s="3214">
        <v>389226.94</v>
      </c>
      <c r="F2" s="3214">
        <v>1666</v>
      </c>
      <c r="G2" s="3214">
        <v>161614</v>
      </c>
      <c r="H2" s="3214" t="s">
        <v>3535</v>
      </c>
      <c r="I2" s="3214" t="s">
        <v>3535</v>
      </c>
    </row>
    <row r="3" spans="1:9">
      <c r="A3" s="3214" t="s">
        <v>3623</v>
      </c>
      <c r="B3" s="3214">
        <v>1</v>
      </c>
      <c r="C3" s="3214">
        <v>90</v>
      </c>
      <c r="D3" s="3214">
        <v>23412</v>
      </c>
      <c r="E3" s="3214">
        <v>210.5</v>
      </c>
      <c r="F3" s="3214" t="s">
        <v>3535</v>
      </c>
      <c r="G3" s="3214" t="s">
        <v>3535</v>
      </c>
      <c r="H3" s="3214" t="s">
        <v>3535</v>
      </c>
      <c r="I3" s="3214" t="s">
        <v>3535</v>
      </c>
    </row>
    <row r="4" spans="1:9">
      <c r="A4" s="3214" t="s">
        <v>3556</v>
      </c>
      <c r="B4" s="3214">
        <v>1</v>
      </c>
      <c r="C4" s="3214">
        <v>135</v>
      </c>
      <c r="D4" s="3214">
        <v>22686</v>
      </c>
      <c r="E4" s="3214">
        <v>305.97000000000003</v>
      </c>
      <c r="F4" s="3214" t="s">
        <v>3535</v>
      </c>
      <c r="G4" s="3214" t="s">
        <v>3535</v>
      </c>
      <c r="H4" s="3214">
        <v>2</v>
      </c>
      <c r="I4" s="3214">
        <v>178</v>
      </c>
    </row>
    <row r="5" spans="1:9">
      <c r="A5" s="3214" t="s">
        <v>3555</v>
      </c>
      <c r="B5" s="3214">
        <v>1</v>
      </c>
      <c r="C5" s="3214">
        <v>89</v>
      </c>
      <c r="D5" s="3214">
        <v>24594</v>
      </c>
      <c r="E5" s="3214">
        <v>220.04</v>
      </c>
      <c r="F5" s="3214" t="s">
        <v>3535</v>
      </c>
      <c r="G5" s="3214" t="s">
        <v>3535</v>
      </c>
      <c r="H5" s="3214">
        <v>3</v>
      </c>
      <c r="I5" s="3214">
        <v>313</v>
      </c>
    </row>
    <row r="6" spans="1:9">
      <c r="A6" s="3214" t="s">
        <v>3554</v>
      </c>
      <c r="B6" s="3214">
        <v>1</v>
      </c>
      <c r="C6" s="3214">
        <v>89</v>
      </c>
      <c r="D6" s="3214">
        <v>25000</v>
      </c>
      <c r="E6" s="3214">
        <v>223.55</v>
      </c>
      <c r="F6" s="3214" t="s">
        <v>3535</v>
      </c>
      <c r="G6" s="3214" t="s">
        <v>3535</v>
      </c>
      <c r="H6" s="3214">
        <v>4</v>
      </c>
      <c r="I6" s="3214">
        <v>403</v>
      </c>
    </row>
    <row r="7" spans="1:9">
      <c r="A7" s="3214" t="s">
        <v>3553</v>
      </c>
      <c r="B7" s="3214" t="s">
        <v>3535</v>
      </c>
      <c r="C7" s="3214" t="s">
        <v>3535</v>
      </c>
      <c r="D7" s="3214" t="s">
        <v>3535</v>
      </c>
      <c r="E7" s="3214" t="s">
        <v>3535</v>
      </c>
      <c r="F7" s="3214" t="s">
        <v>3535</v>
      </c>
      <c r="G7" s="3214" t="s">
        <v>3535</v>
      </c>
      <c r="H7" s="3214">
        <v>4</v>
      </c>
      <c r="I7" s="3214">
        <v>403</v>
      </c>
    </row>
    <row r="8" spans="1:9">
      <c r="A8" s="3214" t="s">
        <v>3552</v>
      </c>
      <c r="B8" s="3214" t="s">
        <v>3535</v>
      </c>
      <c r="C8" s="3214" t="s">
        <v>3535</v>
      </c>
      <c r="D8" s="3214" t="s">
        <v>3535</v>
      </c>
      <c r="E8" s="3214" t="s">
        <v>3535</v>
      </c>
      <c r="F8" s="3214" t="s">
        <v>3535</v>
      </c>
      <c r="G8" s="3214" t="s">
        <v>3535</v>
      </c>
      <c r="H8" s="3214">
        <v>4</v>
      </c>
      <c r="I8" s="3214">
        <v>403</v>
      </c>
    </row>
    <row r="9" spans="1:9">
      <c r="A9" s="3214" t="s">
        <v>3551</v>
      </c>
      <c r="B9" s="3214" t="s">
        <v>3535</v>
      </c>
      <c r="C9" s="3214" t="s">
        <v>3535</v>
      </c>
      <c r="D9" s="3214" t="s">
        <v>3535</v>
      </c>
      <c r="E9" s="3214" t="s">
        <v>3535</v>
      </c>
      <c r="F9" s="3214" t="s">
        <v>3535</v>
      </c>
      <c r="G9" s="3214" t="s">
        <v>3535</v>
      </c>
      <c r="H9" s="3214">
        <v>1</v>
      </c>
      <c r="I9" s="3214">
        <v>89</v>
      </c>
    </row>
    <row r="10" spans="1:9">
      <c r="A10" s="3214" t="s">
        <v>3550</v>
      </c>
      <c r="B10" s="3214" t="s">
        <v>3535</v>
      </c>
      <c r="C10" s="3214" t="s">
        <v>3535</v>
      </c>
      <c r="D10" s="3214" t="s">
        <v>3535</v>
      </c>
      <c r="E10" s="3214" t="s">
        <v>3535</v>
      </c>
      <c r="F10" s="3214" t="s">
        <v>3535</v>
      </c>
      <c r="G10" s="3214" t="s">
        <v>3535</v>
      </c>
      <c r="H10" s="3214">
        <v>1</v>
      </c>
      <c r="I10" s="3214">
        <v>89</v>
      </c>
    </row>
    <row r="11" spans="1:9">
      <c r="A11" s="3214" t="s">
        <v>3549</v>
      </c>
      <c r="B11" s="3214" t="s">
        <v>3535</v>
      </c>
      <c r="C11" s="3214" t="s">
        <v>3535</v>
      </c>
      <c r="D11" s="3214" t="s">
        <v>3535</v>
      </c>
      <c r="E11" s="3214" t="s">
        <v>3535</v>
      </c>
      <c r="F11" s="3214" t="s">
        <v>3535</v>
      </c>
      <c r="G11" s="3214" t="s">
        <v>3535</v>
      </c>
      <c r="H11" s="3214">
        <v>1</v>
      </c>
      <c r="I11" s="3214">
        <v>89</v>
      </c>
    </row>
    <row r="12" spans="1:9">
      <c r="A12" s="3214" t="s">
        <v>3548</v>
      </c>
      <c r="B12" s="3214" t="s">
        <v>3535</v>
      </c>
      <c r="C12" s="3214" t="s">
        <v>3535</v>
      </c>
      <c r="D12" s="3214" t="s">
        <v>3535</v>
      </c>
      <c r="E12" s="3214" t="s">
        <v>3535</v>
      </c>
      <c r="F12" s="3214" t="s">
        <v>3535</v>
      </c>
      <c r="G12" s="3214" t="s">
        <v>3535</v>
      </c>
      <c r="H12" s="3214">
        <v>2</v>
      </c>
      <c r="I12" s="3214">
        <v>179</v>
      </c>
    </row>
    <row r="13" spans="1:9">
      <c r="A13" s="3214" t="s">
        <v>3547</v>
      </c>
      <c r="B13" s="3214" t="s">
        <v>3535</v>
      </c>
      <c r="C13" s="3214" t="s">
        <v>3535</v>
      </c>
      <c r="D13" s="3214" t="s">
        <v>3535</v>
      </c>
      <c r="E13" s="3214" t="s">
        <v>3535</v>
      </c>
      <c r="F13" s="3214" t="s">
        <v>3535</v>
      </c>
      <c r="G13" s="3214" t="s">
        <v>3535</v>
      </c>
      <c r="H13" s="3214">
        <v>2</v>
      </c>
      <c r="I13" s="3214">
        <v>179</v>
      </c>
    </row>
    <row r="14" spans="1:9">
      <c r="A14" s="3214" t="s">
        <v>3546</v>
      </c>
      <c r="B14" s="3214">
        <v>1</v>
      </c>
      <c r="C14" s="3214">
        <v>89</v>
      </c>
      <c r="D14" s="3214">
        <v>21618</v>
      </c>
      <c r="E14" s="3214">
        <v>192.79</v>
      </c>
      <c r="F14" s="3214" t="s">
        <v>3535</v>
      </c>
      <c r="G14" s="3214" t="s">
        <v>3535</v>
      </c>
      <c r="H14" s="3214">
        <v>2</v>
      </c>
      <c r="I14" s="3214">
        <v>179</v>
      </c>
    </row>
    <row r="15" spans="1:9">
      <c r="A15" s="3214" t="s">
        <v>3545</v>
      </c>
      <c r="B15" s="3214" t="s">
        <v>3535</v>
      </c>
      <c r="C15" s="3214" t="s">
        <v>3535</v>
      </c>
      <c r="D15" s="3214" t="s">
        <v>3535</v>
      </c>
      <c r="E15" s="3214" t="s">
        <v>3535</v>
      </c>
      <c r="F15" s="3214" t="s">
        <v>3535</v>
      </c>
      <c r="G15" s="3214" t="s">
        <v>3535</v>
      </c>
      <c r="H15" s="3214">
        <v>5</v>
      </c>
      <c r="I15" s="3214">
        <v>491</v>
      </c>
    </row>
    <row r="16" spans="1:9">
      <c r="A16" s="3214" t="s">
        <v>3544</v>
      </c>
      <c r="B16" s="3214">
        <v>3</v>
      </c>
      <c r="C16" s="3214">
        <v>312</v>
      </c>
      <c r="D16" s="3214">
        <v>22569</v>
      </c>
      <c r="E16" s="3214">
        <v>705.22</v>
      </c>
      <c r="F16" s="3214" t="s">
        <v>3535</v>
      </c>
      <c r="G16" s="3214" t="s">
        <v>3535</v>
      </c>
      <c r="H16" s="3214">
        <v>5</v>
      </c>
      <c r="I16" s="3214">
        <v>491</v>
      </c>
    </row>
    <row r="17" spans="1:9">
      <c r="A17" s="3214" t="s">
        <v>3622</v>
      </c>
      <c r="B17" s="3214" t="s">
        <v>3535</v>
      </c>
      <c r="C17" s="3214" t="s">
        <v>3535</v>
      </c>
      <c r="D17" s="3214" t="s">
        <v>3535</v>
      </c>
      <c r="E17" s="3214" t="s">
        <v>3535</v>
      </c>
      <c r="F17" s="3214" t="s">
        <v>3535</v>
      </c>
      <c r="G17" s="3214" t="s">
        <v>3535</v>
      </c>
      <c r="H17" s="3214">
        <v>8</v>
      </c>
      <c r="I17" s="3214">
        <v>804</v>
      </c>
    </row>
    <row r="18" spans="1:9">
      <c r="A18" s="3214" t="s">
        <v>3621</v>
      </c>
      <c r="B18" s="3214">
        <v>2</v>
      </c>
      <c r="C18" s="3214">
        <v>223</v>
      </c>
      <c r="D18" s="3214">
        <v>22915</v>
      </c>
      <c r="E18" s="3214">
        <v>511.97</v>
      </c>
      <c r="F18" s="3214" t="s">
        <v>3535</v>
      </c>
      <c r="G18" s="3214" t="s">
        <v>3535</v>
      </c>
      <c r="H18" s="3214">
        <v>10</v>
      </c>
      <c r="I18" s="3214">
        <v>980</v>
      </c>
    </row>
    <row r="19" spans="1:9">
      <c r="A19" s="3214" t="s">
        <v>3620</v>
      </c>
      <c r="B19" s="3214">
        <v>2</v>
      </c>
      <c r="C19" s="3214">
        <v>223</v>
      </c>
      <c r="D19" s="3214">
        <v>22620</v>
      </c>
      <c r="E19" s="3214">
        <v>504.76</v>
      </c>
      <c r="F19" s="3214" t="s">
        <v>3535</v>
      </c>
      <c r="G19" s="3214" t="s">
        <v>3535</v>
      </c>
      <c r="H19" s="3214">
        <v>13</v>
      </c>
      <c r="I19" s="3214">
        <v>1292</v>
      </c>
    </row>
    <row r="20" spans="1:9">
      <c r="A20" s="3214" t="s">
        <v>3619</v>
      </c>
      <c r="B20" s="3214">
        <v>1</v>
      </c>
      <c r="C20" s="3214">
        <v>89</v>
      </c>
      <c r="D20" s="3214">
        <v>20631</v>
      </c>
      <c r="E20" s="3214">
        <v>183.59</v>
      </c>
      <c r="F20" s="3214" t="s">
        <v>3535</v>
      </c>
      <c r="G20" s="3214" t="s">
        <v>3535</v>
      </c>
      <c r="H20" s="3214">
        <v>16</v>
      </c>
      <c r="I20" s="3214">
        <v>1605</v>
      </c>
    </row>
    <row r="21" spans="1:9">
      <c r="A21" s="3214" t="s">
        <v>3618</v>
      </c>
      <c r="B21" s="3214">
        <v>18</v>
      </c>
      <c r="C21" s="3214">
        <v>1918</v>
      </c>
      <c r="D21" s="3214">
        <v>21849</v>
      </c>
      <c r="E21" s="3214">
        <v>4190.72</v>
      </c>
      <c r="F21" s="3214" t="s">
        <v>3535</v>
      </c>
      <c r="G21" s="3214" t="s">
        <v>3535</v>
      </c>
      <c r="H21" s="3214">
        <v>20</v>
      </c>
      <c r="I21" s="3214">
        <v>1961</v>
      </c>
    </row>
    <row r="22" spans="1:9">
      <c r="A22" s="3214" t="s">
        <v>3617</v>
      </c>
      <c r="B22" s="3214">
        <v>14</v>
      </c>
      <c r="C22" s="3214">
        <v>1289</v>
      </c>
      <c r="D22" s="3214">
        <v>21190</v>
      </c>
      <c r="E22" s="3214">
        <v>2731.07</v>
      </c>
      <c r="F22" s="3214" t="s">
        <v>3535</v>
      </c>
      <c r="G22" s="3214" t="s">
        <v>3535</v>
      </c>
      <c r="H22" s="3214">
        <v>72</v>
      </c>
      <c r="I22" s="3214">
        <v>6942</v>
      </c>
    </row>
    <row r="23" spans="1:9">
      <c r="A23" s="3214" t="s">
        <v>3616</v>
      </c>
      <c r="B23" s="3214">
        <v>10</v>
      </c>
      <c r="C23" s="3214">
        <v>893</v>
      </c>
      <c r="D23" s="3214">
        <v>21395</v>
      </c>
      <c r="E23" s="3214">
        <v>1910.75</v>
      </c>
      <c r="F23" s="3214" t="s">
        <v>3535</v>
      </c>
      <c r="G23" s="3214" t="s">
        <v>3535</v>
      </c>
      <c r="H23" s="3214">
        <v>72</v>
      </c>
      <c r="I23" s="3214">
        <v>6942</v>
      </c>
    </row>
    <row r="24" spans="1:9">
      <c r="A24" s="3214" t="s">
        <v>3615</v>
      </c>
      <c r="B24" s="3214" t="s">
        <v>3535</v>
      </c>
      <c r="C24" s="3214" t="s">
        <v>3535</v>
      </c>
      <c r="D24" s="3214" t="s">
        <v>3535</v>
      </c>
      <c r="E24" s="3214" t="s">
        <v>3535</v>
      </c>
      <c r="F24" s="3214" t="s">
        <v>3535</v>
      </c>
      <c r="G24" s="3214" t="s">
        <v>3535</v>
      </c>
      <c r="H24" s="3214">
        <v>91</v>
      </c>
      <c r="I24" s="3214">
        <v>8678</v>
      </c>
    </row>
    <row r="25" spans="1:9">
      <c r="A25" s="3214" t="s">
        <v>3614</v>
      </c>
      <c r="B25" s="3214">
        <v>4</v>
      </c>
      <c r="C25" s="3214">
        <v>392</v>
      </c>
      <c r="D25" s="3214">
        <v>20599</v>
      </c>
      <c r="E25" s="3214">
        <v>806.6</v>
      </c>
      <c r="F25" s="3214" t="s">
        <v>3535</v>
      </c>
      <c r="G25" s="3214" t="s">
        <v>3535</v>
      </c>
      <c r="H25" s="3214">
        <v>91</v>
      </c>
      <c r="I25" s="3214">
        <v>8678</v>
      </c>
    </row>
    <row r="26" spans="1:9">
      <c r="A26" s="3214" t="s">
        <v>3613</v>
      </c>
      <c r="B26" s="3214">
        <v>5</v>
      </c>
      <c r="C26" s="3214">
        <v>536</v>
      </c>
      <c r="D26" s="3214">
        <v>21490</v>
      </c>
      <c r="E26" s="3214">
        <v>1151.33</v>
      </c>
      <c r="F26" s="3214" t="s">
        <v>3535</v>
      </c>
      <c r="G26" s="3214" t="s">
        <v>3535</v>
      </c>
      <c r="H26" s="3214">
        <v>170</v>
      </c>
      <c r="I26" s="3214">
        <v>16285</v>
      </c>
    </row>
    <row r="27" spans="1:9">
      <c r="A27" s="3214" t="s">
        <v>3612</v>
      </c>
      <c r="B27" s="3214">
        <v>9</v>
      </c>
      <c r="C27" s="3214">
        <v>938</v>
      </c>
      <c r="D27" s="3214">
        <v>22177</v>
      </c>
      <c r="E27" s="3214">
        <v>2080.5100000000002</v>
      </c>
      <c r="F27" s="3214" t="s">
        <v>3535</v>
      </c>
      <c r="G27" s="3214" t="s">
        <v>3535</v>
      </c>
      <c r="H27" s="3214">
        <v>169</v>
      </c>
      <c r="I27" s="3214">
        <v>16196</v>
      </c>
    </row>
    <row r="28" spans="1:9">
      <c r="A28" s="3214" t="s">
        <v>3611</v>
      </c>
      <c r="B28" s="3214">
        <v>9</v>
      </c>
      <c r="C28" s="3214">
        <v>939</v>
      </c>
      <c r="D28" s="3214">
        <v>21788</v>
      </c>
      <c r="E28" s="3214">
        <v>2044.87</v>
      </c>
      <c r="F28" s="3214" t="s">
        <v>3535</v>
      </c>
      <c r="G28" s="3214" t="s">
        <v>3535</v>
      </c>
      <c r="H28" s="3214">
        <v>169</v>
      </c>
      <c r="I28" s="3214">
        <v>16196</v>
      </c>
    </row>
    <row r="29" spans="1:9">
      <c r="A29" s="3214" t="s">
        <v>3610</v>
      </c>
      <c r="B29" s="3214">
        <v>9</v>
      </c>
      <c r="C29" s="3214">
        <v>802</v>
      </c>
      <c r="D29" s="3214">
        <v>21339</v>
      </c>
      <c r="E29" s="3214">
        <v>1710.96</v>
      </c>
      <c r="F29" s="3214" t="s">
        <v>3535</v>
      </c>
      <c r="G29" s="3214" t="s">
        <v>3535</v>
      </c>
      <c r="H29" s="3214">
        <v>168</v>
      </c>
      <c r="I29" s="3214">
        <v>16107</v>
      </c>
    </row>
    <row r="30" spans="1:9">
      <c r="A30" s="3214" t="s">
        <v>3609</v>
      </c>
      <c r="B30" s="3214">
        <v>21</v>
      </c>
      <c r="C30" s="3214">
        <v>1870</v>
      </c>
      <c r="D30" s="3214">
        <v>22237</v>
      </c>
      <c r="E30" s="3214">
        <v>4157.84</v>
      </c>
      <c r="F30" s="3214" t="s">
        <v>3535</v>
      </c>
      <c r="G30" s="3214" t="s">
        <v>3535</v>
      </c>
      <c r="H30" s="3214">
        <v>167</v>
      </c>
      <c r="I30" s="3214">
        <v>16018</v>
      </c>
    </row>
    <row r="31" spans="1:9">
      <c r="A31" s="3214" t="s">
        <v>3608</v>
      </c>
      <c r="B31" s="3214">
        <v>54</v>
      </c>
      <c r="C31" s="3214">
        <v>5076</v>
      </c>
      <c r="D31" s="3214">
        <v>21492</v>
      </c>
      <c r="E31" s="3214">
        <v>10909.18</v>
      </c>
      <c r="F31" s="3214" t="s">
        <v>3535</v>
      </c>
      <c r="G31" s="3214" t="s">
        <v>3535</v>
      </c>
      <c r="H31" s="3214">
        <v>188</v>
      </c>
      <c r="I31" s="3214">
        <v>17884</v>
      </c>
    </row>
    <row r="32" spans="1:9">
      <c r="A32" s="3214" t="s">
        <v>3607</v>
      </c>
      <c r="B32" s="3214">
        <v>52</v>
      </c>
      <c r="C32" s="3214">
        <v>5301</v>
      </c>
      <c r="D32" s="3214">
        <v>22075</v>
      </c>
      <c r="E32" s="3214">
        <v>11700.97</v>
      </c>
      <c r="F32" s="3214" t="s">
        <v>3535</v>
      </c>
      <c r="G32" s="3214" t="s">
        <v>3535</v>
      </c>
      <c r="H32" s="3214">
        <v>146</v>
      </c>
      <c r="I32" s="3214">
        <v>13778</v>
      </c>
    </row>
    <row r="33" spans="1:9">
      <c r="A33" s="3214" t="s">
        <v>3606</v>
      </c>
      <c r="B33" s="3214">
        <v>17</v>
      </c>
      <c r="C33" s="3214">
        <v>1818</v>
      </c>
      <c r="D33" s="3214">
        <v>22568</v>
      </c>
      <c r="E33" s="3214">
        <v>4101.91</v>
      </c>
      <c r="F33" s="3214" t="s">
        <v>3535</v>
      </c>
      <c r="G33" s="3214" t="s">
        <v>3535</v>
      </c>
      <c r="H33" s="3214">
        <v>199</v>
      </c>
      <c r="I33" s="3214">
        <v>19035</v>
      </c>
    </row>
    <row r="34" spans="1:9">
      <c r="A34" s="3214" t="s">
        <v>3605</v>
      </c>
      <c r="B34" s="3214">
        <v>24</v>
      </c>
      <c r="C34" s="3214">
        <v>2457</v>
      </c>
      <c r="D34" s="3214">
        <v>22408</v>
      </c>
      <c r="E34" s="3214">
        <v>5505.2</v>
      </c>
      <c r="F34" s="3214" t="s">
        <v>3535</v>
      </c>
      <c r="G34" s="3214" t="s">
        <v>3535</v>
      </c>
      <c r="H34" s="3214">
        <v>237</v>
      </c>
      <c r="I34" s="3214">
        <v>23130</v>
      </c>
    </row>
    <row r="35" spans="1:9">
      <c r="A35" s="3214" t="s">
        <v>3604</v>
      </c>
      <c r="B35" s="3214">
        <v>32</v>
      </c>
      <c r="C35" s="3214">
        <v>3079</v>
      </c>
      <c r="D35" s="3214">
        <v>21987</v>
      </c>
      <c r="E35" s="3214">
        <v>6770.74</v>
      </c>
      <c r="F35" s="3214" t="s">
        <v>3535</v>
      </c>
      <c r="G35" s="3214" t="s">
        <v>3535</v>
      </c>
      <c r="H35" s="3214">
        <v>261</v>
      </c>
      <c r="I35" s="3214">
        <v>25587</v>
      </c>
    </row>
    <row r="36" spans="1:9">
      <c r="A36" s="3214" t="s">
        <v>3603</v>
      </c>
      <c r="B36" s="3214">
        <v>34</v>
      </c>
      <c r="C36" s="3214">
        <v>3216</v>
      </c>
      <c r="D36" s="3214">
        <v>22088</v>
      </c>
      <c r="E36" s="3214">
        <v>7103.94</v>
      </c>
      <c r="F36" s="3214" t="s">
        <v>3535</v>
      </c>
      <c r="G36" s="3214" t="s">
        <v>3535</v>
      </c>
      <c r="H36" s="3214">
        <v>292</v>
      </c>
      <c r="I36" s="3214">
        <v>28469</v>
      </c>
    </row>
    <row r="37" spans="1:9">
      <c r="A37" s="3214" t="s">
        <v>3602</v>
      </c>
      <c r="B37" s="3214">
        <v>61</v>
      </c>
      <c r="C37" s="3214">
        <v>6017</v>
      </c>
      <c r="D37" s="3214">
        <v>22400</v>
      </c>
      <c r="E37" s="3214">
        <v>13477.37</v>
      </c>
      <c r="F37" s="3214" t="s">
        <v>3535</v>
      </c>
      <c r="G37" s="3214" t="s">
        <v>3535</v>
      </c>
      <c r="H37" s="3214">
        <v>327</v>
      </c>
      <c r="I37" s="3214">
        <v>31745</v>
      </c>
    </row>
    <row r="38" spans="1:9">
      <c r="A38" s="3214" t="s">
        <v>3601</v>
      </c>
      <c r="B38" s="3214">
        <v>16</v>
      </c>
      <c r="C38" s="3214">
        <v>1564</v>
      </c>
      <c r="D38" s="3214">
        <v>22471</v>
      </c>
      <c r="E38" s="3214">
        <v>3514.81</v>
      </c>
      <c r="F38" s="3214" t="s">
        <v>3535</v>
      </c>
      <c r="G38" s="3214" t="s">
        <v>3535</v>
      </c>
      <c r="H38" s="3214">
        <v>388</v>
      </c>
      <c r="I38" s="3214">
        <v>37762</v>
      </c>
    </row>
    <row r="39" spans="1:9">
      <c r="A39" s="3214" t="s">
        <v>3600</v>
      </c>
      <c r="B39" s="3214">
        <v>15</v>
      </c>
      <c r="C39" s="3214">
        <v>1461</v>
      </c>
      <c r="D39" s="3214">
        <v>22443</v>
      </c>
      <c r="E39" s="3214">
        <v>3279.39</v>
      </c>
      <c r="F39" s="3214" t="s">
        <v>3535</v>
      </c>
      <c r="G39" s="3214" t="s">
        <v>3535</v>
      </c>
      <c r="H39" s="3214">
        <v>403</v>
      </c>
      <c r="I39" s="3214">
        <v>39198</v>
      </c>
    </row>
    <row r="40" spans="1:9">
      <c r="A40" s="3214" t="s">
        <v>3599</v>
      </c>
      <c r="B40" s="3214">
        <v>10</v>
      </c>
      <c r="C40" s="3214">
        <v>894</v>
      </c>
      <c r="D40" s="3214">
        <v>21944</v>
      </c>
      <c r="E40" s="3214">
        <v>1962.51</v>
      </c>
      <c r="F40" s="3214">
        <v>344</v>
      </c>
      <c r="G40" s="3214">
        <v>33371</v>
      </c>
      <c r="H40" s="3214">
        <v>415</v>
      </c>
      <c r="I40" s="3214">
        <v>40352</v>
      </c>
    </row>
    <row r="41" spans="1:9">
      <c r="A41" s="3214" t="s">
        <v>3598</v>
      </c>
      <c r="B41" s="3214">
        <v>21</v>
      </c>
      <c r="C41" s="3214">
        <v>1945</v>
      </c>
      <c r="D41" s="3214">
        <v>22718</v>
      </c>
      <c r="E41" s="3214">
        <v>4419.1499999999996</v>
      </c>
      <c r="F41" s="3214" t="s">
        <v>3535</v>
      </c>
      <c r="G41" s="3214" t="s">
        <v>3535</v>
      </c>
      <c r="H41" s="3214">
        <v>81</v>
      </c>
      <c r="I41" s="3214">
        <v>7876</v>
      </c>
    </row>
    <row r="42" spans="1:9">
      <c r="A42" s="3214" t="s">
        <v>3597</v>
      </c>
      <c r="B42" s="3214">
        <v>47</v>
      </c>
      <c r="C42" s="3214">
        <v>4368</v>
      </c>
      <c r="D42" s="3214">
        <v>22389</v>
      </c>
      <c r="E42" s="3214">
        <v>9779.83</v>
      </c>
      <c r="F42" s="3214" t="s">
        <v>3535</v>
      </c>
      <c r="G42" s="3214" t="s">
        <v>3535</v>
      </c>
      <c r="H42" s="3214">
        <v>102</v>
      </c>
      <c r="I42" s="3214">
        <v>9821</v>
      </c>
    </row>
    <row r="43" spans="1:9">
      <c r="A43" s="3214" t="s">
        <v>3596</v>
      </c>
      <c r="B43" s="3214">
        <v>81</v>
      </c>
      <c r="C43" s="3214">
        <v>7642</v>
      </c>
      <c r="D43" s="3214">
        <v>22622</v>
      </c>
      <c r="E43" s="3214">
        <v>17289.009999999998</v>
      </c>
      <c r="F43" s="3214" t="s">
        <v>3535</v>
      </c>
      <c r="G43" s="3214" t="s">
        <v>3535</v>
      </c>
      <c r="H43" s="3214">
        <v>215</v>
      </c>
      <c r="I43" s="3214">
        <v>20148</v>
      </c>
    </row>
    <row r="44" spans="1:9">
      <c r="A44" s="3214" t="s">
        <v>3595</v>
      </c>
      <c r="B44" s="3214">
        <v>101</v>
      </c>
      <c r="C44" s="3214">
        <v>9734</v>
      </c>
      <c r="D44" s="3214">
        <v>23362</v>
      </c>
      <c r="E44" s="3214">
        <v>22739.5</v>
      </c>
      <c r="F44" s="3214" t="s">
        <v>3535</v>
      </c>
      <c r="G44" s="3214" t="s">
        <v>3535</v>
      </c>
      <c r="H44" s="3214">
        <v>293</v>
      </c>
      <c r="I44" s="3214">
        <v>27523</v>
      </c>
    </row>
    <row r="45" spans="1:9">
      <c r="A45" s="3214" t="s">
        <v>3594</v>
      </c>
      <c r="B45" s="3214">
        <v>28</v>
      </c>
      <c r="C45" s="3214">
        <v>2615</v>
      </c>
      <c r="D45" s="3214">
        <v>23841</v>
      </c>
      <c r="E45" s="3214">
        <v>6235.08</v>
      </c>
      <c r="F45" s="3214" t="s">
        <v>3535</v>
      </c>
      <c r="G45" s="3214" t="s">
        <v>3535</v>
      </c>
      <c r="H45" s="3214" t="s">
        <v>3535</v>
      </c>
      <c r="I45" s="3214" t="s">
        <v>3535</v>
      </c>
    </row>
    <row r="46" spans="1:9">
      <c r="A46" s="3214" t="s">
        <v>3593</v>
      </c>
      <c r="B46" s="3214">
        <v>57</v>
      </c>
      <c r="C46" s="3214">
        <v>5682</v>
      </c>
      <c r="D46" s="3214">
        <v>23978</v>
      </c>
      <c r="E46" s="3214">
        <v>13624.57</v>
      </c>
      <c r="F46" s="3214" t="s">
        <v>3535</v>
      </c>
      <c r="G46" s="3214" t="s">
        <v>3535</v>
      </c>
      <c r="H46" s="3214">
        <v>418</v>
      </c>
      <c r="I46" s="3214">
        <v>39470</v>
      </c>
    </row>
    <row r="47" spans="1:9">
      <c r="A47" s="3214" t="s">
        <v>3592</v>
      </c>
      <c r="B47" s="3214">
        <v>49</v>
      </c>
      <c r="C47" s="3214">
        <v>4712</v>
      </c>
      <c r="D47" s="3214">
        <v>23380</v>
      </c>
      <c r="E47" s="3214">
        <v>11016.51</v>
      </c>
      <c r="F47" s="3214">
        <v>188</v>
      </c>
      <c r="G47" s="3214">
        <v>18001</v>
      </c>
      <c r="H47" s="3214">
        <v>473</v>
      </c>
      <c r="I47" s="3214">
        <v>44940</v>
      </c>
    </row>
    <row r="48" spans="1:9">
      <c r="A48" s="3214" t="s">
        <v>3591</v>
      </c>
      <c r="B48" s="3214">
        <v>95</v>
      </c>
      <c r="C48" s="3214">
        <v>9188</v>
      </c>
      <c r="D48" s="3214">
        <v>23357</v>
      </c>
      <c r="E48" s="3214">
        <v>21460.91</v>
      </c>
      <c r="F48" s="3214" t="s">
        <v>3535</v>
      </c>
      <c r="G48" s="3214" t="s">
        <v>3535</v>
      </c>
      <c r="H48" s="3214">
        <v>334</v>
      </c>
      <c r="I48" s="3214">
        <v>31652</v>
      </c>
    </row>
    <row r="49" spans="1:9">
      <c r="A49" s="3214" t="s">
        <v>3590</v>
      </c>
      <c r="B49" s="3214">
        <v>11</v>
      </c>
      <c r="C49" s="3214">
        <v>1149</v>
      </c>
      <c r="D49" s="3214">
        <v>22960</v>
      </c>
      <c r="E49" s="3214">
        <v>2637.15</v>
      </c>
      <c r="F49" s="3214" t="s">
        <v>3535</v>
      </c>
      <c r="G49" s="3214" t="s">
        <v>3535</v>
      </c>
      <c r="H49" s="3214">
        <v>426</v>
      </c>
      <c r="I49" s="3214">
        <v>40484</v>
      </c>
    </row>
    <row r="50" spans="1:9">
      <c r="A50" s="3214" t="s">
        <v>3589</v>
      </c>
      <c r="B50" s="3214">
        <v>31</v>
      </c>
      <c r="C50" s="3214">
        <v>2906</v>
      </c>
      <c r="D50" s="3214">
        <v>23030</v>
      </c>
      <c r="E50" s="3214">
        <v>6693.62</v>
      </c>
      <c r="F50" s="3214" t="s">
        <v>3535</v>
      </c>
      <c r="G50" s="3214" t="s">
        <v>3535</v>
      </c>
      <c r="H50" s="3214">
        <v>437</v>
      </c>
      <c r="I50" s="3214">
        <v>41633</v>
      </c>
    </row>
    <row r="51" spans="1:9">
      <c r="A51" s="3214" t="s">
        <v>3588</v>
      </c>
      <c r="B51" s="3214">
        <v>60</v>
      </c>
      <c r="C51" s="3214">
        <v>5675</v>
      </c>
      <c r="D51" s="3214">
        <v>22909</v>
      </c>
      <c r="E51" s="3214">
        <v>13000.46</v>
      </c>
      <c r="F51" s="3214" t="s">
        <v>3535</v>
      </c>
      <c r="G51" s="3214" t="s">
        <v>3535</v>
      </c>
      <c r="H51" s="3214">
        <v>467</v>
      </c>
      <c r="I51" s="3214">
        <v>44450</v>
      </c>
    </row>
    <row r="52" spans="1:9">
      <c r="A52" s="3214" t="s">
        <v>3587</v>
      </c>
      <c r="B52" s="3214">
        <v>76</v>
      </c>
      <c r="C52" s="3214">
        <v>7236</v>
      </c>
      <c r="D52" s="3214">
        <v>23171</v>
      </c>
      <c r="E52" s="3214">
        <v>16767.23</v>
      </c>
      <c r="F52" s="3214">
        <v>218</v>
      </c>
      <c r="G52" s="3214">
        <v>21093</v>
      </c>
      <c r="H52" s="3214">
        <v>522</v>
      </c>
      <c r="I52" s="3214">
        <v>49634</v>
      </c>
    </row>
    <row r="53" spans="1:9">
      <c r="A53" s="3214" t="s">
        <v>3586</v>
      </c>
      <c r="B53" s="3214">
        <v>31</v>
      </c>
      <c r="C53" s="3214">
        <v>3168</v>
      </c>
      <c r="D53" s="3214">
        <v>25325</v>
      </c>
      <c r="E53" s="3214">
        <v>8023.09</v>
      </c>
      <c r="F53" s="3214" t="s">
        <v>3535</v>
      </c>
      <c r="G53" s="3214" t="s">
        <v>3535</v>
      </c>
      <c r="H53" s="3214">
        <v>372</v>
      </c>
      <c r="I53" s="3214">
        <v>35026</v>
      </c>
    </row>
    <row r="54" spans="1:9">
      <c r="A54" s="3214" t="s">
        <v>3585</v>
      </c>
      <c r="B54" s="3214">
        <v>35</v>
      </c>
      <c r="C54" s="3214">
        <v>3346</v>
      </c>
      <c r="D54" s="3214">
        <v>25154</v>
      </c>
      <c r="E54" s="3214">
        <v>8416.75</v>
      </c>
      <c r="F54" s="3214" t="s">
        <v>3535</v>
      </c>
      <c r="G54" s="3214" t="s">
        <v>3535</v>
      </c>
      <c r="H54" s="3214">
        <v>400</v>
      </c>
      <c r="I54" s="3214">
        <v>37882</v>
      </c>
    </row>
    <row r="55" spans="1:9">
      <c r="A55" s="3214" t="s">
        <v>3584</v>
      </c>
      <c r="B55" s="3214">
        <v>30</v>
      </c>
      <c r="C55" s="3214">
        <v>3038</v>
      </c>
      <c r="D55" s="3214">
        <v>25557</v>
      </c>
      <c r="E55" s="3214">
        <v>7764.53</v>
      </c>
      <c r="F55" s="3214" t="s">
        <v>3535</v>
      </c>
      <c r="G55" s="3214" t="s">
        <v>3535</v>
      </c>
      <c r="H55" s="3214">
        <v>434</v>
      </c>
      <c r="I55" s="3214">
        <v>41139</v>
      </c>
    </row>
    <row r="56" spans="1:9">
      <c r="A56" s="3214" t="s">
        <v>3583</v>
      </c>
      <c r="B56" s="3214">
        <v>36</v>
      </c>
      <c r="C56" s="3214">
        <v>3525</v>
      </c>
      <c r="D56" s="3214">
        <v>25705</v>
      </c>
      <c r="E56" s="3214">
        <v>9061.92</v>
      </c>
      <c r="F56" s="3214" t="s">
        <v>3535</v>
      </c>
      <c r="G56" s="3214" t="s">
        <v>3535</v>
      </c>
      <c r="H56" s="3214">
        <v>463</v>
      </c>
      <c r="I56" s="3214">
        <v>44088</v>
      </c>
    </row>
    <row r="57" spans="1:9">
      <c r="A57" s="3214" t="s">
        <v>3582</v>
      </c>
      <c r="B57" s="3214">
        <v>34</v>
      </c>
      <c r="C57" s="3214">
        <v>3391</v>
      </c>
      <c r="D57" s="3214">
        <v>25635</v>
      </c>
      <c r="E57" s="3214">
        <v>8692.2000000000007</v>
      </c>
      <c r="F57" s="3214" t="s">
        <v>3535</v>
      </c>
      <c r="G57" s="3214" t="s">
        <v>3535</v>
      </c>
      <c r="H57" s="3214">
        <v>499</v>
      </c>
      <c r="I57" s="3214">
        <v>47613</v>
      </c>
    </row>
    <row r="58" spans="1:9">
      <c r="A58" s="3214" t="s">
        <v>3581</v>
      </c>
      <c r="B58" s="3214">
        <v>39</v>
      </c>
      <c r="C58" s="3214">
        <v>3829</v>
      </c>
      <c r="D58" s="3214">
        <v>25434</v>
      </c>
      <c r="E58" s="3214">
        <v>9738.2800000000007</v>
      </c>
      <c r="F58" s="3214" t="s">
        <v>3535</v>
      </c>
      <c r="G58" s="3214" t="s">
        <v>3535</v>
      </c>
      <c r="H58" s="3214">
        <v>533</v>
      </c>
      <c r="I58" s="3214">
        <v>51004</v>
      </c>
    </row>
    <row r="59" spans="1:9">
      <c r="A59" s="3214" t="s">
        <v>3580</v>
      </c>
      <c r="B59" s="3214">
        <v>57</v>
      </c>
      <c r="C59" s="3214">
        <v>5433</v>
      </c>
      <c r="D59" s="3214">
        <v>25223</v>
      </c>
      <c r="E59" s="3214">
        <v>13704.9</v>
      </c>
      <c r="F59" s="3214" t="s">
        <v>3535</v>
      </c>
      <c r="G59" s="3214" t="s">
        <v>3535</v>
      </c>
      <c r="H59" s="3214">
        <v>567</v>
      </c>
      <c r="I59" s="3214">
        <v>54343</v>
      </c>
    </row>
    <row r="60" spans="1:9">
      <c r="A60" s="3214" t="s">
        <v>3579</v>
      </c>
      <c r="B60" s="3214" t="s">
        <v>3535</v>
      </c>
      <c r="C60" s="3214" t="s">
        <v>3535</v>
      </c>
      <c r="D60" s="3214" t="s">
        <v>3535</v>
      </c>
      <c r="E60" s="3214" t="s">
        <v>3535</v>
      </c>
      <c r="F60" s="3214" t="s">
        <v>3535</v>
      </c>
      <c r="G60" s="3214" t="s">
        <v>3535</v>
      </c>
      <c r="H60" s="3214">
        <v>618</v>
      </c>
      <c r="I60" s="3214">
        <v>59243</v>
      </c>
    </row>
    <row r="61" spans="1:9">
      <c r="A61" s="3214" t="s">
        <v>3578</v>
      </c>
      <c r="B61" s="3214">
        <v>5</v>
      </c>
      <c r="C61" s="3214">
        <v>444</v>
      </c>
      <c r="D61" s="3214">
        <v>23576</v>
      </c>
      <c r="E61" s="3214">
        <v>1045.8699999999999</v>
      </c>
      <c r="F61" s="3214" t="s">
        <v>3535</v>
      </c>
      <c r="G61" s="3214" t="s">
        <v>3535</v>
      </c>
      <c r="H61" s="3214">
        <v>609</v>
      </c>
      <c r="I61" s="3214">
        <v>58396</v>
      </c>
    </row>
    <row r="62" spans="1:9">
      <c r="A62" s="3214" t="s">
        <v>3577</v>
      </c>
      <c r="B62" s="3214">
        <v>4</v>
      </c>
      <c r="C62" s="3214">
        <v>400</v>
      </c>
      <c r="D62" s="3214">
        <v>25243</v>
      </c>
      <c r="E62" s="3214">
        <v>1010.72</v>
      </c>
      <c r="F62" s="3214" t="s">
        <v>3535</v>
      </c>
      <c r="G62" s="3214" t="s">
        <v>3535</v>
      </c>
      <c r="H62" s="3214">
        <v>614</v>
      </c>
      <c r="I62" s="3214">
        <v>58840</v>
      </c>
    </row>
    <row r="63" spans="1:9">
      <c r="A63" s="3214" t="s">
        <v>3576</v>
      </c>
      <c r="B63" s="3214">
        <v>41</v>
      </c>
      <c r="C63" s="3214">
        <v>4003</v>
      </c>
      <c r="D63" s="3214">
        <v>25303</v>
      </c>
      <c r="E63" s="3214">
        <v>10129.459999999999</v>
      </c>
      <c r="F63" s="3214" t="s">
        <v>3535</v>
      </c>
      <c r="G63" s="3214" t="s">
        <v>3535</v>
      </c>
      <c r="H63" s="3214">
        <v>617</v>
      </c>
      <c r="I63" s="3214">
        <v>59151</v>
      </c>
    </row>
    <row r="64" spans="1:9">
      <c r="A64" s="3214" t="s">
        <v>3575</v>
      </c>
      <c r="B64" s="3214">
        <v>48</v>
      </c>
      <c r="C64" s="3214">
        <v>4679</v>
      </c>
      <c r="D64" s="3214">
        <v>24598</v>
      </c>
      <c r="E64" s="3214">
        <v>11510.55</v>
      </c>
      <c r="F64" s="3214" t="s">
        <v>3535</v>
      </c>
      <c r="G64" s="3214" t="s">
        <v>3535</v>
      </c>
      <c r="H64" s="3214">
        <v>652</v>
      </c>
      <c r="I64" s="3214">
        <v>62575</v>
      </c>
    </row>
    <row r="65" spans="1:9">
      <c r="A65" s="3214" t="s">
        <v>3574</v>
      </c>
      <c r="B65" s="3214">
        <v>58</v>
      </c>
      <c r="C65" s="3214">
        <v>5613</v>
      </c>
      <c r="D65" s="3214">
        <v>23727</v>
      </c>
      <c r="E65" s="3214">
        <v>13318.47</v>
      </c>
      <c r="F65" s="3214" t="s">
        <v>3535</v>
      </c>
      <c r="G65" s="3214" t="s">
        <v>3535</v>
      </c>
      <c r="H65" s="3214">
        <v>689</v>
      </c>
      <c r="I65" s="3214">
        <v>66230</v>
      </c>
    </row>
    <row r="66" spans="1:9">
      <c r="A66" s="3214" t="s">
        <v>3573</v>
      </c>
      <c r="B66" s="3214">
        <v>18</v>
      </c>
      <c r="C66" s="3214">
        <v>1648</v>
      </c>
      <c r="D66" s="3214">
        <v>25989</v>
      </c>
      <c r="E66" s="3214">
        <v>4282.3500000000004</v>
      </c>
      <c r="F66" s="3214" t="s">
        <v>3535</v>
      </c>
      <c r="G66" s="3214" t="s">
        <v>3535</v>
      </c>
      <c r="H66" s="3214">
        <v>743</v>
      </c>
      <c r="I66" s="3214">
        <v>71396</v>
      </c>
    </row>
    <row r="67" spans="1:9">
      <c r="A67" s="3214" t="s">
        <v>3572</v>
      </c>
      <c r="B67" s="3214">
        <v>34</v>
      </c>
      <c r="C67" s="3214">
        <v>3433</v>
      </c>
      <c r="D67" s="3214">
        <v>27560</v>
      </c>
      <c r="E67" s="3214">
        <v>9462.24</v>
      </c>
      <c r="F67" s="3214" t="s">
        <v>3535</v>
      </c>
      <c r="G67" s="3214" t="s">
        <v>3535</v>
      </c>
      <c r="H67" s="3214">
        <v>761</v>
      </c>
      <c r="I67" s="3214">
        <v>73044</v>
      </c>
    </row>
    <row r="68" spans="1:9">
      <c r="A68" s="3214" t="s">
        <v>3571</v>
      </c>
      <c r="B68" s="3214">
        <v>28</v>
      </c>
      <c r="C68" s="3214">
        <v>2854</v>
      </c>
      <c r="D68" s="3214">
        <v>27604</v>
      </c>
      <c r="E68" s="3214">
        <v>7878.14</v>
      </c>
      <c r="F68" s="3214">
        <v>499</v>
      </c>
      <c r="G68" s="3214">
        <v>48495</v>
      </c>
      <c r="H68" s="3214">
        <v>795</v>
      </c>
      <c r="I68" s="3214">
        <v>76478</v>
      </c>
    </row>
    <row r="69" spans="1:9">
      <c r="A69" s="3214" t="s">
        <v>3570</v>
      </c>
      <c r="B69" s="3214">
        <v>43</v>
      </c>
      <c r="C69" s="3214">
        <v>4594</v>
      </c>
      <c r="D69" s="3214">
        <v>27744</v>
      </c>
      <c r="E69" s="3214">
        <v>12744.58</v>
      </c>
      <c r="F69" s="3214" t="s">
        <v>3535</v>
      </c>
      <c r="G69" s="3214" t="s">
        <v>3535</v>
      </c>
      <c r="H69" s="3214">
        <v>324</v>
      </c>
      <c r="I69" s="3214">
        <v>30837</v>
      </c>
    </row>
    <row r="70" spans="1:9">
      <c r="A70" s="3214" t="s">
        <v>3569</v>
      </c>
      <c r="B70" s="3214">
        <v>28</v>
      </c>
      <c r="C70" s="3214">
        <v>2812</v>
      </c>
      <c r="D70" s="3214">
        <v>27421</v>
      </c>
      <c r="E70" s="3214">
        <v>7709.76</v>
      </c>
      <c r="F70" s="3214" t="s">
        <v>3535</v>
      </c>
      <c r="G70" s="3214" t="s">
        <v>3535</v>
      </c>
      <c r="H70" s="3214">
        <v>366</v>
      </c>
      <c r="I70" s="3214">
        <v>35341</v>
      </c>
    </row>
    <row r="71" spans="1:9">
      <c r="A71" s="3214" t="s">
        <v>3568</v>
      </c>
      <c r="B71" s="3214">
        <v>23</v>
      </c>
      <c r="C71" s="3214">
        <v>2502</v>
      </c>
      <c r="D71" s="3214">
        <v>27587</v>
      </c>
      <c r="E71" s="3214">
        <v>6901.05</v>
      </c>
      <c r="F71" s="3214" t="s">
        <v>3535</v>
      </c>
      <c r="G71" s="3214" t="s">
        <v>3535</v>
      </c>
      <c r="H71" s="3214">
        <v>394</v>
      </c>
      <c r="I71" s="3214">
        <v>38153</v>
      </c>
    </row>
    <row r="72" spans="1:9">
      <c r="A72" s="3214" t="s">
        <v>3567</v>
      </c>
      <c r="B72" s="3214" t="s">
        <v>3535</v>
      </c>
      <c r="C72" s="3214" t="s">
        <v>3535</v>
      </c>
      <c r="D72" s="3214" t="s">
        <v>3535</v>
      </c>
      <c r="E72" s="3214" t="s">
        <v>3535</v>
      </c>
      <c r="F72" s="3214">
        <v>417</v>
      </c>
      <c r="G72" s="3214">
        <v>40654</v>
      </c>
      <c r="H72" s="3214">
        <v>417</v>
      </c>
      <c r="I72" s="3214">
        <v>40654</v>
      </c>
    </row>
  </sheetData>
  <mergeCells count="9">
    <mergeCell ref="F1"/>
    <mergeCell ref="G1"/>
    <mergeCell ref="H1"/>
    <mergeCell ref="I1"/>
    <mergeCell ref="A1"/>
    <mergeCell ref="B1"/>
    <mergeCell ref="C1"/>
    <mergeCell ref="D1"/>
    <mergeCell ref="E1"/>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N40" sqref="N40"/>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3">
      <c r="A1" s="3713" t="s">
        <v>5279</v>
      </c>
      <c r="B1" s="3713"/>
      <c r="C1" s="3713"/>
      <c r="D1" s="3713"/>
      <c r="E1" s="3713"/>
      <c r="F1" s="3713"/>
      <c r="G1" s="3713"/>
      <c r="H1" s="3713"/>
      <c r="I1" s="3713"/>
      <c r="J1" s="3713"/>
      <c r="K1" s="3713"/>
    </row>
    <row r="2" spans="1:13">
      <c r="A2" s="3713" t="s">
        <v>3527</v>
      </c>
      <c r="B2" s="3713" t="s">
        <v>3528</v>
      </c>
      <c r="C2" s="3713" t="s">
        <v>3529</v>
      </c>
      <c r="D2" s="3713" t="s">
        <v>3530</v>
      </c>
      <c r="E2" s="3713" t="s">
        <v>3531</v>
      </c>
      <c r="F2" s="3713" t="s">
        <v>3532</v>
      </c>
      <c r="G2" s="3713" t="s">
        <v>3533</v>
      </c>
      <c r="H2" s="3713" t="s">
        <v>3642</v>
      </c>
      <c r="I2" s="3713" t="s">
        <v>3562</v>
      </c>
      <c r="J2" s="3713" t="s">
        <v>4841</v>
      </c>
      <c r="K2" s="3713" t="s">
        <v>3560</v>
      </c>
    </row>
    <row r="3" spans="1:13">
      <c r="A3" s="3216" t="s">
        <v>3534</v>
      </c>
      <c r="B3" s="3216" t="s">
        <v>3535</v>
      </c>
      <c r="C3" s="3216" t="s">
        <v>3535</v>
      </c>
      <c r="D3" s="3216">
        <v>1250</v>
      </c>
      <c r="E3" s="3216">
        <v>41970</v>
      </c>
      <c r="F3" s="3216">
        <v>2385</v>
      </c>
      <c r="G3" s="3216">
        <v>10011.69</v>
      </c>
      <c r="H3" s="3216">
        <v>278</v>
      </c>
      <c r="I3" s="3216">
        <v>9641</v>
      </c>
      <c r="J3" s="3216">
        <v>2351</v>
      </c>
      <c r="K3" s="3216">
        <v>82509</v>
      </c>
    </row>
    <row r="4" spans="1:13">
      <c r="A4" s="3366" t="s">
        <v>3641</v>
      </c>
      <c r="B4" s="3366" t="s">
        <v>3537</v>
      </c>
      <c r="C4" s="3366" t="s">
        <v>3538</v>
      </c>
      <c r="D4" s="3366">
        <v>937</v>
      </c>
      <c r="E4" s="3366">
        <v>32398</v>
      </c>
      <c r="F4" s="3366">
        <v>2143</v>
      </c>
      <c r="G4" s="3366">
        <v>6943.13</v>
      </c>
      <c r="H4" s="3366" t="s">
        <v>3535</v>
      </c>
      <c r="I4" s="3366" t="s">
        <v>3535</v>
      </c>
      <c r="J4" s="3366">
        <v>1465</v>
      </c>
      <c r="K4" s="3366">
        <v>50372</v>
      </c>
    </row>
    <row r="5" spans="1:13">
      <c r="A5" s="3366" t="s">
        <v>3542</v>
      </c>
      <c r="B5" s="3366" t="s">
        <v>3537</v>
      </c>
      <c r="C5" s="3366" t="s">
        <v>3543</v>
      </c>
      <c r="D5" s="3366">
        <v>156</v>
      </c>
      <c r="E5" s="3366">
        <v>4060</v>
      </c>
      <c r="F5" s="3366">
        <v>1365</v>
      </c>
      <c r="G5" s="3366">
        <v>554.11</v>
      </c>
      <c r="H5" s="3366" t="s">
        <v>3535</v>
      </c>
      <c r="I5" s="3366" t="s">
        <v>3535</v>
      </c>
      <c r="J5" s="3366">
        <v>3</v>
      </c>
      <c r="K5" s="3366">
        <v>78</v>
      </c>
    </row>
    <row r="6" spans="1:13" s="3217" customFormat="1">
      <c r="A6" s="3749" t="s">
        <v>3539</v>
      </c>
      <c r="B6" s="3749" t="s">
        <v>3537</v>
      </c>
      <c r="C6" s="3749" t="s">
        <v>3538</v>
      </c>
      <c r="D6" s="3749">
        <v>88</v>
      </c>
      <c r="E6" s="3749">
        <v>3165</v>
      </c>
      <c r="F6" s="3749">
        <v>4303</v>
      </c>
      <c r="G6" s="3749">
        <v>1361.73</v>
      </c>
      <c r="H6" s="3749">
        <v>278</v>
      </c>
      <c r="I6" s="3749">
        <v>9641</v>
      </c>
      <c r="J6" s="3749">
        <v>445</v>
      </c>
      <c r="K6" s="3749">
        <v>15197</v>
      </c>
      <c r="L6" s="3217">
        <f>E6/K6</f>
        <v>0.20826478910311247</v>
      </c>
    </row>
    <row r="7" spans="1:13" s="3217" customFormat="1">
      <c r="A7" s="3749" t="s">
        <v>3540</v>
      </c>
      <c r="B7" s="3749" t="s">
        <v>3537</v>
      </c>
      <c r="C7" s="3749" t="s">
        <v>3538</v>
      </c>
      <c r="D7" s="3749">
        <v>37</v>
      </c>
      <c r="E7" s="3749">
        <v>1201</v>
      </c>
      <c r="F7" s="3749">
        <v>6115</v>
      </c>
      <c r="G7" s="3749">
        <v>734.12</v>
      </c>
      <c r="H7" s="3749" t="s">
        <v>3535</v>
      </c>
      <c r="I7" s="3749" t="s">
        <v>3535</v>
      </c>
      <c r="J7" s="3749">
        <v>11</v>
      </c>
      <c r="K7" s="3749">
        <v>376</v>
      </c>
      <c r="L7" s="3217">
        <f>E7/K7</f>
        <v>3.1941489361702127</v>
      </c>
    </row>
    <row r="8" spans="1:13">
      <c r="A8" s="3366" t="s">
        <v>3640</v>
      </c>
      <c r="B8" s="3366" t="s">
        <v>3537</v>
      </c>
      <c r="C8" s="3366" t="s">
        <v>3538</v>
      </c>
      <c r="D8" s="3366">
        <v>20</v>
      </c>
      <c r="E8" s="3366">
        <v>625</v>
      </c>
      <c r="F8" s="3366">
        <v>3992</v>
      </c>
      <c r="G8" s="3366">
        <v>249.6</v>
      </c>
      <c r="H8" s="3366" t="s">
        <v>3535</v>
      </c>
      <c r="I8" s="3366" t="s">
        <v>3535</v>
      </c>
      <c r="J8" s="3366">
        <v>18</v>
      </c>
      <c r="K8" s="3366">
        <v>552</v>
      </c>
    </row>
    <row r="9" spans="1:13">
      <c r="A9" s="3366" t="s">
        <v>4851</v>
      </c>
      <c r="B9" s="3366" t="s">
        <v>3537</v>
      </c>
      <c r="C9" s="3366" t="s">
        <v>3538</v>
      </c>
      <c r="D9" s="3366">
        <v>9</v>
      </c>
      <c r="E9" s="3366">
        <v>418</v>
      </c>
      <c r="F9" s="3366">
        <v>2511</v>
      </c>
      <c r="G9" s="3366">
        <v>105</v>
      </c>
      <c r="H9" s="3366" t="s">
        <v>3535</v>
      </c>
      <c r="I9" s="3366" t="s">
        <v>3535</v>
      </c>
      <c r="J9" s="3366">
        <v>181</v>
      </c>
      <c r="K9" s="3366">
        <v>8132</v>
      </c>
    </row>
    <row r="10" spans="1:13" s="3217" customFormat="1">
      <c r="A10" s="3749" t="s">
        <v>3541</v>
      </c>
      <c r="B10" s="3749" t="s">
        <v>3537</v>
      </c>
      <c r="C10" s="3749" t="s">
        <v>3538</v>
      </c>
      <c r="D10" s="3749">
        <v>3</v>
      </c>
      <c r="E10" s="3749">
        <v>104</v>
      </c>
      <c r="F10" s="3749">
        <v>6167</v>
      </c>
      <c r="G10" s="3749">
        <v>64</v>
      </c>
      <c r="H10" s="3749" t="s">
        <v>3535</v>
      </c>
      <c r="I10" s="3749" t="s">
        <v>3535</v>
      </c>
      <c r="J10" s="3749">
        <v>221</v>
      </c>
      <c r="K10" s="3749">
        <v>7590</v>
      </c>
      <c r="L10" s="3217">
        <f>E10/K10</f>
        <v>1.370223978919631E-2</v>
      </c>
      <c r="M10" s="3217">
        <f>G10/D10</f>
        <v>21.333333333333332</v>
      </c>
    </row>
    <row r="11" spans="1:13">
      <c r="A11" s="3366" t="s">
        <v>5278</v>
      </c>
      <c r="B11" s="3366" t="s">
        <v>3537</v>
      </c>
      <c r="C11" s="3366" t="s">
        <v>3538</v>
      </c>
      <c r="D11" s="3366" t="s">
        <v>3535</v>
      </c>
      <c r="E11" s="3366" t="s">
        <v>3535</v>
      </c>
      <c r="F11" s="3366" t="s">
        <v>3535</v>
      </c>
      <c r="G11" s="3366" t="s">
        <v>3535</v>
      </c>
      <c r="H11" s="3366" t="s">
        <v>3535</v>
      </c>
      <c r="I11" s="3366" t="s">
        <v>3535</v>
      </c>
      <c r="J11" s="3366">
        <v>7</v>
      </c>
      <c r="K11" s="3366">
        <v>213</v>
      </c>
    </row>
  </sheetData>
  <mergeCells count="12">
    <mergeCell ref="J2"/>
    <mergeCell ref="K2"/>
    <mergeCell ref="A1:K1"/>
    <mergeCell ref="A2"/>
    <mergeCell ref="B2"/>
    <mergeCell ref="C2"/>
    <mergeCell ref="D2"/>
    <mergeCell ref="E2"/>
    <mergeCell ref="F2"/>
    <mergeCell ref="G2"/>
    <mergeCell ref="H2"/>
    <mergeCell ref="I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24" t="s">
        <v>2597</v>
      </c>
      <c r="B20" s="3719" t="s">
        <v>2618</v>
      </c>
      <c r="C20" s="2833" t="s">
        <v>2429</v>
      </c>
      <c r="D20" s="2834"/>
      <c r="E20" s="2835">
        <v>1</v>
      </c>
      <c r="F20" s="2836" t="s">
        <v>2430</v>
      </c>
      <c r="G20" s="2836"/>
    </row>
    <row r="21" spans="1:13" ht="19.5" customHeight="1">
      <c r="A21" s="3725"/>
      <c r="B21" s="3718"/>
      <c r="C21" s="2837" t="s">
        <v>2431</v>
      </c>
      <c r="D21" s="2838"/>
      <c r="E21" s="2839">
        <v>1</v>
      </c>
      <c r="F21" s="2836" t="s">
        <v>2432</v>
      </c>
      <c r="G21" s="2836"/>
    </row>
    <row r="22" spans="1:13" ht="19.5" customHeight="1">
      <c r="A22" s="3725"/>
      <c r="B22" s="3718"/>
      <c r="C22" s="2837" t="s">
        <v>2433</v>
      </c>
      <c r="D22" s="2838"/>
      <c r="E22" s="2839">
        <v>0.9</v>
      </c>
      <c r="F22" s="2836" t="s">
        <v>2434</v>
      </c>
      <c r="G22" s="2836"/>
    </row>
    <row r="23" spans="1:13" ht="19.5" customHeight="1">
      <c r="A23" s="3725"/>
      <c r="B23" s="3718"/>
      <c r="C23" s="2837" t="s">
        <v>2435</v>
      </c>
      <c r="D23" s="2838"/>
      <c r="E23" s="2839">
        <v>0.9</v>
      </c>
      <c r="F23" s="2836" t="s">
        <v>2436</v>
      </c>
      <c r="G23" s="2836"/>
    </row>
    <row r="24" spans="1:13" ht="19.5" customHeight="1">
      <c r="A24" s="3725"/>
      <c r="B24" s="3718"/>
      <c r="C24" s="2837" t="s">
        <v>2437</v>
      </c>
      <c r="D24" s="2838"/>
      <c r="E24" s="2839">
        <v>0.8</v>
      </c>
      <c r="F24" s="2836" t="s">
        <v>2438</v>
      </c>
      <c r="G24" s="2836"/>
    </row>
    <row r="25" spans="1:13" ht="19.5" customHeight="1" thickBot="1">
      <c r="A25" s="3726"/>
      <c r="B25" s="3720"/>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21" t="s">
        <v>2621</v>
      </c>
      <c r="B27" s="3719" t="s">
        <v>2602</v>
      </c>
      <c r="C27" s="2833" t="s">
        <v>2442</v>
      </c>
      <c r="D27" s="2834"/>
      <c r="E27" s="2835">
        <v>1</v>
      </c>
      <c r="F27" s="2836" t="s">
        <v>2443</v>
      </c>
      <c r="G27" s="2836"/>
    </row>
    <row r="28" spans="1:13" ht="19.5" customHeight="1">
      <c r="A28" s="3722"/>
      <c r="B28" s="3718"/>
      <c r="C28" s="2837" t="s">
        <v>2444</v>
      </c>
      <c r="D28" s="2838"/>
      <c r="E28" s="2839">
        <v>1</v>
      </c>
      <c r="F28" s="2836" t="s">
        <v>2445</v>
      </c>
      <c r="G28" s="2836"/>
    </row>
    <row r="29" spans="1:13" ht="19.5" customHeight="1">
      <c r="A29" s="3722"/>
      <c r="B29" s="3718"/>
      <c r="C29" s="2837" t="s">
        <v>2446</v>
      </c>
      <c r="D29" s="2838"/>
      <c r="E29" s="2839">
        <v>0.8</v>
      </c>
      <c r="F29" s="2836" t="s">
        <v>2447</v>
      </c>
      <c r="G29" s="2836"/>
    </row>
    <row r="30" spans="1:13" ht="19.5" customHeight="1">
      <c r="A30" s="3722"/>
      <c r="B30" s="3718"/>
      <c r="C30" s="2837" t="s">
        <v>2448</v>
      </c>
      <c r="D30" s="2838"/>
      <c r="E30" s="2839">
        <v>0.8</v>
      </c>
      <c r="F30" s="2836" t="s">
        <v>2449</v>
      </c>
      <c r="G30" s="2836"/>
    </row>
    <row r="31" spans="1:13" ht="19.5" customHeight="1">
      <c r="A31" s="3722"/>
      <c r="B31" s="3718"/>
      <c r="C31" s="2837" t="s">
        <v>2450</v>
      </c>
      <c r="D31" s="2838"/>
      <c r="E31" s="2839">
        <v>0.8</v>
      </c>
      <c r="F31" s="2836" t="s">
        <v>2451</v>
      </c>
      <c r="G31" s="2836"/>
    </row>
    <row r="32" spans="1:13" ht="19.5" customHeight="1">
      <c r="A32" s="3722"/>
      <c r="B32" s="3718"/>
      <c r="C32" s="2837" t="s">
        <v>2452</v>
      </c>
      <c r="D32" s="2838"/>
      <c r="E32" s="2839">
        <v>0.7</v>
      </c>
      <c r="F32" s="2836" t="s">
        <v>2453</v>
      </c>
      <c r="G32" s="2836"/>
    </row>
    <row r="33" spans="1:7" ht="19.5" customHeight="1">
      <c r="A33" s="3722"/>
      <c r="B33" s="3718"/>
      <c r="C33" s="2837" t="s">
        <v>2454</v>
      </c>
      <c r="D33" s="2838"/>
      <c r="E33" s="2839">
        <v>0.8</v>
      </c>
      <c r="F33" s="2836" t="s">
        <v>2455</v>
      </c>
      <c r="G33" s="2836"/>
    </row>
    <row r="34" spans="1:7" ht="19.5" customHeight="1">
      <c r="A34" s="3722"/>
      <c r="B34" s="3718"/>
      <c r="C34" s="2837" t="s">
        <v>2456</v>
      </c>
      <c r="D34" s="2838"/>
      <c r="E34" s="2839">
        <v>0.6</v>
      </c>
      <c r="F34" s="2836" t="s">
        <v>2457</v>
      </c>
      <c r="G34" s="2836"/>
    </row>
    <row r="35" spans="1:7" ht="19.5" customHeight="1">
      <c r="A35" s="3722"/>
      <c r="B35" s="3718"/>
      <c r="C35" s="2837" t="s">
        <v>2458</v>
      </c>
      <c r="D35" s="2838"/>
      <c r="E35" s="2839">
        <v>0.2</v>
      </c>
      <c r="F35" s="2836" t="s">
        <v>2459</v>
      </c>
      <c r="G35" s="2836"/>
    </row>
    <row r="36" spans="1:7" ht="19.5" customHeight="1">
      <c r="A36" s="3722"/>
      <c r="B36" s="3718"/>
      <c r="C36" s="2837" t="s">
        <v>2460</v>
      </c>
      <c r="D36" s="2838"/>
      <c r="E36" s="2839">
        <v>0.2</v>
      </c>
      <c r="F36" s="2836" t="s">
        <v>2461</v>
      </c>
      <c r="G36" s="2836"/>
    </row>
    <row r="37" spans="1:7" ht="19.5" customHeight="1">
      <c r="A37" s="3722"/>
      <c r="B37" s="3716" t="s">
        <v>2622</v>
      </c>
      <c r="C37" s="2837" t="s">
        <v>2462</v>
      </c>
      <c r="D37" s="2838"/>
      <c r="E37" s="2839">
        <v>0.6</v>
      </c>
      <c r="F37" s="2836" t="s">
        <v>2463</v>
      </c>
      <c r="G37" s="2836"/>
    </row>
    <row r="38" spans="1:7" ht="19.5" customHeight="1">
      <c r="A38" s="3722"/>
      <c r="B38" s="3718"/>
      <c r="C38" s="2837" t="s">
        <v>2464</v>
      </c>
      <c r="D38" s="2838"/>
      <c r="E38" s="2839">
        <v>0.6</v>
      </c>
      <c r="F38" s="2836" t="s">
        <v>2465</v>
      </c>
      <c r="G38" s="2836"/>
    </row>
    <row r="39" spans="1:7" ht="19.5" customHeight="1" thickBot="1">
      <c r="A39" s="3723"/>
      <c r="B39" s="3720"/>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24" t="s">
        <v>2600</v>
      </c>
      <c r="B41" s="3719" t="s">
        <v>2624</v>
      </c>
      <c r="C41" s="2833" t="s">
        <v>2469</v>
      </c>
      <c r="D41" s="2834"/>
      <c r="E41" s="2835">
        <v>1</v>
      </c>
      <c r="F41" s="2836" t="s">
        <v>2470</v>
      </c>
      <c r="G41" s="2836"/>
    </row>
    <row r="42" spans="1:7" ht="19.5" customHeight="1">
      <c r="A42" s="3725"/>
      <c r="B42" s="3718"/>
      <c r="C42" s="2837" t="s">
        <v>2471</v>
      </c>
      <c r="D42" s="2838"/>
      <c r="E42" s="2839">
        <v>1</v>
      </c>
      <c r="F42" s="2836" t="s">
        <v>2472</v>
      </c>
      <c r="G42" s="2836"/>
    </row>
    <row r="43" spans="1:7" ht="19.5" customHeight="1">
      <c r="A43" s="3725"/>
      <c r="B43" s="3717"/>
      <c r="C43" s="2837" t="s">
        <v>2473</v>
      </c>
      <c r="D43" s="2838"/>
      <c r="E43" s="2839">
        <v>1.5</v>
      </c>
      <c r="F43" s="2836" t="s">
        <v>2474</v>
      </c>
      <c r="G43" s="2836"/>
    </row>
    <row r="44" spans="1:7" ht="19.5" customHeight="1">
      <c r="A44" s="3725"/>
      <c r="B44" s="2848" t="s">
        <v>2625</v>
      </c>
      <c r="C44" s="2837" t="s">
        <v>2626</v>
      </c>
      <c r="D44" s="2838"/>
      <c r="E44" s="2839">
        <v>2</v>
      </c>
      <c r="F44" s="2836" t="s">
        <v>2475</v>
      </c>
      <c r="G44" s="2836"/>
    </row>
    <row r="45" spans="1:7" ht="19.5" customHeight="1">
      <c r="A45" s="3725"/>
      <c r="B45" s="3716" t="s">
        <v>2627</v>
      </c>
      <c r="C45" s="2837" t="s">
        <v>2476</v>
      </c>
      <c r="D45" s="2838"/>
      <c r="E45" s="2839">
        <v>1</v>
      </c>
      <c r="F45" s="2836" t="s">
        <v>2477</v>
      </c>
      <c r="G45" s="2836"/>
    </row>
    <row r="46" spans="1:7" ht="19.5" customHeight="1">
      <c r="A46" s="3725"/>
      <c r="B46" s="3718"/>
      <c r="C46" s="2837" t="s">
        <v>2478</v>
      </c>
      <c r="D46" s="2838"/>
      <c r="E46" s="2839">
        <v>1</v>
      </c>
      <c r="F46" s="2836" t="s">
        <v>2479</v>
      </c>
      <c r="G46" s="2836"/>
    </row>
    <row r="47" spans="1:7" ht="19.5" customHeight="1">
      <c r="A47" s="3725"/>
      <c r="B47" s="3718"/>
      <c r="C47" s="2837" t="s">
        <v>2480</v>
      </c>
      <c r="D47" s="2838"/>
      <c r="E47" s="2839">
        <v>1</v>
      </c>
      <c r="F47" s="2836" t="s">
        <v>2481</v>
      </c>
      <c r="G47" s="2836"/>
    </row>
    <row r="48" spans="1:7" ht="19.5" customHeight="1">
      <c r="A48" s="3725"/>
      <c r="B48" s="3718"/>
      <c r="C48" s="2837" t="s">
        <v>2482</v>
      </c>
      <c r="D48" s="2838"/>
      <c r="E48" s="2839">
        <v>1</v>
      </c>
      <c r="F48" s="2836" t="s">
        <v>2483</v>
      </c>
      <c r="G48" s="2836"/>
    </row>
    <row r="49" spans="1:7" ht="19.5" customHeight="1">
      <c r="A49" s="3725"/>
      <c r="B49" s="3718"/>
      <c r="C49" s="2837" t="s">
        <v>2484</v>
      </c>
      <c r="D49" s="2838"/>
      <c r="E49" s="2839">
        <v>1</v>
      </c>
      <c r="F49" s="2836" t="s">
        <v>2485</v>
      </c>
      <c r="G49" s="2836"/>
    </row>
    <row r="50" spans="1:7" ht="19.5" customHeight="1">
      <c r="A50" s="3725"/>
      <c r="B50" s="3718"/>
      <c r="C50" s="2837" t="s">
        <v>2486</v>
      </c>
      <c r="D50" s="2838"/>
      <c r="E50" s="2839">
        <v>1</v>
      </c>
      <c r="F50" s="2836" t="s">
        <v>2487</v>
      </c>
      <c r="G50" s="2836"/>
    </row>
    <row r="51" spans="1:7" ht="19.5" customHeight="1" thickBot="1">
      <c r="A51" s="3726"/>
      <c r="B51" s="3720"/>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16" t="s">
        <v>2641</v>
      </c>
      <c r="C73" s="2822" t="s">
        <v>2642</v>
      </c>
      <c r="D73" s="2822" t="s">
        <v>2643</v>
      </c>
      <c r="E73" s="2848">
        <v>0.2</v>
      </c>
      <c r="F73" s="2848">
        <v>25</v>
      </c>
    </row>
    <row r="74" spans="1:7" ht="24">
      <c r="A74" s="2848">
        <v>2</v>
      </c>
      <c r="B74" s="3718"/>
      <c r="C74" s="2822" t="s">
        <v>2644</v>
      </c>
      <c r="D74" s="2822" t="s">
        <v>2645</v>
      </c>
      <c r="E74" s="2848">
        <v>0.2</v>
      </c>
      <c r="F74" s="2848">
        <v>25</v>
      </c>
    </row>
    <row r="75" spans="1:7" ht="24">
      <c r="A75" s="2848">
        <v>3</v>
      </c>
      <c r="B75" s="3718"/>
      <c r="C75" s="2822" t="s">
        <v>2646</v>
      </c>
      <c r="D75" s="2822" t="s">
        <v>2647</v>
      </c>
      <c r="E75" s="2848">
        <v>0.2</v>
      </c>
      <c r="F75" s="2848">
        <v>25</v>
      </c>
    </row>
    <row r="76" spans="1:7" ht="13.5">
      <c r="A76" s="2848">
        <v>4</v>
      </c>
      <c r="B76" s="3718"/>
      <c r="C76" s="2822" t="s">
        <v>2648</v>
      </c>
      <c r="D76" s="2822" t="s">
        <v>2649</v>
      </c>
      <c r="E76" s="2848">
        <v>0.15</v>
      </c>
      <c r="F76" s="2848">
        <v>20</v>
      </c>
    </row>
    <row r="77" spans="1:7" ht="24">
      <c r="A77" s="2848">
        <v>5</v>
      </c>
      <c r="B77" s="3718"/>
      <c r="C77" s="2822" t="s">
        <v>2650</v>
      </c>
      <c r="D77" s="2822" t="s">
        <v>2651</v>
      </c>
      <c r="E77" s="2848">
        <v>0.15</v>
      </c>
      <c r="F77" s="2848">
        <v>20</v>
      </c>
    </row>
    <row r="78" spans="1:7" ht="24">
      <c r="A78" s="2848">
        <v>6</v>
      </c>
      <c r="B78" s="3718"/>
      <c r="C78" s="2822" t="s">
        <v>2652</v>
      </c>
      <c r="D78" s="2822" t="s">
        <v>2653</v>
      </c>
      <c r="E78" s="2848">
        <v>0.15</v>
      </c>
      <c r="F78" s="2848">
        <v>20</v>
      </c>
    </row>
    <row r="79" spans="1:7" ht="24">
      <c r="A79" s="2848">
        <v>7</v>
      </c>
      <c r="B79" s="3718"/>
      <c r="C79" s="2822" t="s">
        <v>2654</v>
      </c>
      <c r="D79" s="2822" t="s">
        <v>2655</v>
      </c>
      <c r="E79" s="2848">
        <v>0.15</v>
      </c>
      <c r="F79" s="2848">
        <v>20</v>
      </c>
    </row>
    <row r="80" spans="1:7" ht="24">
      <c r="A80" s="2848">
        <v>8</v>
      </c>
      <c r="B80" s="3718"/>
      <c r="C80" s="2822" t="s">
        <v>2656</v>
      </c>
      <c r="D80" s="2822" t="s">
        <v>2657</v>
      </c>
      <c r="E80" s="2848">
        <v>0.1</v>
      </c>
      <c r="F80" s="2848">
        <v>15</v>
      </c>
    </row>
    <row r="81" spans="1:6" ht="24">
      <c r="A81" s="2848">
        <v>9</v>
      </c>
      <c r="B81" s="3718"/>
      <c r="C81" s="2822" t="s">
        <v>2658</v>
      </c>
      <c r="D81" s="2822" t="s">
        <v>2659</v>
      </c>
      <c r="E81" s="2848">
        <v>0.1</v>
      </c>
      <c r="F81" s="2848">
        <v>15</v>
      </c>
    </row>
    <row r="82" spans="1:6" ht="24">
      <c r="A82" s="2848">
        <v>10</v>
      </c>
      <c r="B82" s="3718"/>
      <c r="C82" s="2822" t="s">
        <v>2660</v>
      </c>
      <c r="D82" s="2822" t="s">
        <v>2661</v>
      </c>
      <c r="E82" s="2848">
        <v>0.1</v>
      </c>
      <c r="F82" s="2848">
        <v>15</v>
      </c>
    </row>
    <row r="83" spans="1:6" ht="24">
      <c r="A83" s="2848">
        <v>11</v>
      </c>
      <c r="B83" s="3718"/>
      <c r="C83" s="2822" t="s">
        <v>2662</v>
      </c>
      <c r="D83" s="2822" t="s">
        <v>2663</v>
      </c>
      <c r="E83" s="2848">
        <v>0.1</v>
      </c>
      <c r="F83" s="2848">
        <v>15</v>
      </c>
    </row>
    <row r="84" spans="1:6" ht="24">
      <c r="A84" s="2848">
        <v>12</v>
      </c>
      <c r="B84" s="3718"/>
      <c r="C84" s="2822" t="s">
        <v>2664</v>
      </c>
      <c r="D84" s="2822" t="s">
        <v>2665</v>
      </c>
      <c r="E84" s="2848">
        <v>0.1</v>
      </c>
      <c r="F84" s="2848">
        <v>15</v>
      </c>
    </row>
    <row r="85" spans="1:6" ht="13.5">
      <c r="A85" s="2848">
        <v>13</v>
      </c>
      <c r="B85" s="3718"/>
      <c r="C85" s="2822" t="s">
        <v>2666</v>
      </c>
      <c r="D85" s="2822" t="s">
        <v>2667</v>
      </c>
      <c r="E85" s="2848">
        <v>0.1</v>
      </c>
      <c r="F85" s="2848">
        <v>15</v>
      </c>
    </row>
    <row r="86" spans="1:6" ht="13.5">
      <c r="A86" s="2848">
        <v>14</v>
      </c>
      <c r="B86" s="3718"/>
      <c r="C86" s="2822" t="s">
        <v>2668</v>
      </c>
      <c r="D86" s="2822" t="s">
        <v>2669</v>
      </c>
      <c r="E86" s="2848">
        <v>0.1</v>
      </c>
      <c r="F86" s="2848">
        <v>15</v>
      </c>
    </row>
    <row r="87" spans="1:6" ht="13.5">
      <c r="A87" s="2848">
        <v>15</v>
      </c>
      <c r="B87" s="3718"/>
      <c r="C87" s="2822" t="s">
        <v>2670</v>
      </c>
      <c r="D87" s="2822" t="s">
        <v>2671</v>
      </c>
      <c r="E87" s="2848">
        <v>0.1</v>
      </c>
      <c r="F87" s="2848">
        <v>15</v>
      </c>
    </row>
    <row r="88" spans="1:6" ht="24">
      <c r="A88" s="2848">
        <v>16</v>
      </c>
      <c r="B88" s="3718"/>
      <c r="C88" s="2822" t="s">
        <v>2672</v>
      </c>
      <c r="D88" s="2822" t="s">
        <v>2673</v>
      </c>
      <c r="E88" s="2848">
        <v>0.1</v>
      </c>
      <c r="F88" s="2848">
        <v>15</v>
      </c>
    </row>
    <row r="89" spans="1:6" ht="24">
      <c r="A89" s="2848">
        <v>17</v>
      </c>
      <c r="B89" s="3717"/>
      <c r="C89" s="2822" t="s">
        <v>2674</v>
      </c>
      <c r="D89" s="2822" t="s">
        <v>2675</v>
      </c>
      <c r="E89" s="2848">
        <v>0.1</v>
      </c>
      <c r="F89" s="2848">
        <v>15</v>
      </c>
    </row>
    <row r="90" spans="1:6" ht="13.5">
      <c r="A90" s="2848">
        <v>18</v>
      </c>
      <c r="B90" s="3716" t="s">
        <v>2676</v>
      </c>
      <c r="C90" s="2822" t="s">
        <v>2677</v>
      </c>
      <c r="D90" s="2822" t="s">
        <v>2678</v>
      </c>
      <c r="E90" s="2848">
        <v>0.2</v>
      </c>
      <c r="F90" s="2848">
        <v>25</v>
      </c>
    </row>
    <row r="91" spans="1:6" ht="24">
      <c r="A91" s="2848">
        <v>19</v>
      </c>
      <c r="B91" s="3718"/>
      <c r="C91" s="2822" t="s">
        <v>2679</v>
      </c>
      <c r="D91" s="2822" t="s">
        <v>2680</v>
      </c>
      <c r="E91" s="2848">
        <v>0.2</v>
      </c>
      <c r="F91" s="2848">
        <v>25</v>
      </c>
    </row>
    <row r="92" spans="1:6" ht="13.5">
      <c r="A92" s="2848">
        <v>20</v>
      </c>
      <c r="B92" s="3718"/>
      <c r="C92" s="2822" t="s">
        <v>2681</v>
      </c>
      <c r="D92" s="2822" t="s">
        <v>2682</v>
      </c>
      <c r="E92" s="2848">
        <v>0.15</v>
      </c>
      <c r="F92" s="2848">
        <v>20</v>
      </c>
    </row>
    <row r="93" spans="1:6" ht="13.5">
      <c r="A93" s="2848">
        <v>21</v>
      </c>
      <c r="B93" s="3718"/>
      <c r="C93" s="2822" t="s">
        <v>2683</v>
      </c>
      <c r="D93" s="2822" t="s">
        <v>2684</v>
      </c>
      <c r="E93" s="2848">
        <v>0.15</v>
      </c>
      <c r="F93" s="2848">
        <v>20</v>
      </c>
    </row>
    <row r="94" spans="1:6" ht="13.5">
      <c r="A94" s="2848">
        <v>22</v>
      </c>
      <c r="B94" s="3718"/>
      <c r="C94" s="2822" t="s">
        <v>2685</v>
      </c>
      <c r="D94" s="2822" t="s">
        <v>2686</v>
      </c>
      <c r="E94" s="2848">
        <v>0.15</v>
      </c>
      <c r="F94" s="2848">
        <v>20</v>
      </c>
    </row>
    <row r="95" spans="1:6" ht="36">
      <c r="A95" s="2848">
        <v>23</v>
      </c>
      <c r="B95" s="3718"/>
      <c r="C95" s="2822" t="s">
        <v>2687</v>
      </c>
      <c r="D95" s="2822" t="s">
        <v>2688</v>
      </c>
      <c r="E95" s="2848">
        <v>0.15</v>
      </c>
      <c r="F95" s="2848">
        <v>20</v>
      </c>
    </row>
    <row r="96" spans="1:6" ht="13.5">
      <c r="A96" s="2848">
        <v>24</v>
      </c>
      <c r="B96" s="3718"/>
      <c r="C96" s="2822" t="s">
        <v>2689</v>
      </c>
      <c r="D96" s="2822" t="s">
        <v>2690</v>
      </c>
      <c r="E96" s="2848">
        <v>0.1</v>
      </c>
      <c r="F96" s="2848">
        <v>15</v>
      </c>
    </row>
    <row r="97" spans="1:6" ht="13.5">
      <c r="A97" s="2848">
        <v>25</v>
      </c>
      <c r="B97" s="3718"/>
      <c r="C97" s="2822" t="s">
        <v>2691</v>
      </c>
      <c r="D97" s="2822" t="s">
        <v>2692</v>
      </c>
      <c r="E97" s="2848">
        <v>0.1</v>
      </c>
      <c r="F97" s="2848">
        <v>15</v>
      </c>
    </row>
    <row r="98" spans="1:6" ht="24">
      <c r="A98" s="2848">
        <v>26</v>
      </c>
      <c r="B98" s="3718"/>
      <c r="C98" s="2822" t="s">
        <v>2693</v>
      </c>
      <c r="D98" s="2822" t="s">
        <v>2694</v>
      </c>
      <c r="E98" s="2848">
        <v>0.1</v>
      </c>
      <c r="F98" s="2848">
        <v>15</v>
      </c>
    </row>
    <row r="99" spans="1:6" ht="24">
      <c r="A99" s="2848">
        <v>27</v>
      </c>
      <c r="B99" s="3718"/>
      <c r="C99" s="2822" t="s">
        <v>2695</v>
      </c>
      <c r="D99" s="2822" t="s">
        <v>2696</v>
      </c>
      <c r="E99" s="2848">
        <v>0.1</v>
      </c>
      <c r="F99" s="2848">
        <v>15</v>
      </c>
    </row>
    <row r="100" spans="1:6" ht="13.5">
      <c r="A100" s="2848">
        <v>28</v>
      </c>
      <c r="B100" s="3718"/>
      <c r="C100" s="2822" t="s">
        <v>2697</v>
      </c>
      <c r="D100" s="2822" t="s">
        <v>2698</v>
      </c>
      <c r="E100" s="2848">
        <v>0.1</v>
      </c>
      <c r="F100" s="2848">
        <v>15</v>
      </c>
    </row>
    <row r="101" spans="1:6" ht="13.5">
      <c r="A101" s="2848">
        <v>29</v>
      </c>
      <c r="B101" s="3718"/>
      <c r="C101" s="2822" t="s">
        <v>2699</v>
      </c>
      <c r="D101" s="2822" t="s">
        <v>2700</v>
      </c>
      <c r="E101" s="2848">
        <v>0.1</v>
      </c>
      <c r="F101" s="2848">
        <v>15</v>
      </c>
    </row>
    <row r="102" spans="1:6" ht="13.5">
      <c r="A102" s="2848">
        <v>30</v>
      </c>
      <c r="B102" s="3718"/>
      <c r="C102" s="2822" t="s">
        <v>2701</v>
      </c>
      <c r="D102" s="2822" t="s">
        <v>2702</v>
      </c>
      <c r="E102" s="2848">
        <v>0.1</v>
      </c>
      <c r="F102" s="2848">
        <v>15</v>
      </c>
    </row>
    <row r="103" spans="1:6" ht="24">
      <c r="A103" s="2848">
        <v>31</v>
      </c>
      <c r="B103" s="3718"/>
      <c r="C103" s="2822" t="s">
        <v>2703</v>
      </c>
      <c r="D103" s="2822" t="s">
        <v>2704</v>
      </c>
      <c r="E103" s="2848">
        <v>0.1</v>
      </c>
      <c r="F103" s="2848">
        <v>15</v>
      </c>
    </row>
    <row r="104" spans="1:6" ht="24">
      <c r="A104" s="2848">
        <v>32</v>
      </c>
      <c r="B104" s="3718"/>
      <c r="C104" s="2822" t="s">
        <v>2705</v>
      </c>
      <c r="D104" s="2822" t="s">
        <v>2706</v>
      </c>
      <c r="E104" s="2848">
        <v>0.1</v>
      </c>
      <c r="F104" s="2848">
        <v>15</v>
      </c>
    </row>
    <row r="105" spans="1:6" ht="24">
      <c r="A105" s="2848">
        <v>33</v>
      </c>
      <c r="B105" s="3718"/>
      <c r="C105" s="2822" t="s">
        <v>2707</v>
      </c>
      <c r="D105" s="2822" t="s">
        <v>2708</v>
      </c>
      <c r="E105" s="2848">
        <v>0.1</v>
      </c>
      <c r="F105" s="2848">
        <v>15</v>
      </c>
    </row>
    <row r="106" spans="1:6" ht="24">
      <c r="A106" s="2848">
        <v>34</v>
      </c>
      <c r="B106" s="3717"/>
      <c r="C106" s="2822" t="s">
        <v>2709</v>
      </c>
      <c r="D106" s="2822" t="s">
        <v>2710</v>
      </c>
      <c r="E106" s="2848">
        <v>0.1</v>
      </c>
      <c r="F106" s="2848">
        <v>15</v>
      </c>
    </row>
    <row r="107" spans="1:6" ht="24">
      <c r="A107" s="2848">
        <v>35</v>
      </c>
      <c r="B107" s="3716" t="s">
        <v>2711</v>
      </c>
      <c r="C107" s="2848" t="s">
        <v>2712</v>
      </c>
      <c r="D107" s="2822" t="s">
        <v>2713</v>
      </c>
      <c r="E107" s="2848">
        <v>0.15</v>
      </c>
      <c r="F107" s="2848">
        <v>20</v>
      </c>
    </row>
    <row r="108" spans="1:6" ht="13.5">
      <c r="A108" s="2848">
        <v>36</v>
      </c>
      <c r="B108" s="3718"/>
      <c r="C108" s="2848" t="s">
        <v>2714</v>
      </c>
      <c r="D108" s="2822" t="s">
        <v>2715</v>
      </c>
      <c r="E108" s="2848">
        <v>0.15</v>
      </c>
      <c r="F108" s="2848">
        <v>20</v>
      </c>
    </row>
    <row r="109" spans="1:6" ht="13.5">
      <c r="A109" s="2848">
        <v>37</v>
      </c>
      <c r="B109" s="3718"/>
      <c r="C109" s="2848" t="s">
        <v>2716</v>
      </c>
      <c r="D109" s="2822" t="s">
        <v>2717</v>
      </c>
      <c r="E109" s="2848">
        <v>0.15</v>
      </c>
      <c r="F109" s="2848">
        <v>20</v>
      </c>
    </row>
    <row r="110" spans="1:6" ht="13.5">
      <c r="A110" s="2848">
        <v>38</v>
      </c>
      <c r="B110" s="3718"/>
      <c r="C110" s="2848" t="s">
        <v>2718</v>
      </c>
      <c r="D110" s="2822" t="s">
        <v>2719</v>
      </c>
      <c r="E110" s="2848">
        <v>0.1</v>
      </c>
      <c r="F110" s="2848">
        <v>15</v>
      </c>
    </row>
    <row r="111" spans="1:6" ht="24">
      <c r="A111" s="2848">
        <v>39</v>
      </c>
      <c r="B111" s="3718"/>
      <c r="C111" s="2848" t="s">
        <v>2720</v>
      </c>
      <c r="D111" s="2822" t="s">
        <v>2721</v>
      </c>
      <c r="E111" s="2848">
        <v>0.1</v>
      </c>
      <c r="F111" s="2848">
        <v>15</v>
      </c>
    </row>
    <row r="112" spans="1:6" ht="24">
      <c r="A112" s="2848">
        <v>40</v>
      </c>
      <c r="B112" s="3717"/>
      <c r="C112" s="2848" t="s">
        <v>2722</v>
      </c>
      <c r="D112" s="2822" t="s">
        <v>2723</v>
      </c>
      <c r="E112" s="2848">
        <v>0.1</v>
      </c>
      <c r="F112" s="2848">
        <v>15</v>
      </c>
    </row>
    <row r="113" spans="1:6" ht="13.5">
      <c r="A113" s="2848">
        <v>41</v>
      </c>
      <c r="B113" s="3715" t="s">
        <v>2724</v>
      </c>
      <c r="C113" s="2848" t="s">
        <v>2725</v>
      </c>
      <c r="D113" s="2822" t="s">
        <v>2726</v>
      </c>
      <c r="E113" s="2848">
        <v>0.1</v>
      </c>
      <c r="F113" s="2848">
        <v>15</v>
      </c>
    </row>
    <row r="114" spans="1:6" ht="13.5">
      <c r="A114" s="2848">
        <v>42</v>
      </c>
      <c r="B114" s="3715"/>
      <c r="C114" s="2848" t="s">
        <v>2727</v>
      </c>
      <c r="D114" s="2822" t="s">
        <v>2728</v>
      </c>
      <c r="E114" s="2848">
        <v>0.1</v>
      </c>
      <c r="F114" s="2848">
        <v>15</v>
      </c>
    </row>
    <row r="115" spans="1:6" ht="24">
      <c r="A115" s="2848">
        <v>43</v>
      </c>
      <c r="B115" s="3715"/>
      <c r="C115" s="2848" t="s">
        <v>2729</v>
      </c>
      <c r="D115" s="2822" t="s">
        <v>2730</v>
      </c>
      <c r="E115" s="2848">
        <v>0.1</v>
      </c>
      <c r="F115" s="2848">
        <v>15</v>
      </c>
    </row>
    <row r="116" spans="1:6" ht="13.5">
      <c r="A116" s="2848">
        <v>44</v>
      </c>
      <c r="B116" s="3716" t="s">
        <v>2731</v>
      </c>
      <c r="C116" s="2848" t="s">
        <v>2732</v>
      </c>
      <c r="D116" s="2822" t="s">
        <v>2733</v>
      </c>
      <c r="E116" s="2848">
        <v>0.1</v>
      </c>
      <c r="F116" s="2848">
        <v>15</v>
      </c>
    </row>
    <row r="117" spans="1:6" ht="24">
      <c r="A117" s="2848">
        <v>45</v>
      </c>
      <c r="B117" s="3717"/>
      <c r="C117" s="2822" t="s">
        <v>2734</v>
      </c>
      <c r="D117" s="2822" t="s">
        <v>2735</v>
      </c>
      <c r="E117" s="2848">
        <v>0.1</v>
      </c>
      <c r="F117" s="2848">
        <v>15</v>
      </c>
    </row>
    <row r="118" spans="1:6" ht="24">
      <c r="A118" s="2848">
        <v>46</v>
      </c>
      <c r="B118" s="3716" t="s">
        <v>2736</v>
      </c>
      <c r="C118" s="2848" t="s">
        <v>2737</v>
      </c>
      <c r="D118" s="2822" t="s">
        <v>2738</v>
      </c>
      <c r="E118" s="2848">
        <v>0.1</v>
      </c>
      <c r="F118" s="2848">
        <v>15</v>
      </c>
    </row>
    <row r="119" spans="1:6" ht="24">
      <c r="A119" s="2848">
        <v>47</v>
      </c>
      <c r="B119" s="3717"/>
      <c r="C119" s="2848" t="s">
        <v>2739</v>
      </c>
      <c r="D119" s="2822" t="s">
        <v>2740</v>
      </c>
      <c r="E119" s="2848">
        <v>0.1</v>
      </c>
      <c r="F119" s="2848">
        <v>15</v>
      </c>
    </row>
    <row r="120" spans="1:6" ht="13.5">
      <c r="A120" s="2848">
        <v>48</v>
      </c>
      <c r="B120" s="3716" t="s">
        <v>2741</v>
      </c>
      <c r="C120" s="2848" t="s">
        <v>2742</v>
      </c>
      <c r="D120" s="2822" t="s">
        <v>2743</v>
      </c>
      <c r="E120" s="2848">
        <v>0.1</v>
      </c>
      <c r="F120" s="2848">
        <v>15</v>
      </c>
    </row>
    <row r="121" spans="1:6" ht="13.5">
      <c r="A121" s="2848">
        <v>49</v>
      </c>
      <c r="B121" s="3717"/>
      <c r="C121" s="2848" t="s">
        <v>2744</v>
      </c>
      <c r="D121" s="2822" t="s">
        <v>2745</v>
      </c>
      <c r="E121" s="2848">
        <v>0.1</v>
      </c>
      <c r="F121" s="2848">
        <v>15</v>
      </c>
    </row>
    <row r="122" spans="1:6" ht="24">
      <c r="A122" s="2848">
        <v>50</v>
      </c>
      <c r="B122" s="3715" t="s">
        <v>2746</v>
      </c>
      <c r="C122" s="2848" t="s">
        <v>2747</v>
      </c>
      <c r="D122" s="2822" t="s">
        <v>2748</v>
      </c>
      <c r="E122" s="2848">
        <v>0.1</v>
      </c>
      <c r="F122" s="2848">
        <v>15</v>
      </c>
    </row>
    <row r="123" spans="1:6" ht="24">
      <c r="A123" s="2848">
        <v>51</v>
      </c>
      <c r="B123" s="3715"/>
      <c r="C123" s="2848" t="s">
        <v>2749</v>
      </c>
      <c r="D123" s="2822" t="s">
        <v>2750</v>
      </c>
      <c r="E123" s="2848">
        <v>0.1</v>
      </c>
      <c r="F123" s="2848">
        <v>15</v>
      </c>
    </row>
    <row r="124" spans="1:6" ht="24">
      <c r="A124" s="2848">
        <v>52</v>
      </c>
      <c r="B124" s="3715" t="s">
        <v>2751</v>
      </c>
      <c r="C124" s="2848" t="s">
        <v>2752</v>
      </c>
      <c r="D124" s="2822" t="s">
        <v>2753</v>
      </c>
      <c r="E124" s="2848">
        <v>0.1</v>
      </c>
      <c r="F124" s="2848">
        <v>15</v>
      </c>
    </row>
    <row r="125" spans="1:6" ht="24">
      <c r="A125" s="2848">
        <v>53</v>
      </c>
      <c r="B125" s="3715"/>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15" t="s">
        <v>2759</v>
      </c>
      <c r="C127" s="2848" t="s">
        <v>2760</v>
      </c>
      <c r="D127" s="2822" t="s">
        <v>2761</v>
      </c>
      <c r="E127" s="2848">
        <v>0.1</v>
      </c>
      <c r="F127" s="2848">
        <v>15</v>
      </c>
    </row>
    <row r="128" spans="1:6" ht="13.5">
      <c r="A128" s="2848">
        <v>56</v>
      </c>
      <c r="B128" s="3715"/>
      <c r="C128" s="2848" t="s">
        <v>2762</v>
      </c>
      <c r="D128" s="2822" t="s">
        <v>2763</v>
      </c>
      <c r="E128" s="2848">
        <v>0.1</v>
      </c>
      <c r="F128" s="2848">
        <v>15</v>
      </c>
    </row>
    <row r="129" spans="1:6" ht="24">
      <c r="A129" s="2848">
        <v>57</v>
      </c>
      <c r="B129" s="3715"/>
      <c r="C129" s="2848" t="s">
        <v>2764</v>
      </c>
      <c r="D129" s="2822" t="s">
        <v>2765</v>
      </c>
      <c r="E129" s="2848">
        <v>0.1</v>
      </c>
      <c r="F129" s="2848">
        <v>15</v>
      </c>
    </row>
    <row r="130" spans="1:6" ht="24">
      <c r="A130" s="2848">
        <v>58</v>
      </c>
      <c r="B130" s="3715" t="s">
        <v>2766</v>
      </c>
      <c r="C130" s="2848" t="s">
        <v>2767</v>
      </c>
      <c r="D130" s="2822" t="s">
        <v>2768</v>
      </c>
      <c r="E130" s="2848">
        <v>0.1</v>
      </c>
      <c r="F130" s="2848">
        <v>15</v>
      </c>
    </row>
    <row r="131" spans="1:6" ht="13.5">
      <c r="A131" s="2848">
        <v>59</v>
      </c>
      <c r="B131" s="3715"/>
      <c r="C131" s="2848" t="s">
        <v>2769</v>
      </c>
      <c r="D131" s="2822" t="s">
        <v>2770</v>
      </c>
      <c r="E131" s="2848">
        <v>0.1</v>
      </c>
      <c r="F131" s="2848">
        <v>15</v>
      </c>
    </row>
    <row r="132" spans="1:6" ht="13.5">
      <c r="A132" s="2848">
        <v>60</v>
      </c>
      <c r="B132" s="3716" t="s">
        <v>2771</v>
      </c>
      <c r="C132" s="2848" t="s">
        <v>2772</v>
      </c>
      <c r="D132" s="2822" t="s">
        <v>2773</v>
      </c>
      <c r="E132" s="2848">
        <v>0.1</v>
      </c>
      <c r="F132" s="2848">
        <v>15</v>
      </c>
    </row>
    <row r="133" spans="1:6" ht="13.5">
      <c r="A133" s="2848">
        <v>61</v>
      </c>
      <c r="B133" s="3717"/>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15" t="s">
        <v>2779</v>
      </c>
      <c r="C135" s="2848" t="s">
        <v>2780</v>
      </c>
      <c r="D135" s="2822" t="s">
        <v>2781</v>
      </c>
      <c r="E135" s="2848">
        <v>0.1</v>
      </c>
      <c r="F135" s="2848">
        <v>15</v>
      </c>
    </row>
    <row r="136" spans="1:6" ht="13.5">
      <c r="A136" s="2848">
        <v>64</v>
      </c>
      <c r="B136" s="3715"/>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45984</v>
      </c>
      <c r="C2" s="2" t="s">
        <v>106</v>
      </c>
      <c r="D2" s="191"/>
      <c r="E2" s="191"/>
      <c r="F2" s="191"/>
      <c r="G2" s="191"/>
    </row>
    <row r="3" spans="1:7" s="192" customFormat="1" ht="18" customHeight="1" thickBot="1">
      <c r="A3" s="195" t="s">
        <v>58</v>
      </c>
      <c r="B3" s="196">
        <f ca="1">ROUND(B2*10000/'数据-汇总表'!E3,0)</f>
        <v>12158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530</v>
      </c>
      <c r="D19" s="204">
        <f>'数据-汇总表'!E3</f>
        <v>37822.670000000035</v>
      </c>
      <c r="E19" s="203">
        <f>'数据-取费表'!B31</f>
        <v>140</v>
      </c>
      <c r="F19" s="223"/>
      <c r="G19" s="1" t="s">
        <v>436</v>
      </c>
    </row>
    <row r="20" spans="1:7" s="206" customFormat="1" ht="13.5" customHeight="1">
      <c r="A20" s="726" t="s">
        <v>419</v>
      </c>
      <c r="B20" s="202" t="s">
        <v>77</v>
      </c>
      <c r="C20" s="224">
        <f>ROUND((C5+C19)*F20,0)</f>
        <v>423</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771</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19</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1941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1941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583" t="s">
        <v>94</v>
      </c>
    </row>
    <row r="43" spans="1:7" ht="13.5" customHeight="1">
      <c r="A43" s="729" t="s">
        <v>347</v>
      </c>
      <c r="B43" s="207" t="s">
        <v>426</v>
      </c>
      <c r="C43" s="230">
        <f ca="1">ROUND(IF('数据-取费表'!B22&lt;=1,C39*F22*'数据-取费表'!B21/2,C39*(POWER((1+F22),'数据-取费表'!B21/2)-1)),0)</f>
        <v>5</v>
      </c>
      <c r="D43" s="230"/>
      <c r="E43" s="230"/>
      <c r="F43" s="231"/>
      <c r="G43" s="3584"/>
    </row>
    <row r="44" spans="1:7" ht="13.5" customHeight="1">
      <c r="A44" s="729" t="s">
        <v>348</v>
      </c>
      <c r="B44" s="207" t="s">
        <v>428</v>
      </c>
      <c r="C44" s="230">
        <f ca="1">ROUND(IF('数据-取费表'!B22&lt;=1,C40*F22*'数据-取费表'!B21/2,C40*(POWER((1+F22),'数据-取费表'!B21/2)-1)),4)</f>
        <v>4.0000000000000002E-4</v>
      </c>
      <c r="D44" s="230"/>
      <c r="E44" s="230"/>
      <c r="F44" s="231"/>
      <c r="G44" s="3585"/>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45984</v>
      </c>
      <c r="D52" s="258"/>
      <c r="E52" s="258"/>
      <c r="F52" s="258"/>
      <c r="G52" s="260"/>
    </row>
    <row r="55" spans="1:7" ht="15">
      <c r="B55" s="262" t="s">
        <v>39</v>
      </c>
      <c r="C55" s="263"/>
    </row>
    <row r="56" spans="1:7">
      <c r="B56" s="265" t="s">
        <v>40</v>
      </c>
      <c r="C56" s="266">
        <f ca="1">ROUND(C51/C52,3)</f>
        <v>0.43</v>
      </c>
    </row>
    <row r="57" spans="1:7">
      <c r="B57" s="265" t="s">
        <v>41</v>
      </c>
      <c r="C57" s="267">
        <f ca="1">1-C56</f>
        <v>0.57000000000000006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27" t="s">
        <v>3171</v>
      </c>
      <c r="B1" s="3727"/>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4"/>
  </cols>
  <sheetData>
    <row r="1" spans="1:6">
      <c r="A1" s="3728" t="s">
        <v>3222</v>
      </c>
      <c r="B1" s="3728"/>
      <c r="C1" s="3728"/>
      <c r="D1" s="3728"/>
      <c r="E1" s="3728"/>
      <c r="F1" s="3729"/>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30" t="s">
        <v>456</v>
      </c>
      <c r="S1" s="3731"/>
      <c r="T1" s="3731"/>
      <c r="U1" s="3731"/>
      <c r="V1" s="3731"/>
      <c r="W1" s="3731"/>
      <c r="X1" s="2887"/>
      <c r="Y1" s="3730" t="s">
        <v>457</v>
      </c>
      <c r="Z1" s="3731"/>
      <c r="AA1" s="3731"/>
      <c r="AB1" s="3731"/>
      <c r="AC1" s="3731"/>
      <c r="AD1" s="3731"/>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30" t="s">
        <v>2817</v>
      </c>
      <c r="S29" s="3731"/>
      <c r="T29" s="3731"/>
      <c r="U29" s="3731"/>
      <c r="V29" s="3731"/>
      <c r="W29" s="3731"/>
      <c r="X29" s="2887"/>
      <c r="Y29" s="3730" t="s">
        <v>2818</v>
      </c>
      <c r="Z29" s="3731"/>
      <c r="AA29" s="3731"/>
      <c r="AB29" s="3731"/>
      <c r="AC29" s="3731"/>
      <c r="AD29" s="3731"/>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393" t="s">
        <v>949</v>
      </c>
      <c r="B1" s="3393"/>
      <c r="C1" s="3393"/>
      <c r="D1" s="3393"/>
    </row>
    <row r="2" spans="1:4" ht="18">
      <c r="A2" s="3394" t="s">
        <v>933</v>
      </c>
      <c r="B2" s="3394"/>
      <c r="C2" s="3394"/>
      <c r="D2" s="3394"/>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394" t="s">
        <v>939</v>
      </c>
      <c r="B6" s="3394"/>
      <c r="C6" s="3394"/>
      <c r="D6" s="3394"/>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395" t="s">
        <v>942</v>
      </c>
      <c r="B11" s="3387"/>
      <c r="C11" s="3387"/>
      <c r="D11" s="3387"/>
    </row>
    <row r="12" spans="1:4" ht="15.7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943</v>
      </c>
      <c r="B16" s="3389"/>
      <c r="C16" s="3389"/>
      <c r="D16" s="3389"/>
    </row>
    <row r="17" spans="1:4" ht="144" customHeight="1">
      <c r="A17" s="3389" t="s">
        <v>944</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7"/>
      <c r="C20" s="3387"/>
      <c r="D20" s="3387"/>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945</v>
      </c>
      <c r="B22" s="3391"/>
      <c r="C22" s="3391"/>
      <c r="D22" s="3391"/>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388">
        <v>42551</v>
      </c>
      <c r="D31" s="33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35" t="s">
        <v>452</v>
      </c>
      <c r="C1" s="3735"/>
      <c r="D1" s="3735"/>
      <c r="E1" s="3735"/>
      <c r="F1" s="3735"/>
      <c r="G1" s="3731" t="s">
        <v>453</v>
      </c>
      <c r="H1" s="3731"/>
      <c r="I1" s="3731"/>
      <c r="J1" s="3731"/>
      <c r="K1" s="3731"/>
      <c r="L1" s="3731"/>
      <c r="N1" s="3731" t="s">
        <v>454</v>
      </c>
      <c r="O1" s="3731"/>
      <c r="P1" s="3731"/>
      <c r="Q1" s="3731"/>
      <c r="S1" s="3731" t="s">
        <v>455</v>
      </c>
      <c r="T1" s="3731"/>
      <c r="U1" s="3731"/>
      <c r="V1" s="3731"/>
      <c r="X1" s="3730" t="s">
        <v>456</v>
      </c>
      <c r="Y1" s="3731"/>
      <c r="Z1" s="3731"/>
      <c r="AA1" s="3731"/>
      <c r="AB1" s="3731"/>
      <c r="AD1" s="3730" t="s">
        <v>457</v>
      </c>
      <c r="AE1" s="3731"/>
      <c r="AF1" s="3731"/>
      <c r="AG1" s="3731"/>
      <c r="AH1" s="3731"/>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33">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33"/>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33"/>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40"/>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36">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33"/>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33"/>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40"/>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36">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33"/>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33"/>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34"/>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32">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33"/>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33"/>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34"/>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32">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33"/>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33"/>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34"/>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37">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38"/>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38"/>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39"/>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32">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33"/>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33"/>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34"/>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32">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33">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33">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34">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32">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33">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33">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34">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32">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33">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33">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34">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32">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33">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33">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34">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32">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33">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33">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34">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32">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33">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33">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34">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32">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33">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33">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34">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32">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33">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33">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34">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32">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33">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33">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34">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32">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33">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33">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34">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43" t="s">
        <v>2829</v>
      </c>
      <c r="B1" s="3743"/>
      <c r="C1" s="3743"/>
      <c r="D1" s="3743"/>
      <c r="E1" s="3743"/>
      <c r="F1" s="3743"/>
      <c r="G1" s="3744"/>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41"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42"/>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21" sqref="H21"/>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6">
        <v>4.25</v>
      </c>
      <c r="E27" s="3286">
        <v>4.25</v>
      </c>
      <c r="F27" s="3286">
        <v>4.25</v>
      </c>
      <c r="G27" s="3286">
        <v>4.25</v>
      </c>
      <c r="H27" s="3286">
        <v>4.8499999999999996</v>
      </c>
      <c r="I27" s="3286"/>
      <c r="J27" s="3286"/>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7"/>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01" t="s">
        <v>956</v>
      </c>
      <c r="B15" s="3396" t="s">
        <v>109</v>
      </c>
      <c r="C15" s="3397"/>
    </row>
    <row r="16" spans="1:7" ht="13.5">
      <c r="A16" s="3402"/>
      <c r="B16" s="3396" t="s">
        <v>42</v>
      </c>
      <c r="C16" s="3397"/>
    </row>
    <row r="17" spans="1:3" ht="13.5">
      <c r="A17" s="3402"/>
      <c r="B17" s="3399" t="s">
        <v>957</v>
      </c>
      <c r="C17" s="1423" t="s">
        <v>956</v>
      </c>
    </row>
    <row r="18" spans="1:3" ht="13.5">
      <c r="A18" s="3402"/>
      <c r="B18" s="3399"/>
      <c r="C18" s="1423" t="s">
        <v>958</v>
      </c>
    </row>
    <row r="19" spans="1:3" ht="13.5">
      <c r="A19" s="3402"/>
      <c r="B19" s="3399"/>
      <c r="C19" s="1423" t="s">
        <v>959</v>
      </c>
    </row>
    <row r="20" spans="1:3" ht="13.5">
      <c r="A20" s="3403"/>
      <c r="B20" s="3398" t="s">
        <v>960</v>
      </c>
      <c r="C20" s="3397"/>
    </row>
    <row r="21" spans="1:3" ht="13.5">
      <c r="A21" s="1424" t="s">
        <v>961</v>
      </c>
      <c r="B21" s="1425"/>
      <c r="C21" s="1426"/>
    </row>
    <row r="22" spans="1:3" ht="13.5">
      <c r="A22" s="3400" t="s">
        <v>962</v>
      </c>
      <c r="B22" s="3398" t="s">
        <v>963</v>
      </c>
      <c r="C22" s="3397"/>
    </row>
    <row r="23" spans="1:3" ht="13.5">
      <c r="A23" s="3400"/>
      <c r="B23" s="3398" t="s">
        <v>964</v>
      </c>
      <c r="C23" s="3397"/>
    </row>
    <row r="24" spans="1:3" ht="13.5">
      <c r="A24" s="3400"/>
      <c r="B24" s="3398" t="s">
        <v>965</v>
      </c>
      <c r="C24" s="3397"/>
    </row>
    <row r="25" spans="1:3" ht="13.5">
      <c r="A25" s="3400"/>
      <c r="B25" s="3399" t="s">
        <v>966</v>
      </c>
      <c r="C25" s="1423" t="s">
        <v>967</v>
      </c>
    </row>
    <row r="26" spans="1:3" ht="13.5">
      <c r="A26" s="3400"/>
      <c r="B26" s="3399"/>
      <c r="C26" s="1423" t="s">
        <v>968</v>
      </c>
    </row>
    <row r="27" spans="1:3" ht="13.5">
      <c r="A27" s="3400"/>
      <c r="B27" s="3399"/>
      <c r="C27" s="1423" t="s">
        <v>969</v>
      </c>
    </row>
    <row r="28" spans="1:3" ht="13.5">
      <c r="A28" s="3400"/>
      <c r="B28" s="3399"/>
      <c r="C28" s="1423" t="s">
        <v>970</v>
      </c>
    </row>
    <row r="29" spans="1:3" ht="13.5">
      <c r="A29" s="3400"/>
      <c r="B29" s="3399"/>
      <c r="C29" s="1423" t="s">
        <v>971</v>
      </c>
    </row>
    <row r="30" spans="1:3" ht="13.5">
      <c r="A30" s="3400"/>
      <c r="B30" s="3399"/>
      <c r="C30" s="1423" t="s">
        <v>972</v>
      </c>
    </row>
    <row r="31" spans="1:3" ht="13.5">
      <c r="A31" s="3400"/>
      <c r="B31" s="3399"/>
      <c r="C31" s="1423" t="s">
        <v>973</v>
      </c>
    </row>
    <row r="32" spans="1:3" ht="13.5">
      <c r="A32" s="3400"/>
      <c r="B32" s="3399"/>
      <c r="C32" s="1423" t="s">
        <v>974</v>
      </c>
    </row>
    <row r="33" spans="1:3" ht="13.5">
      <c r="A33" s="3400"/>
      <c r="B33" s="3399"/>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45820</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04" t="s">
        <v>2159</v>
      </c>
      <c r="B17" s="3404"/>
      <c r="C17" s="3404"/>
      <c r="D17" s="3404"/>
      <c r="E17" s="3404"/>
      <c r="F17" s="3404"/>
      <c r="G17" s="3404"/>
      <c r="H17" s="3404"/>
    </row>
    <row r="18" spans="1:8" ht="24" customHeight="1">
      <c r="A18" s="3405" t="s">
        <v>2160</v>
      </c>
      <c r="B18" s="3405"/>
      <c r="C18" s="3405"/>
      <c r="D18" s="2152"/>
      <c r="E18" s="3406" t="s">
        <v>2161</v>
      </c>
      <c r="F18" s="3405"/>
      <c r="G18" s="3405"/>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3"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比较法-住宅</vt:lpstr>
      <vt:lpstr>比较法-仓储</vt:lpstr>
      <vt:lpstr>比较法-车位</vt:lpstr>
      <vt:lpstr>土地成交案例</vt:lpstr>
      <vt:lpstr>中指住宅</vt:lpstr>
      <vt:lpstr>中指仓储</vt:lpstr>
      <vt:lpstr>山澜阙府</vt:lpstr>
      <vt:lpstr>上源府</vt:lpstr>
      <vt:lpstr>山澜赋</vt:lpstr>
      <vt:lpstr>世园村</vt:lpstr>
      <vt:lpstr>山澜樾府</vt:lpstr>
      <vt:lpstr>碧桂园·世奥龙鼎</vt:lpstr>
      <vt:lpstr>车位销售</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2025-06-12T07:33:25Z</dcterms:modified>
</cp:coreProperties>
</file>