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3"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正常"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高层-住宅" sheetId="21" r:id="rId33"/>
    <sheet name="洋房-住宅" sheetId="72"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车库收益法" sheetId="15" r:id="rId42"/>
    <sheet name="案例分布" sheetId="70" r:id="rId43"/>
    <sheet name="企业可研（2017年8月版）" sheetId="69"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'高层-住宅'!$A$1:$L$49</definedName>
    <definedName name="_xlnm._FilterDatabase" localSheetId="11" hidden="1">'数据-基础表'!$A$12:$AT$572</definedName>
    <definedName name="_xlnm._FilterDatabase" localSheetId="10" hidden="1">项目基本情况!$A$48:$N$48</definedName>
    <definedName name="_xlnm._FilterDatabase" localSheetId="33" hidden="1">'洋房-住宅'!$A$1:$L$49</definedName>
    <definedName name="_xlnm.Print_Area" localSheetId="17">'结果表-正常'!$A$1:$I$59</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 localSheetId="33">'洋房-住宅'!$B$88:$M$88</definedName>
    <definedName name="住宅朝向">'高层-住宅'!$B$88:$M$88</definedName>
    <definedName name="住宅房型" localSheetId="0">'[1]比较法-住宅'!$B$118:$M$118</definedName>
    <definedName name="住宅房型" localSheetId="33">'洋房-住宅'!$B$118:$M$118</definedName>
    <definedName name="住宅房型">'高层-住宅'!$B$118:$M$118</definedName>
    <definedName name="住宅公共部分装修" localSheetId="0">'[1]比较法-住宅'!$B$109:$M$109</definedName>
    <definedName name="住宅公共部分装修" localSheetId="33">'洋房-住宅'!$B$109:$M$109</definedName>
    <definedName name="住宅公共部分装修">'高层-住宅'!$B$109:$M$109</definedName>
    <definedName name="住宅基础设施水平" localSheetId="0">'[1]比较法-住宅'!$B$116:$M$116</definedName>
    <definedName name="住宅基础设施水平" localSheetId="33">'洋房-住宅'!$B$116:$M$116</definedName>
    <definedName name="住宅基础设施水平">'高层-住宅'!$B$116:$M$116</definedName>
    <definedName name="住宅建筑结构" localSheetId="0">'[1]比较法-住宅'!$B$105:$M$105</definedName>
    <definedName name="住宅建筑结构" localSheetId="33">'洋房-住宅'!$B$105:$M$105</definedName>
    <definedName name="住宅建筑结构">'高层-住宅'!$B$105:$M$105</definedName>
    <definedName name="住宅建筑类型" localSheetId="0">'[1]比较法-住宅'!$B$100:$M$100</definedName>
    <definedName name="住宅建筑类型" localSheetId="33">'洋房-住宅'!$B$100:$M$100</definedName>
    <definedName name="住宅建筑类型">'高层-住宅'!$B$100:$M$100</definedName>
    <definedName name="住宅建筑品质" localSheetId="0">'[1]比较法-住宅'!$B$107:$M$107</definedName>
    <definedName name="住宅建筑品质" localSheetId="33">'洋房-住宅'!$B$107:$M$107</definedName>
    <definedName name="住宅建筑品质">'高层-住宅'!$B$107:$M$107</definedName>
    <definedName name="住宅交易情况" localSheetId="0">'[1]比较法-住宅'!$A$61:$M$61</definedName>
    <definedName name="住宅交易情况" localSheetId="33">'洋房-住宅'!$A$61:$M$61</definedName>
    <definedName name="住宅交易情况">'高层-住宅'!$A$61:$M$61</definedName>
    <definedName name="住宅楼层" localSheetId="0">'[1]比较法-住宅'!$B$86:$M$86</definedName>
    <definedName name="住宅楼层" localSheetId="33">'洋房-住宅'!$B$86:$M$86</definedName>
    <definedName name="住宅楼层">'高层-住宅'!$B$86:$M$86</definedName>
    <definedName name="住宅内部装修" localSheetId="0">'[1]比较法-住宅'!$B$122:$M$122</definedName>
    <definedName name="住宅内部装修" localSheetId="33">'洋房-住宅'!$B$122:$M$122</definedName>
    <definedName name="住宅内部装修">'高层-住宅'!$B$122:$M$122</definedName>
    <definedName name="住宅物业管理" localSheetId="0">'[1]比较法-住宅'!$B$114:$M$114</definedName>
    <definedName name="住宅物业管理" localSheetId="33">'洋房-住宅'!$B$114:$M$114</definedName>
    <definedName name="住宅物业管理">'高层-住宅'!$B$114:$M$114</definedName>
    <definedName name="住宅用途" localSheetId="0">'[1]比较法-住宅'!$B$63:$M$63</definedName>
    <definedName name="住宅用途" localSheetId="33">'洋房-住宅'!$B$63:$M$63</definedName>
    <definedName name="住宅用途">'高层-住宅'!$B$63:$M$63</definedName>
    <definedName name="住宅主力户型面积" localSheetId="33">'洋房-住宅'!$B$120:$M$120</definedName>
    <definedName name="住宅主力户型面积">'高层-住宅'!$B$120:$M$120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Q22" i="1" l="1"/>
  <c r="R22" i="1"/>
  <c r="G1" i="15"/>
  <c r="M8" i="1"/>
  <c r="F20" i="15"/>
  <c r="F21" i="15"/>
  <c r="F33" i="15"/>
  <c r="F8" i="1"/>
  <c r="J51" i="15"/>
  <c r="M47" i="15"/>
  <c r="J140" i="72"/>
  <c r="C145" i="72"/>
  <c r="K139" i="72"/>
  <c r="K145" i="72"/>
  <c r="K144" i="72"/>
  <c r="K143" i="72"/>
  <c r="J142" i="72"/>
  <c r="K141" i="72"/>
  <c r="B130" i="72"/>
  <c r="B128" i="72"/>
  <c r="B126" i="72"/>
  <c r="D125" i="72"/>
  <c r="E125" i="72"/>
  <c r="F125" i="72"/>
  <c r="G125" i="72"/>
  <c r="D123" i="72"/>
  <c r="E123" i="72"/>
  <c r="F123" i="72"/>
  <c r="G123" i="72"/>
  <c r="H123" i="72"/>
  <c r="I123" i="72"/>
  <c r="J123" i="72"/>
  <c r="K123" i="72"/>
  <c r="L123" i="72"/>
  <c r="M123" i="72"/>
  <c r="D119" i="72"/>
  <c r="E119" i="72"/>
  <c r="F119" i="72"/>
  <c r="G119" i="72"/>
  <c r="H119" i="72"/>
  <c r="I119" i="72"/>
  <c r="J119" i="72"/>
  <c r="K119" i="72"/>
  <c r="L119" i="72"/>
  <c r="M119" i="72"/>
  <c r="D117" i="72"/>
  <c r="E117" i="72"/>
  <c r="F117" i="72"/>
  <c r="G117" i="72"/>
  <c r="D115" i="72"/>
  <c r="E115" i="72"/>
  <c r="F115" i="72"/>
  <c r="G115" i="72"/>
  <c r="H115" i="72"/>
  <c r="I115" i="72"/>
  <c r="J115" i="72"/>
  <c r="K115" i="72"/>
  <c r="L115" i="72"/>
  <c r="M115" i="72"/>
  <c r="D113" i="72"/>
  <c r="E113" i="72"/>
  <c r="F113" i="72"/>
  <c r="G113" i="72"/>
  <c r="H113" i="72"/>
  <c r="H111" i="72"/>
  <c r="G111" i="72"/>
  <c r="F111" i="72"/>
  <c r="E111" i="72"/>
  <c r="D111" i="72"/>
  <c r="C111" i="72"/>
  <c r="D110" i="72"/>
  <c r="E110" i="72"/>
  <c r="F110" i="72"/>
  <c r="G110" i="72"/>
  <c r="H110" i="72"/>
  <c r="I110" i="72"/>
  <c r="J110" i="72"/>
  <c r="K110" i="72"/>
  <c r="L110" i="72"/>
  <c r="M110" i="72"/>
  <c r="D108" i="72"/>
  <c r="E108" i="72"/>
  <c r="F108" i="72"/>
  <c r="G108" i="72"/>
  <c r="H108" i="72"/>
  <c r="I108" i="72"/>
  <c r="J108" i="72"/>
  <c r="K108" i="72"/>
  <c r="L108" i="72"/>
  <c r="M108" i="72"/>
  <c r="D106" i="72"/>
  <c r="E106" i="72"/>
  <c r="F106" i="72"/>
  <c r="G106" i="72"/>
  <c r="H106" i="72"/>
  <c r="I106" i="72"/>
  <c r="J106" i="72"/>
  <c r="K106" i="72"/>
  <c r="L106" i="72"/>
  <c r="M106" i="72"/>
  <c r="M102" i="72"/>
  <c r="L102" i="72"/>
  <c r="K102" i="72"/>
  <c r="J102" i="72"/>
  <c r="I102" i="72"/>
  <c r="H102" i="72"/>
  <c r="G102" i="72"/>
  <c r="F102" i="72"/>
  <c r="E102" i="72"/>
  <c r="D102" i="72"/>
  <c r="C102" i="72"/>
  <c r="D101" i="72"/>
  <c r="E101" i="72"/>
  <c r="F101" i="72"/>
  <c r="G101" i="72"/>
  <c r="H101" i="72"/>
  <c r="I101" i="72"/>
  <c r="J101" i="72"/>
  <c r="K101" i="72"/>
  <c r="L101" i="72"/>
  <c r="M101" i="72"/>
  <c r="B98" i="72"/>
  <c r="B96" i="72"/>
  <c r="B94" i="72"/>
  <c r="B92" i="72"/>
  <c r="B90" i="72"/>
  <c r="D89" i="72"/>
  <c r="E89" i="72"/>
  <c r="F89" i="72"/>
  <c r="G89" i="72"/>
  <c r="H89" i="72"/>
  <c r="I89" i="72"/>
  <c r="J89" i="72"/>
  <c r="K89" i="72"/>
  <c r="L89" i="72"/>
  <c r="M89" i="72"/>
  <c r="M87" i="72"/>
  <c r="L87" i="72"/>
  <c r="K87" i="72"/>
  <c r="J87" i="72"/>
  <c r="I87" i="72"/>
  <c r="H87" i="72"/>
  <c r="G87" i="72"/>
  <c r="F87" i="72"/>
  <c r="E87" i="72"/>
  <c r="D87" i="72"/>
  <c r="D85" i="72"/>
  <c r="E85" i="72"/>
  <c r="F85" i="72"/>
  <c r="G85" i="72"/>
  <c r="D83" i="72"/>
  <c r="E83" i="72"/>
  <c r="F83" i="72"/>
  <c r="G83" i="72"/>
  <c r="D81" i="72"/>
  <c r="E81" i="72"/>
  <c r="F81" i="72"/>
  <c r="G81" i="72"/>
  <c r="D79" i="72"/>
  <c r="E79" i="72"/>
  <c r="F79" i="72"/>
  <c r="G79" i="72"/>
  <c r="D77" i="72"/>
  <c r="E77" i="72"/>
  <c r="F77" i="72"/>
  <c r="G77" i="72"/>
  <c r="B74" i="72"/>
  <c r="B72" i="72"/>
  <c r="B70" i="72"/>
  <c r="D69" i="72"/>
  <c r="E69" i="72"/>
  <c r="F69" i="72"/>
  <c r="G69" i="72"/>
  <c r="H69" i="72"/>
  <c r="I69" i="72"/>
  <c r="J69" i="72"/>
  <c r="K69" i="72"/>
  <c r="L69" i="72"/>
  <c r="M69" i="72"/>
  <c r="M67" i="72"/>
  <c r="L67" i="72"/>
  <c r="K67" i="72"/>
  <c r="J67" i="72"/>
  <c r="I67" i="72"/>
  <c r="H67" i="72"/>
  <c r="G67" i="72"/>
  <c r="F67" i="72"/>
  <c r="E67" i="72"/>
  <c r="D67" i="72"/>
  <c r="C67" i="72"/>
  <c r="D66" i="72"/>
  <c r="E66" i="72"/>
  <c r="F66" i="72"/>
  <c r="G66" i="72"/>
  <c r="H66" i="72"/>
  <c r="I66" i="72"/>
  <c r="C63" i="72"/>
  <c r="C7" i="72"/>
  <c r="C58" i="72"/>
  <c r="D58" i="72"/>
  <c r="E58" i="72"/>
  <c r="F58" i="72"/>
  <c r="G58" i="72"/>
  <c r="H58" i="72"/>
  <c r="I58" i="72"/>
  <c r="J58" i="72"/>
  <c r="K58" i="72"/>
  <c r="L58" i="72"/>
  <c r="M58" i="72"/>
  <c r="N58" i="72"/>
  <c r="O58" i="72"/>
  <c r="I54" i="72"/>
  <c r="J54" i="72"/>
  <c r="G54" i="72"/>
  <c r="H54" i="72"/>
  <c r="E54" i="72"/>
  <c r="F54" i="72"/>
  <c r="V47" i="72"/>
  <c r="J7" i="72"/>
  <c r="AC7" i="72"/>
  <c r="J8" i="72"/>
  <c r="AC8" i="72"/>
  <c r="J9" i="72"/>
  <c r="AC9" i="72"/>
  <c r="J10" i="72"/>
  <c r="AC10" i="72"/>
  <c r="C11" i="72"/>
  <c r="J11" i="72"/>
  <c r="AC11" i="72"/>
  <c r="J12" i="72"/>
  <c r="AC12" i="72"/>
  <c r="J13" i="72"/>
  <c r="AC13" i="72"/>
  <c r="J14" i="72"/>
  <c r="AC14" i="72"/>
  <c r="J15" i="72"/>
  <c r="AC15" i="72"/>
  <c r="J17" i="72"/>
  <c r="AC17" i="72"/>
  <c r="J19" i="72"/>
  <c r="AC19" i="72"/>
  <c r="J21" i="72"/>
  <c r="AC21" i="72"/>
  <c r="J23" i="72"/>
  <c r="AC23" i="72"/>
  <c r="J25" i="72"/>
  <c r="AC25" i="72"/>
  <c r="J26" i="72"/>
  <c r="AC26" i="72"/>
  <c r="J27" i="72"/>
  <c r="AC27" i="72"/>
  <c r="J28" i="72"/>
  <c r="AC28" i="72"/>
  <c r="J29" i="72"/>
  <c r="AC29" i="72"/>
  <c r="J30" i="72"/>
  <c r="AC30" i="72"/>
  <c r="J31" i="72"/>
  <c r="AC31" i="72"/>
  <c r="J32" i="72"/>
  <c r="AC32" i="72"/>
  <c r="C33" i="72"/>
  <c r="J33" i="72" s="1"/>
  <c r="J34" i="72"/>
  <c r="AC34" i="72"/>
  <c r="J35" i="72"/>
  <c r="AC35" i="72"/>
  <c r="J36" i="72"/>
  <c r="AC36" i="72"/>
  <c r="J37" i="72"/>
  <c r="AC37" i="72"/>
  <c r="J38" i="72"/>
  <c r="AC38" i="72"/>
  <c r="J39" i="72"/>
  <c r="AC39" i="72"/>
  <c r="J40" i="72"/>
  <c r="AC40" i="72"/>
  <c r="J41" i="72"/>
  <c r="AC41" i="72"/>
  <c r="J42" i="72"/>
  <c r="AC42" i="72"/>
  <c r="J43" i="72"/>
  <c r="AC43" i="72"/>
  <c r="J44" i="72"/>
  <c r="AC44" i="72"/>
  <c r="J45" i="72"/>
  <c r="AC45" i="72"/>
  <c r="J46" i="72"/>
  <c r="AC46" i="72"/>
  <c r="R47" i="72"/>
  <c r="F7" i="72"/>
  <c r="AA7" i="72"/>
  <c r="F8" i="72"/>
  <c r="AA8" i="72"/>
  <c r="F9" i="72"/>
  <c r="AA9" i="72"/>
  <c r="F10" i="72"/>
  <c r="AA10" i="72"/>
  <c r="F11" i="72"/>
  <c r="AA11" i="72"/>
  <c r="F12" i="72"/>
  <c r="AA12" i="72"/>
  <c r="F13" i="72"/>
  <c r="AA13" i="72"/>
  <c r="F14" i="72"/>
  <c r="AA14" i="72"/>
  <c r="F15" i="72"/>
  <c r="AA15" i="72"/>
  <c r="F17" i="72"/>
  <c r="AA17" i="72"/>
  <c r="F19" i="72"/>
  <c r="AA19" i="72"/>
  <c r="F21" i="72"/>
  <c r="AA21" i="72"/>
  <c r="F23" i="72"/>
  <c r="AA23" i="72"/>
  <c r="F25" i="72"/>
  <c r="AA25" i="72"/>
  <c r="F26" i="72"/>
  <c r="AA26" i="72"/>
  <c r="F27" i="72"/>
  <c r="AA27" i="72"/>
  <c r="F28" i="72"/>
  <c r="AA28" i="72"/>
  <c r="F29" i="72"/>
  <c r="AA29" i="72"/>
  <c r="F30" i="72"/>
  <c r="AA30" i="72"/>
  <c r="F31" i="72"/>
  <c r="AA31" i="72"/>
  <c r="F32" i="72"/>
  <c r="AA32" i="72"/>
  <c r="F33" i="72"/>
  <c r="AA33" i="72" s="1"/>
  <c r="R48" i="72" s="1"/>
  <c r="F34" i="72"/>
  <c r="AA34" i="72"/>
  <c r="F35" i="72"/>
  <c r="AA35" i="72"/>
  <c r="F36" i="72"/>
  <c r="AA36" i="72"/>
  <c r="F37" i="72"/>
  <c r="AA37" i="72"/>
  <c r="F38" i="72"/>
  <c r="AA38" i="72"/>
  <c r="F39" i="72"/>
  <c r="AA39" i="72"/>
  <c r="F40" i="72"/>
  <c r="AA40" i="72"/>
  <c r="F41" i="72"/>
  <c r="AA41" i="72"/>
  <c r="F42" i="72"/>
  <c r="AA42" i="72"/>
  <c r="F43" i="72"/>
  <c r="AA43" i="72"/>
  <c r="F44" i="72"/>
  <c r="AA44" i="72"/>
  <c r="F45" i="72"/>
  <c r="AA45" i="72"/>
  <c r="F46" i="72"/>
  <c r="AA46" i="72"/>
  <c r="T47" i="72"/>
  <c r="H7" i="72"/>
  <c r="AB7" i="72"/>
  <c r="H8" i="72"/>
  <c r="AB8" i="72"/>
  <c r="H9" i="72"/>
  <c r="AB9" i="72"/>
  <c r="H10" i="72"/>
  <c r="AB10" i="72"/>
  <c r="H11" i="72"/>
  <c r="AB11" i="72"/>
  <c r="H12" i="72"/>
  <c r="AB12" i="72"/>
  <c r="H13" i="72"/>
  <c r="AB13" i="72"/>
  <c r="H14" i="72"/>
  <c r="AB14" i="72"/>
  <c r="H15" i="72"/>
  <c r="AB15" i="72"/>
  <c r="H17" i="72"/>
  <c r="AB17" i="72"/>
  <c r="H19" i="72"/>
  <c r="AB19" i="72"/>
  <c r="H21" i="72"/>
  <c r="AB21" i="72"/>
  <c r="H23" i="72"/>
  <c r="AB23" i="72"/>
  <c r="H25" i="72"/>
  <c r="AB25" i="72"/>
  <c r="H26" i="72"/>
  <c r="AB26" i="72"/>
  <c r="H27" i="72"/>
  <c r="AB27" i="72"/>
  <c r="H28" i="72"/>
  <c r="AB28" i="72"/>
  <c r="H29" i="72"/>
  <c r="AB29" i="72"/>
  <c r="H30" i="72"/>
  <c r="AB30" i="72"/>
  <c r="H31" i="72"/>
  <c r="AB31" i="72"/>
  <c r="H32" i="72"/>
  <c r="AB32" i="72"/>
  <c r="H34" i="72"/>
  <c r="AB34" i="72"/>
  <c r="H35" i="72"/>
  <c r="AB35" i="72"/>
  <c r="H36" i="72"/>
  <c r="AB36" i="72"/>
  <c r="H37" i="72"/>
  <c r="AB37" i="72"/>
  <c r="H38" i="72"/>
  <c r="AB38" i="72"/>
  <c r="H39" i="72"/>
  <c r="AB39" i="72"/>
  <c r="H40" i="72"/>
  <c r="AB40" i="72"/>
  <c r="H41" i="72"/>
  <c r="AB41" i="72"/>
  <c r="H42" i="72"/>
  <c r="AB42" i="72"/>
  <c r="H43" i="72"/>
  <c r="AB43" i="72"/>
  <c r="H44" i="72"/>
  <c r="AB44" i="72"/>
  <c r="H45" i="72"/>
  <c r="AB45" i="72"/>
  <c r="H46" i="72"/>
  <c r="AB46" i="72"/>
  <c r="P49" i="72"/>
  <c r="P48" i="72"/>
  <c r="P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5" i="72"/>
  <c r="Z35" i="72"/>
  <c r="W35" i="72"/>
  <c r="U35" i="72"/>
  <c r="S35" i="72"/>
  <c r="Q34" i="72"/>
  <c r="Z34" i="72"/>
  <c r="W34" i="72"/>
  <c r="U34" i="72"/>
  <c r="S34" i="72"/>
  <c r="Q33" i="72"/>
  <c r="Z33" i="72"/>
  <c r="S33" i="72"/>
  <c r="Q32" i="72"/>
  <c r="Z32" i="72"/>
  <c r="W32" i="72"/>
  <c r="U32" i="72"/>
  <c r="S32" i="72"/>
  <c r="Q31" i="72"/>
  <c r="Z31" i="72"/>
  <c r="W31" i="72"/>
  <c r="U31" i="72"/>
  <c r="S31" i="72"/>
  <c r="Q30" i="72"/>
  <c r="Z30" i="72"/>
  <c r="W30" i="72"/>
  <c r="U30" i="72"/>
  <c r="S30" i="72"/>
  <c r="Q29" i="72"/>
  <c r="Z29" i="72"/>
  <c r="W29" i="72"/>
  <c r="U29" i="72"/>
  <c r="S29" i="72"/>
  <c r="Q28" i="72"/>
  <c r="Z28" i="72"/>
  <c r="W28" i="72"/>
  <c r="U28" i="72"/>
  <c r="S28" i="72"/>
  <c r="Q27" i="72"/>
  <c r="Z27" i="72"/>
  <c r="W27" i="72"/>
  <c r="U27" i="72"/>
  <c r="S27" i="72"/>
  <c r="Q26" i="72"/>
  <c r="Z26" i="72"/>
  <c r="W26" i="72"/>
  <c r="U26" i="72"/>
  <c r="S26" i="72"/>
  <c r="Q25" i="72"/>
  <c r="Z25" i="72"/>
  <c r="W25" i="72"/>
  <c r="U25" i="72"/>
  <c r="S25" i="72"/>
  <c r="Q23" i="72"/>
  <c r="Z23" i="72"/>
  <c r="W23" i="72"/>
  <c r="U23" i="72"/>
  <c r="S23" i="72"/>
  <c r="C23" i="72"/>
  <c r="Q21" i="72"/>
  <c r="Z21" i="72"/>
  <c r="W21" i="72"/>
  <c r="U21" i="72"/>
  <c r="S21" i="72"/>
  <c r="C21" i="72"/>
  <c r="Q19" i="72"/>
  <c r="Z19" i="72"/>
  <c r="W19" i="72"/>
  <c r="U19" i="72"/>
  <c r="S19" i="72"/>
  <c r="C19" i="72"/>
  <c r="Q17" i="72"/>
  <c r="Z17" i="72"/>
  <c r="W17" i="72"/>
  <c r="U17" i="72"/>
  <c r="S17" i="72"/>
  <c r="C17" i="72"/>
  <c r="Q15" i="72"/>
  <c r="Z15" i="72"/>
  <c r="W15" i="72"/>
  <c r="U15" i="72"/>
  <c r="S15" i="72"/>
  <c r="C15" i="72"/>
  <c r="Q14" i="72"/>
  <c r="Z14" i="72"/>
  <c r="W14" i="72"/>
  <c r="U14" i="72"/>
  <c r="S14" i="72"/>
  <c r="Q13" i="72"/>
  <c r="Z13" i="72"/>
  <c r="W13" i="72"/>
  <c r="U13" i="72"/>
  <c r="S13" i="72"/>
  <c r="Q12" i="72"/>
  <c r="Z12" i="72"/>
  <c r="W12" i="72"/>
  <c r="U12" i="72"/>
  <c r="S12" i="72"/>
  <c r="Q11" i="72"/>
  <c r="Z11" i="72"/>
  <c r="W11" i="72"/>
  <c r="U11" i="72"/>
  <c r="S11" i="72"/>
  <c r="Q10" i="72"/>
  <c r="Z10" i="72"/>
  <c r="W10" i="72"/>
  <c r="U10" i="72"/>
  <c r="S10" i="72"/>
  <c r="Q9" i="72"/>
  <c r="Z9" i="72"/>
  <c r="W9" i="72"/>
  <c r="U9" i="72"/>
  <c r="S9" i="72"/>
  <c r="W8" i="72"/>
  <c r="U8" i="72"/>
  <c r="S8" i="72"/>
  <c r="W7" i="72"/>
  <c r="U7" i="72"/>
  <c r="S7" i="72"/>
  <c r="D3" i="72"/>
  <c r="C33" i="21"/>
  <c r="I7" i="6"/>
  <c r="C11" i="21"/>
  <c r="O72" i="69"/>
  <c r="J72" i="69"/>
  <c r="H72" i="69"/>
  <c r="I72" i="69"/>
  <c r="G72" i="69"/>
  <c r="F20" i="69"/>
  <c r="G21" i="6"/>
  <c r="M13" i="3"/>
  <c r="D14" i="9"/>
  <c r="C40" i="39"/>
  <c r="BR13" i="3"/>
  <c r="BR5" i="3"/>
  <c r="G28" i="6"/>
  <c r="E28" i="6"/>
  <c r="E30" i="6"/>
  <c r="BD13" i="3"/>
  <c r="BA13" i="3"/>
  <c r="BA5" i="3"/>
  <c r="E8" i="6"/>
  <c r="F27" i="6"/>
  <c r="E21" i="6"/>
  <c r="E27" i="6"/>
  <c r="E31" i="6"/>
  <c r="BL13" i="3"/>
  <c r="AZ13" i="3"/>
  <c r="AZ5" i="3"/>
  <c r="AC13" i="3"/>
  <c r="H13" i="3"/>
  <c r="G13" i="3"/>
  <c r="G5" i="3"/>
  <c r="B3" i="3"/>
  <c r="AY6" i="3"/>
  <c r="D3" i="6"/>
  <c r="E3" i="6"/>
  <c r="D19" i="6"/>
  <c r="D20" i="6"/>
  <c r="D21" i="6"/>
  <c r="D22" i="6"/>
  <c r="D23" i="6"/>
  <c r="D24" i="6"/>
  <c r="D25" i="6"/>
  <c r="D26" i="6"/>
  <c r="D27" i="6"/>
  <c r="D28" i="6"/>
  <c r="D29" i="6"/>
  <c r="D30" i="6"/>
  <c r="D31" i="6"/>
  <c r="I5" i="6"/>
  <c r="C13" i="39"/>
  <c r="K6" i="1"/>
  <c r="M6" i="1"/>
  <c r="O6" i="1"/>
  <c r="P6" i="1"/>
  <c r="K7" i="1"/>
  <c r="M7" i="1"/>
  <c r="O7" i="1"/>
  <c r="P7" i="1"/>
  <c r="K8" i="1"/>
  <c r="O8" i="1"/>
  <c r="P8" i="1"/>
  <c r="A9" i="1"/>
  <c r="K9" i="1"/>
  <c r="M9" i="1"/>
  <c r="O9" i="1"/>
  <c r="P9" i="1"/>
  <c r="K10" i="1"/>
  <c r="M10" i="1"/>
  <c r="O10" i="1"/>
  <c r="P10" i="1"/>
  <c r="K11" i="1"/>
  <c r="M11" i="1"/>
  <c r="O11" i="1"/>
  <c r="P11" i="1"/>
  <c r="K12" i="1"/>
  <c r="M12" i="1"/>
  <c r="O12" i="1"/>
  <c r="P12" i="1"/>
  <c r="K13" i="1"/>
  <c r="M13" i="1"/>
  <c r="O13" i="1"/>
  <c r="P13" i="1"/>
  <c r="K14" i="1"/>
  <c r="M14" i="1"/>
  <c r="O14" i="1"/>
  <c r="P14" i="1"/>
  <c r="P16" i="1"/>
  <c r="C13" i="12"/>
  <c r="C14" i="12"/>
  <c r="B2" i="1"/>
  <c r="C42" i="1"/>
  <c r="C15" i="12"/>
  <c r="D16" i="12"/>
  <c r="C16" i="12" s="1"/>
  <c r="C17" i="12"/>
  <c r="D19" i="12"/>
  <c r="C19" i="12" s="1"/>
  <c r="E5" i="6"/>
  <c r="D21" i="12"/>
  <c r="C21" i="12" s="1"/>
  <c r="E6" i="6"/>
  <c r="D22" i="12"/>
  <c r="C22" i="12"/>
  <c r="F23" i="12"/>
  <c r="C1" i="65"/>
  <c r="H1" i="65"/>
  <c r="B22" i="1"/>
  <c r="C2" i="65"/>
  <c r="I1" i="65"/>
  <c r="C9" i="12"/>
  <c r="D9" i="12"/>
  <c r="F24" i="12"/>
  <c r="B24" i="1"/>
  <c r="Q16" i="1"/>
  <c r="F33" i="12"/>
  <c r="C25" i="12"/>
  <c r="C34" i="12"/>
  <c r="D33" i="12" s="1"/>
  <c r="B35" i="1"/>
  <c r="E9" i="6"/>
  <c r="F8" i="69"/>
  <c r="F20" i="6"/>
  <c r="F19" i="6"/>
  <c r="A3" i="3"/>
  <c r="AL13" i="3"/>
  <c r="K13" i="3"/>
  <c r="I13" i="3"/>
  <c r="D28" i="69"/>
  <c r="D27" i="69"/>
  <c r="D26" i="69"/>
  <c r="D25" i="69"/>
  <c r="D24" i="69"/>
  <c r="D21" i="69"/>
  <c r="D20" i="69"/>
  <c r="D19" i="69"/>
  <c r="D4" i="69"/>
  <c r="D3" i="69"/>
  <c r="D18" i="69"/>
  <c r="D15" i="69"/>
  <c r="D16" i="69"/>
  <c r="D14" i="69"/>
  <c r="D13" i="69"/>
  <c r="D9" i="69"/>
  <c r="D6" i="69"/>
  <c r="D5" i="69"/>
  <c r="E3" i="69"/>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A6" i="1"/>
  <c r="E19" i="6"/>
  <c r="E20" i="6"/>
  <c r="E32" i="6"/>
  <c r="BM13" i="3"/>
  <c r="BM5" i="3"/>
  <c r="BO13" i="3"/>
  <c r="BO5" i="3"/>
  <c r="F29" i="6"/>
  <c r="BN13" i="3"/>
  <c r="BN5" i="3"/>
  <c r="BP13" i="3"/>
  <c r="BP5" i="3"/>
  <c r="G29" i="6"/>
  <c r="E29" i="6"/>
  <c r="L19" i="6"/>
  <c r="BB13" i="3"/>
  <c r="BB5" i="3"/>
  <c r="BC13" i="3"/>
  <c r="BC5" i="3"/>
  <c r="E22" i="6"/>
  <c r="BE13" i="3"/>
  <c r="BF13" i="3"/>
  <c r="BG13" i="3"/>
  <c r="BH13" i="3"/>
  <c r="BI13" i="3"/>
  <c r="BJ13" i="3"/>
  <c r="BK13" i="3"/>
  <c r="BQ13" i="3"/>
  <c r="BQ5" i="3"/>
  <c r="BS13" i="3"/>
  <c r="BS5" i="3"/>
  <c r="F28" i="6"/>
  <c r="BT13" i="3"/>
  <c r="BT5" i="3"/>
  <c r="K19" i="6"/>
  <c r="M19" i="6"/>
  <c r="I19" i="6"/>
  <c r="H19" i="6"/>
  <c r="R19" i="6"/>
  <c r="R6" i="1"/>
  <c r="AG6" i="1"/>
  <c r="D6" i="1"/>
  <c r="D19" i="4"/>
  <c r="F6" i="1"/>
  <c r="S6" i="1"/>
  <c r="M11" i="68"/>
  <c r="J10" i="68"/>
  <c r="F11" i="68"/>
  <c r="C53" i="68"/>
  <c r="C10" i="68"/>
  <c r="F24" i="68"/>
  <c r="C24" i="68"/>
  <c r="I3" i="59"/>
  <c r="L3" i="59"/>
  <c r="K3" i="59"/>
  <c r="J3" i="5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5" i="59"/>
  <c r="AF5" i="59"/>
  <c r="AG5" i="59"/>
  <c r="AH5" i="59"/>
  <c r="AD5" i="59"/>
  <c r="Q5" i="59"/>
  <c r="P5" i="59"/>
  <c r="O5" i="59"/>
  <c r="N5" i="59"/>
  <c r="N6" i="59"/>
  <c r="Q6" i="59"/>
  <c r="P6" i="59"/>
  <c r="O6" i="59"/>
  <c r="L4" i="9"/>
  <c r="M4" i="9"/>
  <c r="A30" i="64"/>
  <c r="A30" i="51"/>
  <c r="K59" i="15"/>
  <c r="P62" i="15"/>
  <c r="P75" i="15"/>
  <c r="Q74" i="44"/>
  <c r="Q61" i="44"/>
  <c r="Q60" i="44"/>
  <c r="Q53" i="44"/>
  <c r="J51" i="44"/>
  <c r="J52" i="44"/>
  <c r="M48" i="44"/>
  <c r="A16" i="55"/>
  <c r="A15" i="55"/>
  <c r="A14" i="55"/>
  <c r="A11" i="55"/>
  <c r="A10" i="55"/>
  <c r="A9" i="55"/>
  <c r="A8" i="55"/>
  <c r="A6" i="54"/>
  <c r="A8" i="54"/>
  <c r="A7" i="54"/>
  <c r="C57" i="10"/>
  <c r="A28" i="51"/>
  <c r="A27" i="51"/>
  <c r="D5" i="46"/>
  <c r="Q7" i="59"/>
  <c r="Q8" i="59"/>
  <c r="Q9" i="59"/>
  <c r="Q10" i="59"/>
  <c r="Q11" i="59"/>
  <c r="Q12" i="59"/>
  <c r="Q13" i="59"/>
  <c r="Q14" i="59"/>
  <c r="Q15" i="59"/>
  <c r="Q16" i="59"/>
  <c r="Q17" i="59"/>
  <c r="Q18" i="59"/>
  <c r="Q19" i="59"/>
  <c r="Q20" i="59"/>
  <c r="AB5" i="59"/>
  <c r="O7" i="59"/>
  <c r="O8" i="59"/>
  <c r="O9" i="59"/>
  <c r="O10" i="59"/>
  <c r="O11" i="59"/>
  <c r="O12" i="59"/>
  <c r="O13" i="59"/>
  <c r="O14" i="59"/>
  <c r="O15" i="59"/>
  <c r="O16" i="59"/>
  <c r="O17" i="59"/>
  <c r="O18" i="59"/>
  <c r="O19" i="59"/>
  <c r="O20" i="59"/>
  <c r="Y5" i="59"/>
  <c r="Z5" i="59"/>
  <c r="N8" i="59"/>
  <c r="P8" i="59"/>
  <c r="N7" i="59"/>
  <c r="N9" i="59"/>
  <c r="N10" i="59"/>
  <c r="N11" i="59"/>
  <c r="N12" i="59"/>
  <c r="N13" i="59"/>
  <c r="N14" i="59"/>
  <c r="N15" i="59"/>
  <c r="N16" i="59"/>
  <c r="N17" i="59"/>
  <c r="N18" i="59"/>
  <c r="N19" i="59"/>
  <c r="N20" i="59"/>
  <c r="X5" i="59"/>
  <c r="P7" i="59"/>
  <c r="P9" i="59"/>
  <c r="P10" i="59"/>
  <c r="P11" i="59"/>
  <c r="P12" i="59"/>
  <c r="P13" i="59"/>
  <c r="P14" i="59"/>
  <c r="P15" i="59"/>
  <c r="P16" i="59"/>
  <c r="P17" i="59"/>
  <c r="P18" i="59"/>
  <c r="P19" i="59"/>
  <c r="P20" i="59"/>
  <c r="AA5" i="59"/>
  <c r="B9" i="59"/>
  <c r="C9" i="59"/>
  <c r="D9" i="59"/>
  <c r="E9" i="59"/>
  <c r="F9"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9" i="59"/>
  <c r="U9" i="59"/>
  <c r="T9" i="59"/>
  <c r="S9" i="59"/>
  <c r="B8" i="59"/>
  <c r="B7" i="59"/>
  <c r="B6" i="59"/>
  <c r="B5" i="59"/>
  <c r="E8" i="59"/>
  <c r="E7" i="59"/>
  <c r="E6" i="59"/>
  <c r="E5" i="59"/>
  <c r="C8" i="59"/>
  <c r="F8" i="59"/>
  <c r="F7" i="59"/>
  <c r="F6" i="59"/>
  <c r="F5" i="59"/>
  <c r="D8" i="59"/>
  <c r="C7"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D7" i="59"/>
  <c r="C6" i="59"/>
  <c r="S2" i="31"/>
  <c r="M2" i="31"/>
  <c r="N2" i="31"/>
  <c r="O2" i="31"/>
  <c r="P2" i="31"/>
  <c r="Q2" i="31"/>
  <c r="R2" i="31"/>
  <c r="D6" i="59"/>
  <c r="C5" i="59"/>
  <c r="C3" i="65"/>
  <c r="N1" i="65"/>
  <c r="G19" i="46"/>
  <c r="D5" i="59"/>
  <c r="D10" i="59"/>
  <c r="B11" i="59"/>
  <c r="C11" i="59"/>
  <c r="D11" i="59"/>
  <c r="E11" i="59"/>
  <c r="F11" i="59"/>
  <c r="B12" i="59"/>
  <c r="C12" i="59"/>
  <c r="D12" i="59"/>
  <c r="E12" i="59"/>
  <c r="F12" i="59"/>
  <c r="B13" i="59"/>
  <c r="C13" i="59"/>
  <c r="D13" i="59"/>
  <c r="E13" i="59"/>
  <c r="F13" i="59"/>
  <c r="D14" i="59"/>
  <c r="B15" i="59"/>
  <c r="C15" i="59"/>
  <c r="D15" i="59"/>
  <c r="E15" i="59"/>
  <c r="F15" i="59"/>
  <c r="B16" i="59"/>
  <c r="C16" i="59"/>
  <c r="D16" i="59"/>
  <c r="E16" i="59"/>
  <c r="F16" i="59"/>
  <c r="B17" i="59"/>
  <c r="C17" i="59"/>
  <c r="D17" i="59"/>
  <c r="E17" i="59"/>
  <c r="F17" i="59"/>
  <c r="D18" i="59"/>
  <c r="B19" i="59"/>
  <c r="C19" i="59"/>
  <c r="D19" i="59"/>
  <c r="E19" i="59"/>
  <c r="F19" i="59"/>
  <c r="B20" i="59"/>
  <c r="C20" i="59"/>
  <c r="D20" i="59"/>
  <c r="E20" i="59"/>
  <c r="F20" i="59"/>
  <c r="B21" i="59"/>
  <c r="C21" i="59"/>
  <c r="D21" i="59"/>
  <c r="E21" i="59"/>
  <c r="F21" i="59"/>
  <c r="M20" i="46"/>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AB20" i="59"/>
  <c r="Y20" i="59"/>
  <c r="Z20" i="59"/>
  <c r="X20" i="59"/>
  <c r="U21" i="59"/>
  <c r="S21" i="59"/>
  <c r="U17" i="59"/>
  <c r="S17" i="59"/>
  <c r="X3" i="59"/>
  <c r="X6" i="59"/>
  <c r="X7" i="59"/>
  <c r="X8" i="59"/>
  <c r="X9" i="59"/>
  <c r="AA3" i="59"/>
  <c r="AA6" i="59"/>
  <c r="AA7" i="59"/>
  <c r="AA8" i="59"/>
  <c r="AA9" i="59"/>
  <c r="Y6" i="59"/>
  <c r="Z6" i="59"/>
  <c r="Y7" i="59"/>
  <c r="Z7" i="59"/>
  <c r="Y8" i="59"/>
  <c r="Z8" i="59"/>
  <c r="Y9" i="59"/>
  <c r="Z9" i="59"/>
  <c r="Y3" i="59"/>
  <c r="Z3" i="59"/>
  <c r="AB9" i="59"/>
  <c r="AB3" i="59"/>
  <c r="AB6" i="59"/>
  <c r="AB7" i="59"/>
  <c r="AB8" i="59"/>
  <c r="S13" i="59"/>
  <c r="U13" i="59"/>
  <c r="B32" i="59"/>
  <c r="B33" i="59"/>
  <c r="S33" i="59"/>
  <c r="E32" i="59"/>
  <c r="E33" i="59"/>
  <c r="U33" i="59"/>
  <c r="S49" i="59"/>
  <c r="Z19" i="59"/>
  <c r="AA20" i="59"/>
  <c r="V13" i="59"/>
  <c r="V17" i="59"/>
  <c r="V21" i="59"/>
  <c r="F24" i="59"/>
  <c r="F25" i="59"/>
  <c r="V25" i="59"/>
  <c r="F28" i="59"/>
  <c r="F29" i="59"/>
  <c r="V29" i="59"/>
  <c r="F36" i="59"/>
  <c r="F37" i="59"/>
  <c r="V37" i="59"/>
  <c r="F40" i="59"/>
  <c r="F41" i="59"/>
  <c r="V41" i="59"/>
  <c r="F44" i="59"/>
  <c r="F45" i="59"/>
  <c r="V45" i="59"/>
  <c r="C24" i="59"/>
  <c r="D23" i="59"/>
  <c r="C28" i="59"/>
  <c r="D28" i="59"/>
  <c r="D27" i="59"/>
  <c r="C32" i="59"/>
  <c r="D31" i="59"/>
  <c r="C36" i="59"/>
  <c r="D35" i="59"/>
  <c r="C40" i="59"/>
  <c r="D39" i="59"/>
  <c r="C44" i="59"/>
  <c r="D43"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P46" i="59"/>
  <c r="P47" i="59"/>
  <c r="D68" i="59"/>
  <c r="C67" i="59"/>
  <c r="D67" i="59"/>
  <c r="D60" i="59"/>
  <c r="C59" i="59"/>
  <c r="D59" i="59"/>
  <c r="D52" i="59"/>
  <c r="C51" i="59"/>
  <c r="D51" i="59"/>
  <c r="C47" i="59"/>
  <c r="O48" i="59"/>
  <c r="D48" i="59"/>
  <c r="D64" i="59"/>
  <c r="C63" i="59"/>
  <c r="D63" i="59"/>
  <c r="D56" i="59"/>
  <c r="C55" i="59"/>
  <c r="D55" i="59"/>
  <c r="N46" i="59"/>
  <c r="N47" i="59"/>
  <c r="C45" i="59"/>
  <c r="D44" i="59"/>
  <c r="D40" i="59"/>
  <c r="C41" i="59"/>
  <c r="C37" i="59"/>
  <c r="D36" i="59"/>
  <c r="C33" i="59"/>
  <c r="D32" i="59"/>
  <c r="C25" i="59"/>
  <c r="D24" i="59"/>
  <c r="N16" i="4"/>
  <c r="L16" i="4"/>
  <c r="T41" i="59"/>
  <c r="D41" i="59"/>
  <c r="T13" i="59"/>
  <c r="T21" i="59"/>
  <c r="T25" i="59"/>
  <c r="D25" i="59"/>
  <c r="T33" i="59"/>
  <c r="D33" i="59"/>
  <c r="T37" i="59"/>
  <c r="D37" i="59"/>
  <c r="T45" i="59"/>
  <c r="D45" i="59"/>
  <c r="T17" i="59"/>
  <c r="O47" i="59"/>
  <c r="D47" i="59"/>
  <c r="O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A12" i="1"/>
  <c r="R12" i="1"/>
  <c r="A13" i="1"/>
  <c r="B13" i="1"/>
  <c r="E13" i="1"/>
  <c r="A7" i="1"/>
  <c r="A8"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F9" i="1"/>
  <c r="F19" i="4"/>
  <c r="E19" i="4"/>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23" i="6"/>
  <c r="E24" i="6"/>
  <c r="E25" i="6"/>
  <c r="E26" i="6"/>
  <c r="D38" i="4"/>
  <c r="C39" i="4"/>
  <c r="C35" i="4"/>
  <c r="E16" i="12"/>
  <c r="F14" i="12"/>
  <c r="F15" i="12"/>
  <c r="F17" i="12"/>
  <c r="E19" i="12"/>
  <c r="E21" i="12"/>
  <c r="E22"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s="1"/>
  <c r="H33" i="21"/>
  <c r="U33" i="21" s="1"/>
  <c r="F33" i="21"/>
  <c r="S33" i="21" s="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R48" i="21" s="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T48" i="21" s="1"/>
  <c r="G48" i="21" s="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19" i="46"/>
  <c r="F3" i="35"/>
  <c r="K1" i="43"/>
  <c r="K1" i="12"/>
  <c r="G1" i="44"/>
  <c r="I4" i="6"/>
  <c r="G3" i="46"/>
  <c r="H22" i="46"/>
  <c r="E413" i="3"/>
  <c r="BK5" i="3"/>
  <c r="BD5"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7" i="52"/>
  <c r="E6" i="52"/>
  <c r="B14" i="52"/>
  <c r="E21" i="52"/>
  <c r="B22" i="52"/>
  <c r="B13" i="52"/>
  <c r="B5" i="52"/>
  <c r="E8" i="52"/>
  <c r="B11" i="52"/>
  <c r="E16" i="52"/>
  <c r="E4" i="52"/>
  <c r="D24" i="15"/>
  <c r="G6" i="1"/>
  <c r="E86" i="3"/>
  <c r="AE11" i="46"/>
  <c r="AE13" i="46"/>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G16" i="1"/>
  <c r="J12" i="40"/>
  <c r="F30" i="6"/>
  <c r="E13" i="6"/>
  <c r="E11" i="6"/>
  <c r="H70" i="46"/>
  <c r="H72" i="46"/>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F18" i="11"/>
  <c r="C18" i="11"/>
  <c r="AP16" i="1"/>
  <c r="F22" i="11"/>
  <c r="E4" i="4"/>
  <c r="C4" i="4"/>
  <c r="G66" i="36"/>
  <c r="J18" i="36"/>
  <c r="AE7" i="1"/>
  <c r="AE6" i="1"/>
  <c r="M17" i="15"/>
  <c r="M19" i="44"/>
  <c r="F31" i="15"/>
  <c r="F58" i="15"/>
  <c r="F33" i="44"/>
  <c r="I116" i="46"/>
  <c r="J116" i="46"/>
  <c r="K116" i="46"/>
  <c r="L116" i="46"/>
  <c r="M116" i="46"/>
  <c r="K102" i="46"/>
  <c r="K103" i="46"/>
  <c r="K106" i="46"/>
  <c r="F105" i="46"/>
  <c r="F104" i="46"/>
  <c r="F102" i="46"/>
  <c r="C109" i="46"/>
  <c r="C102" i="46"/>
  <c r="C103" i="46"/>
  <c r="J102" i="46"/>
  <c r="J106" i="46"/>
  <c r="H7" i="37"/>
  <c r="J7" i="37"/>
  <c r="F7" i="37"/>
  <c r="AA7" i="37"/>
  <c r="R42" i="37"/>
  <c r="E42" i="37"/>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C115" i="46"/>
  <c r="H12" i="40"/>
  <c r="AB12" i="40"/>
  <c r="H12" i="39"/>
  <c r="U12" i="39"/>
  <c r="F12" i="39"/>
  <c r="AA12" i="39"/>
  <c r="F31" i="6"/>
  <c r="F12" i="40"/>
  <c r="AA12" i="40"/>
  <c r="J12" i="39"/>
  <c r="AC12" i="39"/>
  <c r="AC6" i="3"/>
  <c r="D12" i="11"/>
  <c r="C12" i="11"/>
  <c r="E59" i="40"/>
  <c r="L20" i="6"/>
  <c r="E58" i="40"/>
  <c r="E63" i="39"/>
  <c r="E16" i="6"/>
  <c r="F24" i="43"/>
  <c r="E60" i="40"/>
  <c r="E65" i="39"/>
  <c r="K26" i="6"/>
  <c r="M26" i="6"/>
  <c r="I26" i="6"/>
  <c r="S26" i="6"/>
  <c r="K24" i="6"/>
  <c r="M24" i="6"/>
  <c r="I24" i="6"/>
  <c r="S24" i="6"/>
  <c r="K22" i="6"/>
  <c r="K20" i="6"/>
  <c r="K23" i="6"/>
  <c r="M23" i="6"/>
  <c r="I23" i="6"/>
  <c r="S23" i="6"/>
  <c r="K25" i="6"/>
  <c r="M25" i="6"/>
  <c r="I25" i="6"/>
  <c r="S25" i="6"/>
  <c r="K21"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AB12" i="39"/>
  <c r="AC12" i="40"/>
  <c r="W12" i="40"/>
  <c r="E46" i="37"/>
  <c r="F46" i="37"/>
  <c r="C48" i="33"/>
  <c r="C49" i="33"/>
  <c r="B3" i="33"/>
  <c r="B2" i="33"/>
  <c r="U7" i="37"/>
  <c r="AB7" i="37"/>
  <c r="T42" i="37"/>
  <c r="G42" i="37"/>
  <c r="S12" i="40"/>
  <c r="S12" i="39"/>
  <c r="E6" i="3"/>
  <c r="D113" i="46"/>
  <c r="J22" i="46"/>
  <c r="W12" i="39"/>
  <c r="U12" i="40"/>
  <c r="E41" i="36"/>
  <c r="F41" i="36"/>
  <c r="I47" i="37"/>
  <c r="J47" i="37"/>
  <c r="G47" i="37"/>
  <c r="H47" i="37"/>
  <c r="E53" i="33"/>
  <c r="F53" i="33"/>
  <c r="I53" i="33"/>
  <c r="J53" i="33"/>
  <c r="L27" i="6"/>
  <c r="E38" i="35"/>
  <c r="I43" i="35"/>
  <c r="J43" i="35"/>
  <c r="I41" i="36"/>
  <c r="J41" i="36"/>
  <c r="R37" i="36"/>
  <c r="C26" i="46"/>
  <c r="C26" i="43"/>
  <c r="D24" i="43" s="1"/>
  <c r="K16" i="1"/>
  <c r="M20" i="6"/>
  <c r="I20" i="6"/>
  <c r="S20" i="6"/>
  <c r="S7" i="1"/>
  <c r="K27" i="6"/>
  <c r="M21" i="6"/>
  <c r="I21" i="6"/>
  <c r="S21" i="6"/>
  <c r="S8" i="1"/>
  <c r="M22" i="6"/>
  <c r="I22" i="6"/>
  <c r="S22" i="6"/>
  <c r="S9" i="1"/>
  <c r="B1" i="66"/>
  <c r="R43" i="37"/>
  <c r="C27" i="46"/>
  <c r="R50" i="34"/>
  <c r="C50" i="34"/>
  <c r="B3" i="34"/>
  <c r="B2" i="34"/>
  <c r="E49" i="34"/>
  <c r="C39" i="35"/>
  <c r="B3" i="35"/>
  <c r="B2" i="35"/>
  <c r="AC7" i="21"/>
  <c r="W7" i="21"/>
  <c r="U7" i="21"/>
  <c r="AB7" i="21"/>
  <c r="S7" i="21"/>
  <c r="AA7" i="21"/>
  <c r="F72" i="39"/>
  <c r="G70" i="39"/>
  <c r="F67" i="40"/>
  <c r="G65" i="40"/>
  <c r="G46" i="37"/>
  <c r="H46" i="37"/>
  <c r="E47" i="37"/>
  <c r="F47" i="37"/>
  <c r="B2" i="46"/>
  <c r="D4" i="46"/>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T7" i="1"/>
  <c r="C43" i="37"/>
  <c r="B3" i="37"/>
  <c r="B2" i="37"/>
  <c r="C42" i="37"/>
  <c r="C49" i="34"/>
  <c r="E54" i="34"/>
  <c r="F54" i="34"/>
  <c r="I54" i="34"/>
  <c r="J54" i="34"/>
  <c r="E53" i="34"/>
  <c r="F53" i="34"/>
  <c r="G67" i="40"/>
  <c r="H65" i="40"/>
  <c r="G72" i="39"/>
  <c r="H70" i="39"/>
  <c r="B2" i="66"/>
  <c r="E68" i="39"/>
  <c r="E63" i="40"/>
  <c r="B4" i="46"/>
  <c r="B3" i="46"/>
  <c r="T10" i="1"/>
  <c r="T9" i="1"/>
  <c r="T6" i="1"/>
  <c r="T11" i="1"/>
  <c r="T8" i="1"/>
  <c r="T12" i="1"/>
  <c r="O16" i="1"/>
  <c r="C13" i="43"/>
  <c r="C17" i="43" s="1"/>
  <c r="L16" i="1"/>
  <c r="N16" i="1"/>
  <c r="C29" i="43"/>
  <c r="D13" i="11"/>
  <c r="C13" i="11"/>
  <c r="I27" i="6"/>
  <c r="S19" i="6"/>
  <c r="S27" i="6"/>
  <c r="C22" i="4"/>
  <c r="D10" i="6"/>
  <c r="D11" i="6"/>
  <c r="D13" i="6"/>
  <c r="D12" i="6"/>
  <c r="H21" i="6"/>
  <c r="H20" i="6"/>
  <c r="H24" i="6"/>
  <c r="H25" i="6"/>
  <c r="D6" i="6"/>
  <c r="D9" i="6"/>
  <c r="D5" i="6"/>
  <c r="D14" i="6"/>
  <c r="H22" i="6"/>
  <c r="R22" i="6"/>
  <c r="R9" i="1"/>
  <c r="D15" i="6"/>
  <c r="D8" i="6"/>
  <c r="H26" i="6"/>
  <c r="H23" i="6"/>
  <c r="I70" i="39"/>
  <c r="H72" i="39"/>
  <c r="I65" i="40"/>
  <c r="H67" i="40"/>
  <c r="T16" i="1"/>
  <c r="H27" i="6"/>
  <c r="R20" i="6"/>
  <c r="R7" i="1"/>
  <c r="R24" i="6"/>
  <c r="D16" i="6"/>
  <c r="R23" i="6"/>
  <c r="R25" i="6"/>
  <c r="R21" i="6"/>
  <c r="R8" i="1"/>
  <c r="A6" i="51"/>
  <c r="B7" i="63"/>
  <c r="A20" i="64"/>
  <c r="A6" i="64"/>
  <c r="A20" i="51"/>
  <c r="B15" i="63"/>
  <c r="N5" i="54"/>
  <c r="B43" i="63"/>
  <c r="R26" i="6"/>
  <c r="C14" i="43"/>
  <c r="J65" i="40"/>
  <c r="I67" i="40"/>
  <c r="J70" i="39"/>
  <c r="I72" i="39"/>
  <c r="R16" i="1"/>
  <c r="I6" i="6"/>
  <c r="R27" i="6"/>
  <c r="K70" i="39"/>
  <c r="J72" i="39"/>
  <c r="K65" i="40"/>
  <c r="J67" i="40"/>
  <c r="K67" i="40"/>
  <c r="L65" i="40"/>
  <c r="K72" i="39"/>
  <c r="L70" i="39"/>
  <c r="L72" i="39"/>
  <c r="M70" i="39"/>
  <c r="M65" i="40"/>
  <c r="L67" i="40"/>
  <c r="N70" i="39"/>
  <c r="N72" i="39"/>
  <c r="M72" i="39"/>
  <c r="N65" i="40"/>
  <c r="N67" i="40"/>
  <c r="M67" i="40"/>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J9" i="40"/>
  <c r="F9" i="40"/>
  <c r="H9" i="40"/>
  <c r="B3" i="39"/>
  <c r="B4" i="39"/>
  <c r="S9" i="39"/>
  <c r="W9" i="39"/>
  <c r="I49" i="39"/>
  <c r="AA9" i="40"/>
  <c r="R44" i="40"/>
  <c r="S9" i="40"/>
  <c r="U9" i="39"/>
  <c r="G49" i="39"/>
  <c r="AB9" i="40"/>
  <c r="T44" i="40"/>
  <c r="G44" i="40"/>
  <c r="U9" i="40"/>
  <c r="AC9" i="40"/>
  <c r="V44" i="40"/>
  <c r="I44" i="40"/>
  <c r="W9" i="40"/>
  <c r="I48" i="40"/>
  <c r="J48" i="40"/>
  <c r="G48" i="40"/>
  <c r="H48" i="40"/>
  <c r="G49" i="40"/>
  <c r="H49" i="40"/>
  <c r="E44" i="40"/>
  <c r="R45" i="40"/>
  <c r="G53" i="39"/>
  <c r="H53" i="39"/>
  <c r="G54" i="39"/>
  <c r="H54" i="39"/>
  <c r="I53" i="39"/>
  <c r="J53" i="39"/>
  <c r="E49" i="39"/>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B5" i="39"/>
  <c r="C45" i="9"/>
  <c r="H14" i="66"/>
  <c r="B7" i="66"/>
  <c r="D7" i="66"/>
  <c r="C7" i="66"/>
  <c r="D45" i="9"/>
  <c r="E45" i="9"/>
  <c r="O40" i="9"/>
  <c r="F45" i="9"/>
  <c r="K31" i="9"/>
  <c r="K32" i="9"/>
  <c r="R7" i="54"/>
  <c r="B52" i="63"/>
  <c r="N76" i="9"/>
  <c r="C46" i="9"/>
  <c r="K33" i="9"/>
  <c r="F46" i="9"/>
  <c r="O41" i="9"/>
  <c r="I14" i="66"/>
  <c r="B8" i="66"/>
  <c r="E46" i="9"/>
  <c r="D46" i="9"/>
  <c r="K34" i="9"/>
  <c r="C8" i="66"/>
  <c r="D8" i="66"/>
  <c r="R8" i="54"/>
  <c r="B54" i="63"/>
  <c r="S5" i="46"/>
  <c r="T5" i="46"/>
  <c r="V5" i="46"/>
  <c r="S6" i="46"/>
  <c r="T6" i="46"/>
  <c r="V6" i="46"/>
  <c r="S4" i="46"/>
  <c r="T4" i="46"/>
  <c r="V4" i="46"/>
  <c r="S7" i="46"/>
  <c r="T7" i="46"/>
  <c r="V7" i="46"/>
  <c r="S3" i="46"/>
  <c r="T3" i="46"/>
  <c r="V3" i="46"/>
  <c r="S2" i="46"/>
  <c r="T2" i="46"/>
  <c r="V2" i="46"/>
  <c r="F8" i="15"/>
  <c r="F9" i="15"/>
  <c r="N4" i="65"/>
  <c r="C14" i="15"/>
  <c r="F16" i="15"/>
  <c r="F43" i="15"/>
  <c r="I5" i="65"/>
  <c r="F36" i="15"/>
  <c r="F13" i="15"/>
  <c r="F37" i="15"/>
  <c r="F38" i="15"/>
  <c r="F42" i="15"/>
  <c r="M8" i="15"/>
  <c r="M9" i="15"/>
  <c r="F6" i="68"/>
  <c r="F7" i="68"/>
  <c r="M8" i="68"/>
  <c r="M9" i="68"/>
  <c r="J15" i="68"/>
  <c r="M22" i="68"/>
  <c r="M24" i="68"/>
  <c r="M26" i="68"/>
  <c r="M27" i="68"/>
  <c r="M29" i="68"/>
  <c r="F35" i="68"/>
  <c r="F37" i="68"/>
  <c r="F40" i="68"/>
  <c r="F43" i="68"/>
  <c r="L47" i="68"/>
  <c r="C76" i="68"/>
  <c r="M17" i="68"/>
  <c r="F6" i="15"/>
  <c r="F7" i="15"/>
  <c r="E2" i="65"/>
  <c r="F26" i="15"/>
  <c r="F35" i="15"/>
  <c r="F40" i="15"/>
  <c r="L48" i="15"/>
  <c r="M6" i="15"/>
  <c r="I6" i="65"/>
  <c r="M6" i="68"/>
  <c r="F8" i="68"/>
  <c r="F9" i="68"/>
  <c r="F13" i="68"/>
  <c r="F16" i="68"/>
  <c r="M21" i="68"/>
  <c r="M23" i="68"/>
  <c r="F26" i="68"/>
  <c r="M28" i="68"/>
  <c r="F31" i="68"/>
  <c r="F36" i="68"/>
  <c r="F38" i="68"/>
  <c r="B13" i="67"/>
  <c r="E8" i="67"/>
  <c r="E12" i="67"/>
  <c r="F9" i="67"/>
  <c r="B14" i="67"/>
  <c r="E9" i="67"/>
  <c r="B8" i="67"/>
  <c r="E14" i="67"/>
  <c r="F11" i="67"/>
  <c r="B9" i="67"/>
  <c r="E10" i="67"/>
  <c r="N7" i="65"/>
  <c r="N6" i="65"/>
  <c r="J7" i="65"/>
  <c r="N3" i="65"/>
  <c r="J4" i="65"/>
  <c r="I7" i="65"/>
  <c r="F10" i="44"/>
  <c r="M25" i="44"/>
  <c r="J15" i="15"/>
  <c r="F39" i="44"/>
  <c r="M24" i="44"/>
  <c r="M22" i="15"/>
  <c r="M29" i="44"/>
  <c r="M10" i="44"/>
  <c r="F40" i="44"/>
  <c r="F38" i="44"/>
  <c r="M24" i="15"/>
  <c r="F11" i="44"/>
  <c r="M26" i="15"/>
  <c r="M23" i="15"/>
  <c r="F45" i="44"/>
  <c r="L49" i="44"/>
  <c r="F28" i="44"/>
  <c r="M31" i="44"/>
  <c r="F42" i="68"/>
  <c r="L48" i="68"/>
  <c r="F59" i="68"/>
  <c r="B12" i="67"/>
  <c r="B11" i="67"/>
  <c r="F8" i="67"/>
  <c r="F14" i="67"/>
  <c r="E11" i="67"/>
  <c r="F12" i="67"/>
  <c r="F10" i="67"/>
  <c r="B10" i="67"/>
  <c r="E13" i="67"/>
  <c r="F13" i="67"/>
  <c r="I3" i="65"/>
  <c r="J3" i="65"/>
  <c r="N5" i="65"/>
  <c r="J6" i="65"/>
  <c r="J5" i="65"/>
  <c r="I4" i="65"/>
  <c r="M30" i="44"/>
  <c r="M11" i="44"/>
  <c r="F8" i="44"/>
  <c r="M26" i="44"/>
  <c r="F18" i="44"/>
  <c r="J17" i="44"/>
  <c r="M28" i="15"/>
  <c r="L48" i="44"/>
  <c r="M27" i="15"/>
  <c r="M28" i="44"/>
  <c r="J36" i="15"/>
  <c r="M8" i="44"/>
  <c r="F15" i="44"/>
  <c r="L47" i="15"/>
  <c r="M29" i="15"/>
  <c r="F43" i="44"/>
  <c r="F9" i="44"/>
  <c r="E7" i="67"/>
  <c r="C16" i="44"/>
  <c r="M23" i="44"/>
  <c r="D19" i="9"/>
  <c r="D20" i="9"/>
  <c r="D21" i="9"/>
  <c r="F41" i="68"/>
  <c r="F46" i="44"/>
  <c r="C19" i="44"/>
  <c r="B7" i="67"/>
  <c r="F37" i="44"/>
  <c r="M21" i="15"/>
  <c r="G52" i="21" l="1"/>
  <c r="H52" i="21" s="1"/>
  <c r="C18" i="12"/>
  <c r="E48" i="72"/>
  <c r="AC33" i="72"/>
  <c r="V48" i="72" s="1"/>
  <c r="I48" i="72" s="1"/>
  <c r="W33" i="72"/>
  <c r="E48" i="21"/>
  <c r="C18" i="43"/>
  <c r="E5" i="52"/>
  <c r="B6" i="52"/>
  <c r="B16" i="52"/>
  <c r="B23" i="52"/>
  <c r="E10" i="52"/>
  <c r="E9" i="52"/>
  <c r="B8" i="52"/>
  <c r="B4" i="52"/>
  <c r="B9" i="52"/>
  <c r="B10" i="52"/>
  <c r="B7" i="52"/>
  <c r="E11" i="52"/>
  <c r="AC33" i="21"/>
  <c r="V48" i="21" s="1"/>
  <c r="I48" i="21" s="1"/>
  <c r="G53" i="21" s="1"/>
  <c r="H53" i="21" s="1"/>
  <c r="C20" i="12"/>
  <c r="H33" i="72"/>
  <c r="J20" i="15"/>
  <c r="C36" i="44"/>
  <c r="B2" i="67"/>
  <c r="F69" i="68"/>
  <c r="L44" i="9"/>
  <c r="J22" i="44"/>
  <c r="C17" i="44"/>
  <c r="C20" i="44"/>
  <c r="E3" i="67"/>
  <c r="M9" i="44"/>
  <c r="Q73" i="44"/>
  <c r="L58" i="15"/>
  <c r="L59" i="15"/>
  <c r="J8" i="44"/>
  <c r="Q72" i="15"/>
  <c r="L60" i="44"/>
  <c r="L59" i="44"/>
  <c r="C8" i="44"/>
  <c r="E20" i="46"/>
  <c r="J1" i="65"/>
  <c r="L56" i="68"/>
  <c r="J59" i="68"/>
  <c r="J57" i="68"/>
  <c r="J55" i="68" s="1"/>
  <c r="J58" i="68" s="1"/>
  <c r="Q50" i="68" s="1"/>
  <c r="I54" i="68"/>
  <c r="J60" i="68"/>
  <c r="Q48" i="68" s="1"/>
  <c r="F70" i="68"/>
  <c r="C29" i="44"/>
  <c r="J54" i="44"/>
  <c r="J58" i="44"/>
  <c r="J56" i="44" s="1"/>
  <c r="J59" i="44" s="1"/>
  <c r="Q52" i="44" s="1"/>
  <c r="L57" i="44"/>
  <c r="I55" i="44"/>
  <c r="J60" i="44"/>
  <c r="J61" i="44"/>
  <c r="Q50" i="44" s="1"/>
  <c r="L47" i="44"/>
  <c r="F66" i="68"/>
  <c r="F64" i="68"/>
  <c r="C27" i="68"/>
  <c r="J20" i="68"/>
  <c r="F51" i="68"/>
  <c r="J53" i="15"/>
  <c r="J60" i="15"/>
  <c r="Q49" i="15" s="1"/>
  <c r="I54" i="15"/>
  <c r="J57" i="15"/>
  <c r="J55" i="15" s="1"/>
  <c r="J58" i="15" s="1"/>
  <c r="Q51" i="15" s="1"/>
  <c r="L56" i="15"/>
  <c r="L57" i="15"/>
  <c r="J59" i="15"/>
  <c r="L60" i="15"/>
  <c r="F67" i="15"/>
  <c r="C34" i="15"/>
  <c r="F62" i="15"/>
  <c r="C61" i="15" s="1"/>
  <c r="C27" i="15"/>
  <c r="B40" i="1"/>
  <c r="M7" i="15"/>
  <c r="J6" i="15" s="1"/>
  <c r="F49" i="15"/>
  <c r="C6" i="15"/>
  <c r="Q71" i="68"/>
  <c r="N59" i="68"/>
  <c r="M59" i="68"/>
  <c r="L59" i="68"/>
  <c r="L58" i="68"/>
  <c r="F71" i="68"/>
  <c r="F68" i="68"/>
  <c r="F65" i="68"/>
  <c r="F63" i="68"/>
  <c r="C62" i="68" s="1"/>
  <c r="C34" i="68"/>
  <c r="F50" i="68"/>
  <c r="M7" i="68"/>
  <c r="J6" i="68" s="1"/>
  <c r="J5" i="68" s="1"/>
  <c r="C6" i="68"/>
  <c r="C5" i="68" s="1"/>
  <c r="F65" i="15"/>
  <c r="F64" i="15"/>
  <c r="F63" i="15"/>
  <c r="F70" i="15"/>
  <c r="C18" i="15"/>
  <c r="C15" i="15"/>
  <c r="C4" i="65"/>
  <c r="B39" i="1" s="1"/>
  <c r="F50" i="15"/>
  <c r="C48" i="15" s="1"/>
  <c r="C19" i="43"/>
  <c r="C25" i="43" s="1"/>
  <c r="C24" i="43" s="1"/>
  <c r="C23" i="12"/>
  <c r="C18" i="44"/>
  <c r="F7" i="67"/>
  <c r="E3" i="65"/>
  <c r="C14" i="68"/>
  <c r="C17" i="68"/>
  <c r="C16" i="68"/>
  <c r="C17" i="15"/>
  <c r="C16" i="15"/>
  <c r="L46" i="15" l="1"/>
  <c r="R49" i="21"/>
  <c r="I52" i="72"/>
  <c r="J52" i="72" s="1"/>
  <c r="I53" i="72"/>
  <c r="J53" i="72" s="1"/>
  <c r="E52" i="72"/>
  <c r="F52" i="72" s="1"/>
  <c r="U33" i="72"/>
  <c r="AB33" i="72"/>
  <c r="T48" i="72" s="1"/>
  <c r="I53" i="21"/>
  <c r="J53" i="21" s="1"/>
  <c r="I52" i="21"/>
  <c r="J52" i="21" s="1"/>
  <c r="E53" i="21"/>
  <c r="F53" i="21" s="1"/>
  <c r="E52" i="21"/>
  <c r="F52" i="21" s="1"/>
  <c r="C15" i="68"/>
  <c r="C19" i="68" s="1"/>
  <c r="C18" i="68"/>
  <c r="F17" i="11"/>
  <c r="C17" i="11" s="1"/>
  <c r="C19" i="11" s="1"/>
  <c r="E4" i="67"/>
  <c r="C19" i="15"/>
  <c r="C21" i="44"/>
  <c r="J26" i="68"/>
  <c r="J29" i="68" s="1"/>
  <c r="J18" i="68"/>
  <c r="J24" i="68"/>
  <c r="M11" i="15"/>
  <c r="J10" i="15" s="1"/>
  <c r="J5" i="15" s="1"/>
  <c r="F11" i="15"/>
  <c r="F13" i="44"/>
  <c r="C12" i="44" s="1"/>
  <c r="M13" i="44"/>
  <c r="J12" i="44" s="1"/>
  <c r="J7" i="44" s="1"/>
  <c r="Q67" i="15"/>
  <c r="Q58" i="15"/>
  <c r="C49" i="68"/>
  <c r="C48" i="68" s="1"/>
  <c r="Q73" i="68"/>
  <c r="Q60" i="68"/>
  <c r="F24" i="15"/>
  <c r="C24" i="15" s="1"/>
  <c r="F26" i="12"/>
  <c r="C27" i="12" s="1"/>
  <c r="D26" i="12" s="1"/>
  <c r="C32" i="12" s="1"/>
  <c r="D30" i="12" s="1"/>
  <c r="F21" i="43"/>
  <c r="F26" i="44"/>
  <c r="C26" i="44" s="1"/>
  <c r="F1" i="15"/>
  <c r="Q53" i="15"/>
  <c r="Q54" i="44"/>
  <c r="F1" i="44"/>
  <c r="C7" i="44"/>
  <c r="Q75" i="44"/>
  <c r="Q62" i="44"/>
  <c r="Q75" i="15"/>
  <c r="Q62" i="15"/>
  <c r="C32" i="68"/>
  <c r="C38" i="68"/>
  <c r="Q74" i="68"/>
  <c r="Q61" i="68"/>
  <c r="P17" i="46"/>
  <c r="N17" i="46"/>
  <c r="O17" i="46"/>
  <c r="M17" i="46"/>
  <c r="Q63" i="44"/>
  <c r="Q76" i="44"/>
  <c r="Q74" i="15"/>
  <c r="Q61" i="15"/>
  <c r="B4" i="67"/>
  <c r="B3" i="67"/>
  <c r="AE8" i="1"/>
  <c r="F41" i="15" s="1"/>
  <c r="G48" i="72" l="1"/>
  <c r="R49" i="72"/>
  <c r="C48" i="21"/>
  <c r="C49" i="21"/>
  <c r="F68" i="15"/>
  <c r="C20" i="68"/>
  <c r="J26" i="15"/>
  <c r="J29" i="15" s="1"/>
  <c r="J18" i="15"/>
  <c r="J24" i="15"/>
  <c r="J20" i="44"/>
  <c r="J28" i="44"/>
  <c r="J31" i="44" s="1"/>
  <c r="J26" i="44"/>
  <c r="C40" i="44"/>
  <c r="C34" i="44"/>
  <c r="C23" i="43"/>
  <c r="D21" i="43" s="1"/>
  <c r="C22" i="43"/>
  <c r="C21" i="43" s="1"/>
  <c r="C10" i="15"/>
  <c r="C5" i="15" s="1"/>
  <c r="C52" i="15"/>
  <c r="C47" i="15" s="1"/>
  <c r="C20" i="15"/>
  <c r="C23" i="15" s="1"/>
  <c r="C20" i="11"/>
  <c r="C21" i="11" s="1"/>
  <c r="C22" i="11" s="1"/>
  <c r="C23" i="11" s="1"/>
  <c r="B2" i="11" s="1"/>
  <c r="C60" i="68"/>
  <c r="C66" i="68"/>
  <c r="C28" i="44"/>
  <c r="C22" i="44"/>
  <c r="C25" i="44" s="1"/>
  <c r="L52" i="44"/>
  <c r="G53" i="72" l="1"/>
  <c r="H53" i="72" s="1"/>
  <c r="G52" i="72"/>
  <c r="H52" i="72" s="1"/>
  <c r="E53" i="72"/>
  <c r="F53" i="72" s="1"/>
  <c r="C31" i="44"/>
  <c r="C35" i="44" s="1"/>
  <c r="C33" i="44" s="1"/>
  <c r="C23" i="68"/>
  <c r="C26" i="68"/>
  <c r="C29" i="68" s="1"/>
  <c r="B3" i="21"/>
  <c r="B2" i="21" s="1"/>
  <c r="C10" i="12" s="1"/>
  <c r="C8" i="12"/>
  <c r="C49" i="72"/>
  <c r="B3" i="72" s="1"/>
  <c r="C48" i="72"/>
  <c r="Q69" i="44"/>
  <c r="L58" i="44"/>
  <c r="L61" i="44" s="1"/>
  <c r="C15" i="44"/>
  <c r="J21" i="44"/>
  <c r="J19" i="44" s="1"/>
  <c r="C38" i="44"/>
  <c r="B3" i="11"/>
  <c r="B4" i="11"/>
  <c r="B5" i="11"/>
  <c r="C26" i="15"/>
  <c r="C29" i="15" s="1"/>
  <c r="C32" i="15"/>
  <c r="C33" i="15"/>
  <c r="C38" i="15"/>
  <c r="Q67" i="44"/>
  <c r="Q49" i="44"/>
  <c r="Q55" i="44" s="1"/>
  <c r="Q58" i="44"/>
  <c r="C65" i="15"/>
  <c r="C60" i="15"/>
  <c r="C59" i="15"/>
  <c r="C58" i="15" s="1"/>
  <c r="C28" i="43"/>
  <c r="C30" i="43" s="1"/>
  <c r="C32" i="43" s="1"/>
  <c r="B2" i="43" s="1"/>
  <c r="J14" i="68" l="1"/>
  <c r="J13" i="68" s="1"/>
  <c r="J23" i="68" s="1"/>
  <c r="C57" i="68"/>
  <c r="J19" i="68"/>
  <c r="J17" i="68" s="1"/>
  <c r="C33" i="68"/>
  <c r="C31" i="68" s="1"/>
  <c r="Q49" i="68"/>
  <c r="C13" i="68"/>
  <c r="C36" i="68"/>
  <c r="Q51" i="44"/>
  <c r="J16" i="44"/>
  <c r="J24" i="44" s="1"/>
  <c r="J18" i="44" s="1"/>
  <c r="J27" i="44" s="1"/>
  <c r="B2" i="72"/>
  <c r="D10" i="12" s="1"/>
  <c r="D8" i="12"/>
  <c r="C36" i="15"/>
  <c r="C13" i="15"/>
  <c r="J19" i="15"/>
  <c r="J17" i="15" s="1"/>
  <c r="J14" i="15"/>
  <c r="C56" i="15"/>
  <c r="C63" i="15" s="1"/>
  <c r="Q50" i="15"/>
  <c r="B5" i="43"/>
  <c r="B3" i="43"/>
  <c r="B4" i="43"/>
  <c r="C75" i="68"/>
  <c r="C37" i="68"/>
  <c r="Q70" i="68"/>
  <c r="C56" i="68"/>
  <c r="C65" i="68" s="1"/>
  <c r="C30" i="68"/>
  <c r="C39" i="68" s="1"/>
  <c r="C43" i="44"/>
  <c r="C39" i="44"/>
  <c r="Q72" i="44"/>
  <c r="Q59" i="44"/>
  <c r="Q64" i="44" s="1"/>
  <c r="Q68" i="44"/>
  <c r="C32" i="44"/>
  <c r="C42" i="44" s="1"/>
  <c r="Q77" i="44"/>
  <c r="C31" i="15"/>
  <c r="C64" i="68"/>
  <c r="C61" i="68"/>
  <c r="C59" i="68" s="1"/>
  <c r="J22" i="68"/>
  <c r="J15" i="44"/>
  <c r="J25" i="44" s="1"/>
  <c r="J16" i="68" l="1"/>
  <c r="J25" i="68" s="1"/>
  <c r="Q71" i="44"/>
  <c r="Q70" i="44" s="1"/>
  <c r="C44" i="44"/>
  <c r="C45" i="44" s="1"/>
  <c r="B2" i="44" s="1"/>
  <c r="Q69" i="68"/>
  <c r="Q68" i="68" s="1"/>
  <c r="C40" i="68"/>
  <c r="J22" i="15"/>
  <c r="J13" i="15"/>
  <c r="J23" i="15" s="1"/>
  <c r="J16" i="15" s="1"/>
  <c r="J25" i="15" s="1"/>
  <c r="C37" i="15"/>
  <c r="C30" i="15" s="1"/>
  <c r="C39" i="15" s="1"/>
  <c r="J35" i="15"/>
  <c r="C55" i="15"/>
  <c r="C64" i="15" s="1"/>
  <c r="C57" i="15" s="1"/>
  <c r="C66" i="15" s="1"/>
  <c r="C67" i="15" s="1"/>
  <c r="Q71" i="15"/>
  <c r="C58" i="68"/>
  <c r="C67" i="68" s="1"/>
  <c r="C68" i="68" s="1"/>
  <c r="C80" i="68"/>
  <c r="C79" i="68" s="1"/>
  <c r="L51" i="68"/>
  <c r="Q67" i="68" l="1"/>
  <c r="L57" i="68"/>
  <c r="L60" i="68" s="1"/>
  <c r="C40" i="15"/>
  <c r="Q70" i="15"/>
  <c r="Q69" i="15" s="1"/>
  <c r="C71" i="68"/>
  <c r="C45" i="68"/>
  <c r="C46" i="68" s="1"/>
  <c r="J39" i="15"/>
  <c r="J40" i="15" s="1"/>
  <c r="C70" i="15"/>
  <c r="C46" i="15"/>
  <c r="Q65" i="68"/>
  <c r="Q56" i="68"/>
  <c r="Q47" i="68"/>
  <c r="Q53" i="68" s="1"/>
  <c r="C43" i="68"/>
  <c r="C83" i="68"/>
  <c r="C82" i="68" s="1"/>
  <c r="B4" i="44"/>
  <c r="B3" i="44"/>
  <c r="B5" i="44"/>
  <c r="L51" i="15"/>
  <c r="Q68" i="15" l="1"/>
  <c r="Q57" i="68"/>
  <c r="Q62" i="68" s="1"/>
  <c r="Q66" i="68"/>
  <c r="L46" i="68"/>
  <c r="D2" i="68" s="1"/>
  <c r="Q75" i="68"/>
  <c r="B2" i="15"/>
  <c r="Q57" i="15"/>
  <c r="Q63" i="15" s="1"/>
  <c r="Q48" i="15"/>
  <c r="Q54" i="15" s="1"/>
  <c r="Q66" i="15"/>
  <c r="Q76" i="15" s="1"/>
  <c r="C43" i="15"/>
  <c r="J42" i="15"/>
  <c r="J43" i="15" s="1"/>
  <c r="E10" i="12" l="1"/>
  <c r="C6" i="12" s="1"/>
  <c r="B3" i="15"/>
  <c r="E8" i="12" s="1"/>
  <c r="B2" i="68"/>
  <c r="B3" i="68"/>
  <c r="C24" i="12" l="1"/>
  <c r="C29" i="12"/>
  <c r="C35" i="12" l="1"/>
  <c r="C33" i="12" s="1"/>
  <c r="C28" i="12"/>
  <c r="C26" i="12" s="1"/>
  <c r="C31" i="12" s="1"/>
  <c r="C30" i="12" s="1"/>
  <c r="C36" i="12" l="1"/>
  <c r="B2" i="12" s="1"/>
  <c r="B4" i="12"/>
  <c r="B3" i="12"/>
  <c r="C19" i="9"/>
  <c r="C21" i="9"/>
  <c r="C20" i="9"/>
  <c r="L43" i="9" l="1"/>
  <c r="D22" i="9"/>
  <c r="G19" i="9"/>
  <c r="C32" i="9" s="1"/>
  <c r="B5" i="12"/>
  <c r="G20" i="9"/>
  <c r="G21" i="9"/>
  <c r="G22" i="9"/>
  <c r="N43" i="9" l="1"/>
  <c r="O38" i="9"/>
  <c r="C34" i="9"/>
  <c r="O43" i="9"/>
  <c r="C42" i="9"/>
  <c r="C33" i="9"/>
  <c r="C35" i="9"/>
  <c r="F42" i="9" s="1"/>
  <c r="N38" i="9" l="1"/>
  <c r="K28" i="9" s="1"/>
  <c r="D42" i="9"/>
  <c r="Q5" i="54" s="1"/>
  <c r="B47" i="63" s="1"/>
  <c r="K25" i="9"/>
  <c r="K26" i="9"/>
  <c r="D14" i="66"/>
  <c r="R5" i="54"/>
  <c r="B48" i="63" s="1"/>
  <c r="D63" i="9"/>
  <c r="C44" i="9"/>
  <c r="N68" i="9"/>
  <c r="M38" i="9"/>
  <c r="K27" i="9" s="1"/>
  <c r="E42" i="9"/>
  <c r="P5" i="54" s="1"/>
  <c r="B46" i="63" s="1"/>
  <c r="G14" i="66" l="1"/>
  <c r="B6" i="66" s="1"/>
  <c r="O39" i="9"/>
  <c r="D44" i="9"/>
  <c r="F44" i="9"/>
  <c r="N69" i="9"/>
  <c r="E44" i="9"/>
  <c r="C96" i="9"/>
  <c r="C91" i="9" s="1"/>
  <c r="C103" i="9"/>
  <c r="C90" i="9"/>
  <c r="C97" i="9" s="1"/>
  <c r="C111" i="9"/>
  <c r="C104" i="9" s="1"/>
  <c r="D71" i="9"/>
  <c r="D66" i="9" s="1"/>
  <c r="N72" i="9" s="1"/>
  <c r="D77" i="9"/>
  <c r="N75" i="9" s="1"/>
  <c r="D70" i="9"/>
  <c r="C82" i="9"/>
  <c r="C81" i="9" s="1"/>
  <c r="C85" i="9" s="1"/>
  <c r="C86" i="9" s="1"/>
  <c r="D72" i="9" s="1"/>
  <c r="E14" i="66"/>
  <c r="F14" i="66"/>
  <c r="B5" i="66"/>
  <c r="M86" i="9" l="1"/>
  <c r="N86" i="9" s="1"/>
  <c r="M84" i="9"/>
  <c r="N84" i="9" s="1"/>
  <c r="M88" i="9"/>
  <c r="N88" i="9" s="1"/>
  <c r="M87" i="9"/>
  <c r="N87" i="9" s="1"/>
  <c r="M85" i="9"/>
  <c r="N85" i="9" s="1"/>
  <c r="M83" i="9"/>
  <c r="N83" i="9" s="1"/>
  <c r="C113" i="9"/>
  <c r="K29" i="9"/>
  <c r="K30" i="9" s="1"/>
  <c r="R6" i="54"/>
  <c r="B50" i="63" s="1"/>
  <c r="C5" i="66"/>
  <c r="D5" i="66"/>
  <c r="C98" i="9"/>
  <c r="E98" i="9" s="1"/>
  <c r="E99" i="9" s="1"/>
  <c r="C6" i="66"/>
  <c r="D6" i="66"/>
  <c r="N89" i="9" l="1"/>
  <c r="O89" i="9" s="1"/>
  <c r="C99" i="9"/>
  <c r="C114" i="9"/>
  <c r="E114" i="9" s="1"/>
  <c r="E115" i="9" s="1"/>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<sst xmlns="http://schemas.openxmlformats.org/spreadsheetml/2006/main" count="7929" uniqueCount="3371">
  <si>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</si>
  <si>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</si>
  <si>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</si>
  <si>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</si>
  <si>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</si>
  <si>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</si>
  <si>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</si>
  <si>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</si>
  <si>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</si>
  <si>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</si>
  <si>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</si>
  <si>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</si>
  <si>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</si>
  <si>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</si>
  <si>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</si>
  <si>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</si>
  <si>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</si>
  <si>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</si>
  <si>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</si>
  <si>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</si>
  <si>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</si>
  <si>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</si>
  <si>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</si>
  <si>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</si>
  <si>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</si>
  <si>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</si>
  <si>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</si>
  <si>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</si>
  <si>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</si>
  <si>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</si>
  <si>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</si>
  <si>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</si>
  <si>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</si>
  <si>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</si>
  <si>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</si>
  <si>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</si>
  <si>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</si>
  <si>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</si>
  <si>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</si>
  <si>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</si>
  <si>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</si>
  <si>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</si>
  <si>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</si>
  <si>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</si>
  <si>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</si>
  <si>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</si>
  <si>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</si>
  <si>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</si>
  <si>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</si>
  <si>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</si>
  <si>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</si>
  <si>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</si>
  <si>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</si>
  <si>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</si>
  <si>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</si>
  <si>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</si>
  <si>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</si>
  <si>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</si>
  <si>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</si>
  <si>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</si>
  <si>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</si>
  <si>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</si>
  <si>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</si>
  <si>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</si>
  <si>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</si>
  <si>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</si>
  <si>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</si>
  <si>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</si>
  <si>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</si>
  <si>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</si>
  <si>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</si>
  <si>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</si>
  <si>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</si>
  <si>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</si>
  <si>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</si>
  <si>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</si>
  <si>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</si>
  <si>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</si>
  <si>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</si>
  <si>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</si>
  <si>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</si>
  <si>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</si>
  <si>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</si>
  <si>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</si>
  <si>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</si>
  <si>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</si>
  <si>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</si>
  <si>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</si>
  <si>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</si>
  <si>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</si>
  <si>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</si>
  <si>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</si>
  <si>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</si>
  <si>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</si>
  <si>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</si>
  <si>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</si>
  <si>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</si>
  <si>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</si>
  <si>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</si>
  <si>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</si>
  <si>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</si>
  <si>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</si>
  <si>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</si>
  <si>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</si>
  <si>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</si>
  <si>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</si>
  <si>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</si>
  <si>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</si>
  <si>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</si>
  <si>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</si>
  <si>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</si>
  <si>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</si>
  <si>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</si>
  <si>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</si>
  <si>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</si>
  <si>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</si>
  <si>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</si>
  <si>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</si>
  <si>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</si>
  <si>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</si>
  <si>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</si>
  <si>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</si>
  <si>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</si>
  <si>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</si>
  <si>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</si>
  <si>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</si>
  <si>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</si>
  <si>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</si>
  <si>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</si>
  <si>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</si>
  <si>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</si>
  <si>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</si>
  <si>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</si>
  <si>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</si>
  <si>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</si>
  <si>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</si>
  <si>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</si>
  <si>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</si>
  <si>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</si>
  <si>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</si>
  <si>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</si>
  <si>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</si>
  <si>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</si>
  <si>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</si>
  <si>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</si>
  <si>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</si>
  <si>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</si>
  <si>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</si>
  <si>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</si>
  <si>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</si>
  <si>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</si>
  <si>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</si>
  <si>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</si>
  <si>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</si>
  <si>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</si>
  <si>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</si>
  <si>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</si>
  <si>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</si>
  <si>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</si>
  <si>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</si>
  <si>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</si>
  <si>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</si>
  <si>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</si>
  <si>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</si>
  <si>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</si>
  <si>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</si>
  <si>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</si>
  <si>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</si>
  <si>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</si>
  <si>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</si>
  <si>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</si>
  <si>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</si>
  <si>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</si>
  <si>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</si>
  <si>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</si>
  <si>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</si>
  <si>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</si>
  <si>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</si>
  <si>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</si>
  <si>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</si>
  <si>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</si>
  <si>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</si>
  <si>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</si>
  <si>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</si>
  <si>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</si>
  <si>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</si>
  <si>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</si>
  <si>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</si>
  <si>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</si>
  <si>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</si>
  <si>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</si>
  <si>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</si>
  <si>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</si>
  <si>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</si>
  <si>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</si>
  <si>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</si>
  <si>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</si>
  <si>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</si>
  <si>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</si>
  <si>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</si>
  <si>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</si>
  <si>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</si>
  <si>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</si>
  <si>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</si>
  <si>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</si>
  <si>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</si>
  <si>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</si>
  <si>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</si>
  <si>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</si>
  <si>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</si>
  <si>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</si>
  <si>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</si>
  <si>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</si>
  <si>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</si>
  <si>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</si>
  <si>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</si>
  <si>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</si>
  <si>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</si>
  <si>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</si>
  <si>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</si>
  <si>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</si>
  <si>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</si>
  <si>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</si>
  <si>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</si>
  <si>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</si>
  <si>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</si>
  <si>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</si>
  <si>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</si>
  <si>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</si>
  <si>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</si>
  <si>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</si>
  <si>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</si>
  <si>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</si>
  <si>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</si>
  <si>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</si>
  <si>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</si>
  <si>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</si>
  <si>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</si>
  <si>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</si>
  <si>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</si>
  <si>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</si>
  <si>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</si>
  <si>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</si>
  <si>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</si>
  <si>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</si>
  <si>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</si>
  <si>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</si>
  <si>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</si>
  <si>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</si>
  <si>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</si>
  <si>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</si>
  <si>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</si>
  <si>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</si>
  <si>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</si>
  <si>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</si>
  <si>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</si>
  <si>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</si>
  <si>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</si>
  <si>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</si>
  <si>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</si>
  <si>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</si>
  <si>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</si>
  <si>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</si>
  <si>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</si>
  <si>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</si>
  <si>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</si>
  <si>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</si>
  <si>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</si>
  <si>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</si>
  <si>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</si>
  <si>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</si>
  <si>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</si>
  <si>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</si>
  <si>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</si>
  <si>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</si>
  <si>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</si>
  <si>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</si>
  <si>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</si>
  <si>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</si>
  <si>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</si>
  <si>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</si>
  <si>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</si>
  <si>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</si>
  <si>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</si>
  <si>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</si>
  <si>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</si>
  <si>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</si>
  <si>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</si>
  <si>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</si>
  <si>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</si>
  <si>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</si>
  <si>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</si>
  <si>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</si>
  <si>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</si>
  <si>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</si>
  <si>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</si>
  <si>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</si>
  <si>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</si>
  <si>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</si>
  <si>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</si>
  <si>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</si>
  <si>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</si>
  <si>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</si>
  <si>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</si>
  <si>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</si>
  <si>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</si>
  <si>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</si>
  <si>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</si>
  <si>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</si>
  <si>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</si>
  <si>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</si>
  <si>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</si>
  <si>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</si>
  <si>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</si>
  <si>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</si>
  <si>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</si>
  <si>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</si>
  <si>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</si>
  <si>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</si>
  <si>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</si>
  <si>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</si>
  <si>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</si>
  <si>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</si>
  <si>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</si>
  <si>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</si>
  <si>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</si>
  <si>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</si>
  <si>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</si>
  <si>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</si>
  <si>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</si>
  <si>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</si>
  <si>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</si>
  <si>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</si>
  <si>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</si>
  <si>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</si>
  <si>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</si>
  <si>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</si>
  <si>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</si>
  <si>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</si>
  <si>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</si>
  <si>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</si>
  <si>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</si>
  <si>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</si>
  <si>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</si>
  <si>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</si>
  <si>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</si>
  <si>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</si>
  <si>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</si>
  <si>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</si>
  <si>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</si>
  <si>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</si>
  <si>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</si>
  <si>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</si>
  <si>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</si>
  <si>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</si>
  <si>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</si>
  <si>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</si>
  <si>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</si>
  <si>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</si>
  <si>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</si>
  <si>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</si>
  <si>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</si>
  <si>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</si>
  <si>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</si>
  <si>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</si>
  <si>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</si>
  <si>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</si>
  <si>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</si>
  <si>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</si>
  <si>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</si>
  <si>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</si>
  <si>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</si>
  <si>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</si>
  <si>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</si>
  <si>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</si>
  <si>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</si>
  <si>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</si>
  <si>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</si>
  <si>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</si>
  <si>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</si>
  <si>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</si>
  <si>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</si>
  <si>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</si>
  <si>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</si>
  <si>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</si>
  <si>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</si>
  <si>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</si>
  <si>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</si>
  <si>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</si>
  <si>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</si>
  <si>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</si>
  <si>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</si>
  <si>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</si>
  <si>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</si>
  <si>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</si>
  <si>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</si>
  <si>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</si>
  <si>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</si>
  <si>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</si>
  <si>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</si>
  <si>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</si>
  <si>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</si>
  <si>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</si>
  <si>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</si>
  <si>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</si>
  <si>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</si>
  <si>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</si>
  <si>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</si>
  <si>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</si>
  <si>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</si>
  <si>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</si>
  <si>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</si>
  <si>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</si>
  <si>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</si>
  <si>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</si>
  <si>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</si>
  <si>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</si>
  <si>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</si>
  <si>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</si>
  <si>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</si>
  <si>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</si>
  <si>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</si>
  <si>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</si>
  <si>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</si>
  <si>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</si>
  <si>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</si>
  <si>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</si>
  <si>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</si>
  <si>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</si>
  <si>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</si>
  <si>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</si>
  <si>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</si>
  <si>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</si>
  <si>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</si>
  <si>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</si>
  <si>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</si>
  <si>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</si>
  <si>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</si>
  <si>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</si>
  <si>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</si>
  <si>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</si>
  <si>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</si>
  <si>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</si>
  <si>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</si>
  <si>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</si>
  <si>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</si>
  <si>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</si>
  <si>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</si>
  <si>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</si>
  <si>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</si>
  <si>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</si>
  <si>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</si>
  <si>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</si>
  <si>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</si>
  <si>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</si>
  <si>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</si>
  <si>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</si>
  <si>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</si>
  <si>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</si>
  <si>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</si>
  <si>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</si>
  <si>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</si>
  <si>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</si>
  <si>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</si>
  <si>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</si>
  <si>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</si>
  <si>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</si>
  <si>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</si>
  <si>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</si>
  <si>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</si>
  <si>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</si>
  <si>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</si>
  <si>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</si>
  <si>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</si>
  <si>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</si>
  <si>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</si>
  <si>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</si>
  <si>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</si>
  <si>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</si>
  <si>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</si>
  <si>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</si>
  <si>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</si>
  <si>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</si>
  <si>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</si>
  <si>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</si>
  <si>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</si>
  <si>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</si>
  <si>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</si>
  <si>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</si>
  <si>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</si>
  <si>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</si>
  <si>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</si>
  <si>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</si>
  <si>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</si>
  <si>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</si>
  <si>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</si>
  <si>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</si>
  <si>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</si>
  <si>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</si>
  <si>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</si>
  <si>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</si>
  <si>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</si>
  <si>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</si>
  <si>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</si>
  <si>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</si>
  <si>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</si>
  <si>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</si>
  <si>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</si>
  <si>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</si>
  <si>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</si>
  <si>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</si>
  <si>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</si>
  <si>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</si>
  <si>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</si>
  <si>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</si>
  <si>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</si>
  <si>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</si>
  <si>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</si>
  <si>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</si>
  <si>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</si>
  <si>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</si>
  <si>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</si>
  <si>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</si>
  <si>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</si>
  <si>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</si>
  <si>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</si>
  <si>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</si>
  <si>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</si>
  <si>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</si>
  <si>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</si>
  <si>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</si>
  <si>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</si>
  <si>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</si>
  <si>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</si>
  <si>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</si>
  <si>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</si>
  <si>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</si>
  <si>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</si>
  <si>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</si>
  <si>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</si>
  <si>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</si>
  <si>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</si>
  <si>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</si>
  <si>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</si>
  <si>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</si>
  <si>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</si>
  <si>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</si>
  <si>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</si>
  <si>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</si>
  <si>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</si>
  <si>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</si>
  <si>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</si>
  <si>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</si>
  <si>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</si>
  <si>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</si>
  <si>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</si>
  <si>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</si>
  <si>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</si>
  <si>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</si>
  <si>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</si>
  <si>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</si>
  <si>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</si>
  <si>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</si>
  <si>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</si>
  <si>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</si>
  <si>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</si>
  <si>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</si>
  <si>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</si>
  <si>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</si>
  <si>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</si>
  <si>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</si>
  <si>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</si>
  <si>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</si>
  <si>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</si>
  <si>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</si>
  <si>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</si>
  <si>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</si>
  <si>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</si>
  <si>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</si>
  <si>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</si>
  <si>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</si>
  <si>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</si>
  <si>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</si>
  <si>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</si>
  <si>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</si>
  <si>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</si>
  <si>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</si>
  <si>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</si>
  <si>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</si>
  <si>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</si>
  <si>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</si>
  <si>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</si>
  <si>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</si>
  <si>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</si>
  <si>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</si>
  <si>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</si>
  <si>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</si>
  <si>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</si>
  <si>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</si>
  <si>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</si>
  <si>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</si>
  <si>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</si>
  <si>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</si>
  <si>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</si>
  <si>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</si>
  <si>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</si>
  <si>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</si>
  <si>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</si>
  <si>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</si>
  <si>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</si>
  <si>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</si>
  <si>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</si>
  <si>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</si>
  <si>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</si>
  <si>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</si>
  <si>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</si>
  <si>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</si>
  <si>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</si>
  <si>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</si>
  <si>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</si>
  <si>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</si>
  <si>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</si>
  <si>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</si>
  <si>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</si>
  <si>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</si>
  <si>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</si>
  <si>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</si>
  <si>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</si>
  <si>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</si>
  <si>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</si>
  <si>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</si>
  <si>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</si>
  <si>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</si>
  <si>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</si>
  <si>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</si>
  <si>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</si>
  <si>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</si>
  <si>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</si>
  <si>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</si>
  <si>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</si>
  <si>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</si>
  <si>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</si>
  <si>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</si>
  <si>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</si>
  <si>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</si>
  <si>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</si>
  <si>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</si>
  <si>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</si>
  <si>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</si>
  <si>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</si>
  <si>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</si>
  <si>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</si>
  <si>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</si>
  <si>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</si>
  <si>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</si>
  <si>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</si>
  <si>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</si>
  <si>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</si>
  <si>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</si>
  <si>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</si>
  <si>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</si>
  <si>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</si>
  <si>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</si>
  <si>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</si>
  <si>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</si>
  <si>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</si>
  <si>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</si>
  <si>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</si>
  <si>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</si>
  <si>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</si>
  <si>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</si>
  <si>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</si>
  <si>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</si>
  <si>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</si>
  <si>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</si>
  <si>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</si>
  <si>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</si>
  <si>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</si>
  <si>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</si>
  <si>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</si>
  <si>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</si>
  <si>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</si>
  <si>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</si>
  <si>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</si>
  <si>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</si>
  <si>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</si>
  <si>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</si>
  <si>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</si>
  <si>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</si>
  <si>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</si>
  <si>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</si>
  <si>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</si>
  <si>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</si>
  <si>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</si>
  <si>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</si>
  <si>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</si>
  <si>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</si>
  <si>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</si>
  <si>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</si>
  <si>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</si>
  <si>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</si>
  <si>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</si>
  <si>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</si>
  <si>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</si>
  <si>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</si>
  <si>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</si>
  <si>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</si>
  <si>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</si>
  <si>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</si>
  <si>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</si>
  <si>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</si>
  <si>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</si>
  <si>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</si>
  <si>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</si>
  <si>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</si>
  <si>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</si>
  <si>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</si>
  <si>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</si>
  <si>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</si>
  <si>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</si>
  <si>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</si>
  <si>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</si>
  <si>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</si>
  <si>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</si>
  <si>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</si>
  <si>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</si>
  <si>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</si>
  <si>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</si>
  <si>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</si>
  <si>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</si>
  <si>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</si>
  <si>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</si>
  <si>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</si>
  <si>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</si>
  <si>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</si>
  <si>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</si>
  <si>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</si>
  <si>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</si>
  <si>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</si>
  <si>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</si>
  <si>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</si>
  <si>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</si>
  <si>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</si>
  <si>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</si>
  <si>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</si>
  <si>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</si>
  <si>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</si>
  <si>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</si>
  <si>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</si>
  <si>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</si>
  <si>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</si>
  <si>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</si>
  <si>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</si>
  <si>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</si>
  <si>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</si>
  <si>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</si>
  <si>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</si>
  <si>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</si>
  <si>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</si>
  <si>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</si>
  <si>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</si>
  <si>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</si>
  <si>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</si>
  <si>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</si>
  <si>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</si>
  <si>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</si>
  <si>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</si>
  <si>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</si>
  <si>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</si>
  <si>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</si>
  <si>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</si>
  <si>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</si>
  <si>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</si>
  <si>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</si>
  <si>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</si>
  <si>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</si>
  <si>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</si>
  <si>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</si>
  <si>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</si>
  <si>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</si>
  <si>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</si>
  <si>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</si>
  <si>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</si>
  <si>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</si>
  <si>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</si>
  <si>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</si>
  <si>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</si>
  <si>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</si>
  <si>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</si>
  <si>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</si>
  <si>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</si>
  <si>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</si>
  <si>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</si>
  <si>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</si>
  <si>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</si>
  <si>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</si>
  <si>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</si>
  <si>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</si>
  <si>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</si>
  <si>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</si>
  <si>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</si>
  <si>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</si>
  <si>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</si>
  <si>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</si>
  <si>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</si>
  <si>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</si>
  <si>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</si>
  <si>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</si>
  <si>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</si>
  <si>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</si>
  <si>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</si>
  <si>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</si>
  <si>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</si>
  <si>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</si>
  <si>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</si>
  <si>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</si>
  <si>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</si>
  <si>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</si>
  <si>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</si>
  <si>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</si>
  <si>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</si>
  <si>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</si>
  <si>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</si>
  <si>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</si>
  <si>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</si>
  <si>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</si>
  <si>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</si>
  <si>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</si>
  <si>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</si>
  <si>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</si>
  <si>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</si>
  <si>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</si>
  <si>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</si>
  <si>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</si>
  <si>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</si>
  <si>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</si>
  <si>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</si>
  <si>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</si>
  <si>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</si>
  <si>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</si>
  <si>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</si>
  <si>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</si>
  <si>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</si>
  <si>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</si>
  <si>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</si>
  <si>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</si>
  <si>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</si>
  <si>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</si>
  <si>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</si>
  <si>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</si>
  <si>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</si>
  <si>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</si>
  <si>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</si>
  <si>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</si>
  <si>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</si>
  <si>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</si>
  <si>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</si>
  <si>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</si>
  <si>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</si>
  <si>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</si>
  <si>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</si>
  <si>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</si>
  <si>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</si>
  <si>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</si>
  <si>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</si>
  <si>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</si>
  <si>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</si>
  <si>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</si>
  <si>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</si>
  <si>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</si>
  <si>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</si>
  <si>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</si>
  <si>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</si>
  <si>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</si>
  <si>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</si>
  <si>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</si>
  <si>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</si>
  <si>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</si>
  <si>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</si>
  <si>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</si>
  <si>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</si>
  <si>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</si>
  <si>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</si>
  <si>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</si>
  <si>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</si>
  <si>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</si>
  <si>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</si>
  <si>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</si>
  <si>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</si>
  <si>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</si>
  <si>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</si>
  <si>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</si>
  <si>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</si>
  <si>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</si>
  <si>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</si>
  <si>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</si>
  <si>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</si>
  <si>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</si>
  <si>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</si>
  <si>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</si>
  <si>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</si>
  <si>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</si>
  <si>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</si>
  <si>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</si>
  <si>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</si>
  <si>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</si>
  <si>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</si>
  <si>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</si>
  <si>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</si>
  <si>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</si>
  <si>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</si>
  <si>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</si>
  <si>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</si>
  <si>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</si>
  <si>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</si>
  <si>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</si>
  <si>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</si>
  <si>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</si>
  <si>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</si>
  <si>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</si>
  <si>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</si>
  <si>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</si>
  <si>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</si>
  <si>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</si>
  <si>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</si>
  <si>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</si>
  <si>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</si>
  <si>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</si>
  <si>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</si>
  <si>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</si>
  <si>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</si>
  <si>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</si>
  <si>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</si>
  <si>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</si>
  <si>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</si>
  <si>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</si>
  <si>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</si>
  <si>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</si>
  <si>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</si>
  <si>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</si>
  <si>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</si>
  <si>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</si>
  <si>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</si>
  <si>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</si>
  <si>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</si>
  <si>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</si>
  <si>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</si>
  <si>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</si>
  <si>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</si>
  <si>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</si>
  <si>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</si>
  <si>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</si>
  <si>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</si>
  <si>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</si>
  <si>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</si>
  <si>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</si>
  <si>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</si>
  <si>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</si>
  <si>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</si>
  <si>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</si>
  <si>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</si>
  <si>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</si>
  <si>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</si>
  <si>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</si>
  <si>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</si>
  <si>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</si>
  <si>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</si>
  <si>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</si>
  <si>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</si>
  <si>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</si>
  <si>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</si>
  <si>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</si>
  <si>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</si>
  <si>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</si>
  <si>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</si>
  <si>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</si>
  <si>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</si>
  <si>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</si>
  <si>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</si>
  <si>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</si>
  <si>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</si>
  <si>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</si>
  <si>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</si>
  <si>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</si>
  <si>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</si>
  <si>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</si>
  <si>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</si>
  <si>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</si>
  <si>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</si>
  <si>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</si>
  <si>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</si>
  <si>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</si>
  <si>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</si>
  <si>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</si>
  <si>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</si>
  <si>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</si>
  <si>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</si>
  <si>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</si>
  <si>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</si>
  <si>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</si>
  <si>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</si>
  <si>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</si>
  <si>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</si>
  <si>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</si>
  <si>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</si>
  <si>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</si>
  <si>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</si>
  <si>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</si>
  <si>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</si>
  <si>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</si>
  <si>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</si>
  <si>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</si>
  <si>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</si>
  <si>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</si>
  <si>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</si>
  <si>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</si>
  <si>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</si>
  <si>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</si>
  <si>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</si>
  <si>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</si>
  <si>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</si>
  <si>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</si>
  <si>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</si>
  <si>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</si>
  <si>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</si>
  <si>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</si>
  <si>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</si>
  <si>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</si>
  <si>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</si>
  <si>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</si>
  <si>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</si>
  <si>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</si>
  <si>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</si>
  <si>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</si>
  <si>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</si>
  <si>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</si>
  <si>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</si>
  <si>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</si>
  <si>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</si>
  <si>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</si>
  <si>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</si>
  <si>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</si>
  <si>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</si>
  <si>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</si>
  <si>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</si>
  <si>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</si>
  <si>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</si>
  <si>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</si>
  <si>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</si>
  <si>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</si>
  <si>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</si>
  <si>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</si>
  <si>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</si>
  <si>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</si>
  <si>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</si>
  <si>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</si>
  <si>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</si>
  <si>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</si>
  <si>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</si>
  <si>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</si>
  <si>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</si>
  <si>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</si>
  <si>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</si>
  <si>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</si>
  <si>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</si>
  <si>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</si>
  <si>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</si>
  <si>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</si>
  <si>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</si>
  <si>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</si>
  <si>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</si>
  <si>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</si>
  <si>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</si>
  <si>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</si>
  <si>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</si>
  <si>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</si>
  <si>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</si>
  <si>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</si>
  <si>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</si>
  <si>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</si>
  <si>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</si>
  <si>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</si>
  <si>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</si>
  <si>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</si>
  <si>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</si>
  <si>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</si>
  <si>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</si>
  <si>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</si>
  <si>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</si>
  <si>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</si>
  <si>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</si>
  <si>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</si>
  <si>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</si>
  <si>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</si>
  <si>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</si>
  <si>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</si>
  <si>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</si>
  <si>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</si>
  <si>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</si>
  <si>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</si>
  <si>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</si>
  <si>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</si>
  <si>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</si>
  <si>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</si>
  <si>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</si>
  <si>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</si>
  <si>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</si>
  <si>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</si>
  <si>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</si>
  <si>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</si>
  <si>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</si>
  <si>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</si>
  <si>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</si>
  <si>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</si>
  <si>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</si>
  <si>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</si>
  <si>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</si>
  <si>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</si>
  <si>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</si>
  <si>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</si>
  <si>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</si>
  <si>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</si>
  <si>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</si>
  <si>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</si>
  <si>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</si>
  <si>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</si>
  <si>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</si>
  <si>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</si>
  <si>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</si>
  <si>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</si>
  <si>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</si>
  <si>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</si>
  <si>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</si>
  <si>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</si>
  <si>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</si>
  <si>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</si>
  <si>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</si>
  <si>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</si>
  <si>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</si>
  <si>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</si>
  <si>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</si>
  <si>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</si>
  <si>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</si>
  <si>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</si>
  <si>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</si>
  <si>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</si>
  <si>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</si>
  <si>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</si>
  <si>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</si>
  <si>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</si>
  <si>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</si>
  <si>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</si>
  <si>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</si>
  <si>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</si>
  <si>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</si>
  <si>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</si>
  <si>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</si>
  <si>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</si>
  <si>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</si>
  <si>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</si>
  <si>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</si>
  <si>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</si>
  <si>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</si>
  <si>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</si>
  <si>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</si>
  <si>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</si>
  <si>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</si>
  <si>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</si>
  <si>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</si>
  <si>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</si>
  <si>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</si>
  <si>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</si>
  <si>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</si>
  <si>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</si>
  <si>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</si>
  <si>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</si>
  <si>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</si>
  <si>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</si>
  <si>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</si>
  <si>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</si>
  <si>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</si>
  <si>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</si>
  <si>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</si>
  <si>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</si>
  <si>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</si>
  <si>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</si>
  <si>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</si>
  <si>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</si>
  <si>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</si>
  <si>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</si>
  <si>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</si>
  <si>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</si>
  <si>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</si>
  <si>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</si>
  <si>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</si>
  <si>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</si>
  <si>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</si>
  <si>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</si>
  <si>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</si>
  <si>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</si>
  <si>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</si>
  <si>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</si>
  <si>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</si>
  <si>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</si>
  <si>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</si>
  <si>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</si>
  <si>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</si>
  <si>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</si>
  <si>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</si>
  <si>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</si>
  <si>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</si>
  <si>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</si>
  <si>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</si>
  <si>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</si>
  <si>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</si>
  <si>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</si>
  <si>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</si>
  <si>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</si>
  <si>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</si>
  <si>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</si>
  <si>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</si>
  <si>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</si>
  <si>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</si>
  <si>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</si>
  <si>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</si>
  <si>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</si>
  <si>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</si>
  <si>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</si>
  <si>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</si>
  <si>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</si>
  <si>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</si>
  <si>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</si>
  <si>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</si>
  <si>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</si>
  <si>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</si>
  <si>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</si>
  <si>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</si>
  <si>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</si>
  <si>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</si>
  <si>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</si>
  <si>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</si>
  <si>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</si>
  <si>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</si>
  <si>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</si>
  <si>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</si>
  <si>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</si>
  <si>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</si>
  <si>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</si>
  <si>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</si>
  <si>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</si>
  <si>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</si>
  <si>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</si>
  <si>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</si>
  <si>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</si>
  <si>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</si>
  <si>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</si>
  <si>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</si>
  <si>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</si>
  <si>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</si>
  <si>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</si>
  <si>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</si>
  <si>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</si>
  <si>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</si>
  <si>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</si>
  <si>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</si>
  <si>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</si>
  <si>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</si>
  <si>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</si>
  <si>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</si>
  <si>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</si>
  <si>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</si>
  <si>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</si>
  <si>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</si>
  <si>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</si>
  <si>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</si>
  <si>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</si>
  <si>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</si>
  <si>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</si>
  <si>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</si>
  <si>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</si>
  <si>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</si>
  <si>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</si>
  <si>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</si>
  <si>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</si>
  <si>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</si>
  <si>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</si>
  <si>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</si>
  <si>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</si>
  <si>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</si>
  <si>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</si>
  <si>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</si>
  <si>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</si>
  <si>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</si>
  <si>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</si>
  <si>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</si>
  <si>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</si>
  <si>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</si>
  <si>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</si>
  <si>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</si>
  <si>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</si>
  <si>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</si>
  <si>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</si>
  <si>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</si>
  <si>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</si>
  <si>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</si>
  <si>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</si>
  <si>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</si>
  <si>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</si>
  <si>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</si>
  <si>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</si>
  <si>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</si>
  <si>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</si>
  <si>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</si>
  <si>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</si>
  <si>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</si>
  <si>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</si>
  <si>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</si>
  <si>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</si>
  <si>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</si>
  <si>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</si>
  <si>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</si>
  <si>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</si>
  <si>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</si>
  <si>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</si>
  <si>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</si>
  <si>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</si>
  <si>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</si>
  <si>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</si>
  <si>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</si>
  <si>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</si>
  <si>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</si>
  <si>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</si>
  <si>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</si>
  <si>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</si>
  <si>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</si>
  <si>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</si>
  <si>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</si>
  <si>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</si>
  <si>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</si>
  <si>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</si>
  <si>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</si>
  <si>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</si>
  <si>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</si>
  <si>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</si>
  <si>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</si>
  <si>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</si>
  <si>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</si>
  <si>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</si>
  <si>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</si>
  <si>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</si>
  <si>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</si>
  <si>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</si>
  <si>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</si>
  <si>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</si>
  <si>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</si>
  <si>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</si>
  <si>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</si>
  <si>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</si>
  <si>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</si>
  <si>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</si>
  <si>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</si>
  <si>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</si>
  <si>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</si>
  <si>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</si>
  <si>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</si>
  <si>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</si>
  <si>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</si>
  <si>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</si>
  <si>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</si>
  <si>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</si>
  <si>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</si>
  <si>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</si>
  <si>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</si>
  <si>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</si>
  <si>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</si>
  <si>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</si>
  <si>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</si>
  <si>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</si>
  <si>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</si>
  <si>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</si>
  <si>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</si>
  <si>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</si>
  <si>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</si>
  <si>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</si>
  <si>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</si>
  <si>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</si>
  <si>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</si>
  <si>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</si>
  <si>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</si>
  <si>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</si>
  <si>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</si>
  <si>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</si>
  <si>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</si>
  <si>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</si>
  <si>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</si>
  <si>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</si>
  <si>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</si>
  <si>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</si>
  <si>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</si>
  <si>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</si>
  <si>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</si>
  <si>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</si>
  <si>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</si>
  <si>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</si>
  <si>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</si>
  <si>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</si>
  <si>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</si>
  <si>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</si>
  <si>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</si>
  <si>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</si>
  <si>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</si>
  <si>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</si>
  <si>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</si>
  <si>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</si>
  <si>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</si>
  <si>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</si>
  <si>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</si>
  <si>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</si>
  <si>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</si>
  <si>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</si>
  <si>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</si>
  <si>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</si>
  <si>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</si>
  <si>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</si>
  <si>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</si>
  <si>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</si>
  <si>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</si>
  <si>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</si>
  <si>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</si>
  <si>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</si>
  <si>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</si>
  <si>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</si>
  <si>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</si>
  <si>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</si>
  <si>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</si>
  <si>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</si>
  <si>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</si>
  <si>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</si>
  <si>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</si>
  <si>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</si>
  <si>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</si>
  <si>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</si>
  <si>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</si>
  <si>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</si>
  <si>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</si>
  <si>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</si>
  <si>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</si>
  <si>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</si>
  <si>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</si>
  <si>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</si>
  <si>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</si>
  <si>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</si>
  <si>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</si>
  <si>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</si>
  <si>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</si>
  <si>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</si>
  <si>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</si>
  <si>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</si>
  <si>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</si>
  <si>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</si>
  <si>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</si>
  <si>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</si>
  <si>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</si>
  <si>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</si>
  <si>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</si>
  <si>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</si>
  <si>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</si>
  <si>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</si>
  <si>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</si>
  <si>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</si>
  <si>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</si>
  <si>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</si>
  <si>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</si>
  <si>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</si>
  <si>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</si>
  <si>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</si>
  <si>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</si>
  <si>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</si>
  <si>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</si>
  <si>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</si>
  <si>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</si>
  <si>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</si>
  <si>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</si>
  <si>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</si>
  <si>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</si>
  <si>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</si>
  <si>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</si>
  <si>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</si>
  <si>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</si>
  <si>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</si>
  <si>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</si>
  <si>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</si>
  <si>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</si>
  <si>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</si>
  <si>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</si>
  <si>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</si>
  <si>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</si>
  <si>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</si>
  <si>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</si>
  <si>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</si>
  <si>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</si>
  <si>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</si>
  <si>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</si>
  <si>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</si>
  <si>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</si>
  <si>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</si>
  <si>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</si>
  <si>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</si>
  <si>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</si>
  <si>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</si>
  <si>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</si>
  <si>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</si>
  <si>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</si>
  <si>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</si>
  <si>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</si>
  <si>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</si>
  <si>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</si>
  <si>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</si>
  <si>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</si>
  <si>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</si>
  <si>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</si>
  <si>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</si>
  <si>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</si>
  <si>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</si>
  <si>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</si>
  <si>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</si>
  <si>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</si>
  <si>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</si>
  <si>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</si>
  <si>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</si>
  <si>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</si>
  <si>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</si>
  <si>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</si>
  <si>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</si>
  <si>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</si>
  <si>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</si>
  <si>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</si>
  <si>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</si>
  <si>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</si>
  <si>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</si>
  <si>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</si>
  <si>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</si>
  <si>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</si>
  <si>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</si>
  <si>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</si>
  <si>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</si>
  <si>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</si>
  <si>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</si>
  <si>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</si>
  <si>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</si>
  <si>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</si>
  <si>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</si>
  <si>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</si>
  <si>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</si>
  <si>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</si>
  <si>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</si>
  <si>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</si>
  <si>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</si>
  <si>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</si>
  <si>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</si>
  <si>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</si>
  <si>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</si>
  <si>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</si>
  <si>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</si>
  <si>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</si>
  <si>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</si>
  <si>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</si>
  <si>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</si>
  <si>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</si>
  <si>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</si>
  <si>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</si>
  <si>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</si>
  <si>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</si>
  <si>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</si>
  <si>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</si>
  <si>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</si>
  <si>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</si>
  <si>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</si>
  <si>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</si>
  <si>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</si>
  <si>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</si>
  <si>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</si>
  <si>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</si>
  <si>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</si>
  <si>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</si>
  <si>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</si>
  <si>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</si>
  <si>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</si>
  <si>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</si>
  <si>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</si>
  <si>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</si>
  <si>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</si>
  <si>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</si>
  <si>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</si>
  <si>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</si>
  <si>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</si>
  <si>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</si>
  <si>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</si>
  <si>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</si>
  <si>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</si>
  <si>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</si>
  <si>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</si>
  <si>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</si>
  <si>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</si>
  <si>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</si>
  <si>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</si>
  <si>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</si>
  <si>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</si>
  <si>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</si>
  <si>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</si>
  <si>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</si>
  <si>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</si>
  <si>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</si>
  <si>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</si>
  <si>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</si>
  <si>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</si>
  <si>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</si>
  <si>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</si>
  <si>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</si>
  <si>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</si>
  <si>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</si>
  <si>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</si>
  <si>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</si>
  <si>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</si>
  <si>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</si>
  <si>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</si>
  <si>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</si>
  <si>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</si>
  <si>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</si>
  <si>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</si>
  <si>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</si>
  <si>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</si>
  <si>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</si>
  <si>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</si>
  <si>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</si>
  <si>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</si>
  <si>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</si>
  <si>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</si>
  <si>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</si>
  <si>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</si>
  <si>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</si>
  <si>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</si>
  <si>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</si>
  <si>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</si>
  <si>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</si>
  <si>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</si>
  <si>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</si>
  <si>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</si>
  <si>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</si>
  <si>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</si>
  <si>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</si>
  <si>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</si>
  <si>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</si>
  <si>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</si>
  <si>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</si>
  <si>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</si>
  <si>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</si>
  <si>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</si>
  <si>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</si>
  <si>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</si>
  <si>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</si>
  <si>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</si>
  <si>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</si>
  <si>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</si>
  <si>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</si>
  <si>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</si>
  <si>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</si>
  <si>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</si>
  <si>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</si>
  <si>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</si>
  <si>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</si>
  <si>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</si>
  <si>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</si>
  <si>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</si>
  <si>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</si>
  <si>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</si>
  <si>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</si>
  <si>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</si>
  <si>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</si>
  <si>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</si>
  <si>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</si>
  <si>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</si>
  <si>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</si>
  <si>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</si>
  <si>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</si>
  <si>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</si>
  <si>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</si>
  <si>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</si>
  <si>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</si>
  <si>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</si>
  <si>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</si>
  <si>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</si>
  <si>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</si>
  <si>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</si>
  <si>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</si>
  <si>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</si>
  <si>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</si>
  <si>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</si>
  <si>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</si>
  <si>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</si>
  <si>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</si>
  <si>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</si>
  <si>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</si>
  <si>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</si>
  <si>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</si>
  <si>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</si>
  <si>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</si>
  <si>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</si>
  <si>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</si>
  <si>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</si>
  <si>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</si>
  <si>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</si>
  <si>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</si>
  <si>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</si>
  <si>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</si>
  <si>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</si>
  <si>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</si>
  <si>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</si>
  <si>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</si>
  <si>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</si>
  <si>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</si>
  <si>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</si>
  <si>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</si>
  <si>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</si>
  <si>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</si>
  <si>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</si>
  <si>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</si>
  <si>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</si>
  <si>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</si>
  <si>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</si>
  <si>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</si>
  <si>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</si>
  <si>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</si>
  <si>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</si>
  <si>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</si>
  <si>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</si>
  <si>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</si>
  <si>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</si>
  <si>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</si>
  <si>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</si>
  <si>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</si>
  <si>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</si>
  <si>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</si>
  <si>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</si>
  <si>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</si>
  <si>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</si>
  <si>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</si>
  <si>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</si>
  <si>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</si>
  <si>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</si>
  <si>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</si>
  <si>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</si>
  <si>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</si>
  <si>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</si>
  <si>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</si>
  <si>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</si>
  <si>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</si>
  <si>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</si>
  <si>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</si>
  <si>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</si>
  <si>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</si>
  <si>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</si>
  <si>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</si>
  <si>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</si>
  <si>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</si>
  <si>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</si>
  <si>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</si>
  <si>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</si>
  <si>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</si>
  <si>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</si>
  <si>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</si>
  <si>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</si>
  <si>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</si>
  <si>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</si>
  <si>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</si>
  <si>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</si>
  <si>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</si>
  <si>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</si>
  <si>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</si>
  <si>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</si>
  <si>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</si>
  <si>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</si>
  <si>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</si>
  <si>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</si>
  <si>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</si>
  <si>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</si>
  <si>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</si>
  <si>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</si>
  <si>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</si>
  <si>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</si>
  <si>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</si>
  <si>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</si>
  <si>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</si>
  <si>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</si>
  <si>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</si>
  <si>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</si>
  <si>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</si>
  <si>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</si>
  <si>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</si>
  <si>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</si>
  <si>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</si>
  <si>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</si>
  <si>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</si>
  <si>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</si>
  <si>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</si>
  <si>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</si>
  <si>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</si>
  <si>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</si>
  <si>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</si>
  <si>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</si>
  <si>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</si>
  <si>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</si>
  <si>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</si>
  <si>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</si>
  <si>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</si>
  <si>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</si>
  <si>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</si>
  <si>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</si>
  <si>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</si>
  <si>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</si>
  <si>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</si>
  <si>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</si>
  <si>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</si>
  <si>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</si>
  <si>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</si>
  <si>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</si>
  <si>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</si>
  <si>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</si>
  <si>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</si>
  <si>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</si>
  <si>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</si>
  <si>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</si>
  <si>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</si>
  <si>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</si>
  <si>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</si>
  <si>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</si>
  <si>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</si>
  <si>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</si>
  <si>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</si>
  <si>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</si>
  <si>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</si>
  <si>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</si>
  <si>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</si>
  <si>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</si>
  <si>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</si>
  <si>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</si>
  <si>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</si>
  <si>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</si>
  <si>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</si>
  <si>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</si>
  <si>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</si>
  <si>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</si>
  <si>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</si>
  <si>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</si>
  <si>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</si>
  <si>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</si>
  <si>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</si>
  <si>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</si>
  <si>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</si>
  <si>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</si>
  <si>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</si>
  <si>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</si>
  <si>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</si>
  <si>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</si>
  <si>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</si>
  <si>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</si>
  <si>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</si>
  <si>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</si>
  <si>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</si>
  <si>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</si>
  <si>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</si>
  <si>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</si>
  <si>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</si>
  <si>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</si>
  <si>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</si>
  <si>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</si>
  <si>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</si>
  <si>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</si>
  <si>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</si>
  <si>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</si>
  <si>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</si>
  <si>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</si>
  <si>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</si>
  <si>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</si>
  <si>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</si>
  <si>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</si>
  <si>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</si>
  <si>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</si>
  <si>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</si>
  <si>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</si>
  <si>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</si>
  <si>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</si>
  <si>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</si>
  <si>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</si>
  <si>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</si>
  <si>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</si>
  <si>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</si>
  <si>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</si>
  <si>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</si>
  <si>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</si>
  <si>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</si>
  <si>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</si>
  <si>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</si>
  <si>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</si>
  <si>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</si>
  <si>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</si>
  <si>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</si>
  <si>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</si>
  <si>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</si>
  <si>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</si>
  <si>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</si>
  <si>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</si>
  <si>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</si>
  <si>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</si>
  <si>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</si>
  <si>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</si>
  <si>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</si>
  <si>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</si>
  <si>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</si>
  <si>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</si>
  <si>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</si>
  <si>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</si>
  <si>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</si>
  <si>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</si>
  <si>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</si>
  <si>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</si>
  <si>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</si>
  <si>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</si>
  <si>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</si>
  <si>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</si>
  <si>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</si>
  <si>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</si>
  <si>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</si>
  <si>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</si>
  <si>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</si>
  <si>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</si>
  <si>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</si>
  <si>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</si>
  <si>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</si>
  <si>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</si>
  <si>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</si>
  <si>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</si>
  <si>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</si>
  <si>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</si>
  <si>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</si>
  <si>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</si>
  <si>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</si>
  <si>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</si>
  <si>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</si>
  <si>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</si>
  <si>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</si>
  <si>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</si>
  <si>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</si>
  <si>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</si>
  <si>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</si>
  <si>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</si>
  <si>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</si>
  <si>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</si>
  <si>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</si>
  <si>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</si>
  <si>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</si>
  <si>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</si>
  <si>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</si>
  <si>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</si>
  <si>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</si>
  <si>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</si>
  <si>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</si>
  <si>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</si>
  <si>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</si>
  <si>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</si>
  <si>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</si>
  <si>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</si>
  <si>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</si>
  <si>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</si>
  <si>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</si>
  <si>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</si>
  <si>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</si>
  <si>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</si>
  <si>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</si>
  <si>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</si>
  <si>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</si>
  <si>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</si>
  <si>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</si>
  <si>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</si>
  <si>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</si>
  <si>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</si>
  <si>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</si>
  <si>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</si>
  <si>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</si>
  <si>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</si>
  <si>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</si>
  <si>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</si>
  <si>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</si>
  <si>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</si>
  <si>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</si>
  <si>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</si>
  <si>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</si>
  <si>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</si>
  <si>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</si>
  <si>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</si>
  <si>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</si>
  <si>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</si>
  <si>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</si>
  <si>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</si>
  <si>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</si>
  <si>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</si>
  <si>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</si>
  <si>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</si>
  <si>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</si>
  <si>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</si>
  <si>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</si>
  <si>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</si>
  <si>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</si>
  <si>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</si>
  <si>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</si>
  <si>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</si>
  <si>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</si>
  <si>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</si>
  <si>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</si>
  <si>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</si>
  <si>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</si>
  <si>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</si>
  <si>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</si>
  <si>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</si>
  <si>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</si>
  <si>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</si>
  <si>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</si>
  <si>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</si>
  <si>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</si>
  <si>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</si>
  <si>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</si>
  <si>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</si>
  <si>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</si>
  <si>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</si>
  <si>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</si>
  <si>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</si>
  <si>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</si>
  <si>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</si>
  <si>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</si>
  <si>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</si>
  <si>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</si>
  <si>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</si>
  <si>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</si>
  <si>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</si>
  <si>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</si>
  <si>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</si>
  <si>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</si>
  <si>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</si>
  <si>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</si>
  <si>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</si>
  <si>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</si>
  <si>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</si>
  <si>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</si>
  <si>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</si>
  <si>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</si>
  <si>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</si>
  <si>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</si>
  <si>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</si>
  <si>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</si>
  <si>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</si>
  <si>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</si>
  <si>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</si>
  <si>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</si>
  <si>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</si>
  <si>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</si>
  <si>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</si>
  <si>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</si>
  <si>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</si>
  <si>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</si>
  <si>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</si>
  <si>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</si>
  <si>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</si>
  <si>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</si>
  <si>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</si>
  <si>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</si>
  <si>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</si>
  <si>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</si>
  <si>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</si>
  <si>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</si>
  <si>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</si>
  <si>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</si>
  <si>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</si>
  <si>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</si>
  <si>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</si>
  <si>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</si>
  <si>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</si>
  <si>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</si>
  <si>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</si>
  <si>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</si>
  <si>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</si>
  <si>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</si>
  <si>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</si>
  <si>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</si>
  <si>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</si>
  <si>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</si>
  <si>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</si>
  <si>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</si>
  <si>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</si>
  <si>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</si>
  <si>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</si>
  <si>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</si>
  <si>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</si>
  <si>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</si>
  <si>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</si>
  <si>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</si>
  <si>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</si>
  <si>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</si>
  <si>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</si>
  <si>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</si>
  <si>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</si>
  <si>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</si>
  <si>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</si>
  <si>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</si>
  <si>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</si>
  <si>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</si>
  <si>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</si>
  <si>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</si>
  <si>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</si>
  <si>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</si>
  <si>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</si>
  <si>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</si>
  <si>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</si>
  <si>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</si>
  <si>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</si>
  <si>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</si>
  <si>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</si>
  <si>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</si>
  <si>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</si>
  <si>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</si>
  <si>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</si>
  <si>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</si>
  <si>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</si>
  <si>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</si>
  <si>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</si>
  <si>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</si>
  <si>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</si>
  <si>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</si>
  <si>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</si>
  <si>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</si>
  <si>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</si>
  <si>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</si>
  <si>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</si>
  <si>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</si>
  <si>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</si>
  <si>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</si>
  <si>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</si>
  <si>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</si>
  <si>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</si>
  <si>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</si>
  <si>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</si>
  <si>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</si>
  <si>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</si>
  <si>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</si>
  <si>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</si>
  <si>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</si>
  <si>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</si>
  <si>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</si>
  <si>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</si>
  <si>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</si>
  <si>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</si>
  <si>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</si>
  <si>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</si>
  <si>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</si>
  <si>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</si>
  <si>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</si>
  <si>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</si>
  <si>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</si>
  <si>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</si>
  <si>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</si>
  <si>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</si>
  <si>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</si>
  <si>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</si>
  <si>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</si>
  <si>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</si>
  <si>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</si>
  <si>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</si>
  <si>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</si>
  <si>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</si>
  <si>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</si>
  <si>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</si>
  <si>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</si>
  <si>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</si>
  <si>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</si>
  <si>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</si>
  <si>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</si>
  <si>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</si>
  <si>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</si>
  <si>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</si>
  <si>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</si>
  <si>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</si>
  <si>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</si>
  <si>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</si>
  <si>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</si>
  <si>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</si>
  <si>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</si>
  <si>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</si>
  <si>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</si>
  <si>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</si>
  <si>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</si>
  <si>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</si>
  <si>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</si>
  <si>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</si>
  <si>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</si>
  <si>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</si>
  <si>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</si>
  <si>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</si>
  <si>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</si>
  <si>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</si>
  <si>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</si>
  <si>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</si>
  <si>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</si>
  <si>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</si>
  <si>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</si>
  <si>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</si>
  <si>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</si>
  <si>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</si>
  <si>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</si>
  <si>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</si>
  <si>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</si>
  <si>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</si>
  <si>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</si>
  <si>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</si>
  <si>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</si>
  <si>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</si>
  <si>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</si>
  <si>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</si>
  <si>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</si>
  <si>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</si>
  <si>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</si>
  <si>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</si>
  <si>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</si>
  <si>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</si>
  <si>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</si>
  <si>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</si>
  <si>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</si>
  <si>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</si>
  <si>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</si>
  <si>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</si>
  <si>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</si>
  <si>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</si>
  <si>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</si>
  <si>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</si>
  <si>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</si>
  <si>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</si>
  <si>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</si>
  <si>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</si>
  <si>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</si>
  <si>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</si>
  <si>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</si>
  <si>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</si>
  <si>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</si>
  <si>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</si>
  <si>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</si>
  <si>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</si>
  <si>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</si>
  <si>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</si>
  <si>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</si>
  <si>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</si>
  <si>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</si>
  <si>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</si>
  <si>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</si>
  <si>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</si>
  <si>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</si>
  <si>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</si>
  <si>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</si>
  <si>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</si>
  <si>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</si>
  <si>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</si>
  <si>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</si>
  <si>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</si>
  <si>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</si>
  <si>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</si>
  <si>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</si>
  <si>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</si>
  <si>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</si>
  <si>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</si>
  <si>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</si>
  <si>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</si>
  <si>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</si>
  <si>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</si>
  <si>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</si>
  <si>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</si>
  <si>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</si>
  <si>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</si>
  <si>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</si>
  <si>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</si>
  <si>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</si>
  <si>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</si>
  <si>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</si>
  <si>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</si>
  <si>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</si>
  <si>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</si>
  <si>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</si>
  <si>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</si>
  <si>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</si>
  <si>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</si>
  <si>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</si>
  <si>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</si>
  <si>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</si>
  <si>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</si>
  <si>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</si>
  <si>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</si>
  <si>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</si>
  <si>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</si>
  <si>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</si>
  <si>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</si>
  <si>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</si>
  <si>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</si>
  <si>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</si>
  <si>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</si>
  <si>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</si>
  <si>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</si>
  <si>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</si>
  <si>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</si>
  <si>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</si>
  <si>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</si>
  <si>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</si>
  <si>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</si>
  <si>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</si>
  <si>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</si>
  <si>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</si>
  <si>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</si>
  <si>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</si>
  <si>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</si>
  <si>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</si>
  <si>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</si>
  <si>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</si>
  <si>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</si>
  <si>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</si>
  <si>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</si>
  <si>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</si>
  <si>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</si>
  <si>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</si>
  <si>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</si>
  <si>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</si>
  <si>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</si>
  <si>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</si>
  <si>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</si>
  <si>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</si>
  <si>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</si>
  <si>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</si>
  <si>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</si>
  <si>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</si>
  <si>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</si>
  <si>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</si>
  <si>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</si>
  <si>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</si>
  <si>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</si>
  <si>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</si>
  <si>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</si>
  <si>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</si>
  <si>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</si>
  <si>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</si>
  <si>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</si>
  <si>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</si>
  <si>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</si>
  <si>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</si>
  <si>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</si>
  <si>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</si>
  <si>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</si>
  <si>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</si>
  <si>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</si>
  <si>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</si>
  <si>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</si>
  <si>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</si>
  <si>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</si>
  <si>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</si>
  <si>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</si>
  <si>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</si>
  <si>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</si>
  <si>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</si>
  <si>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</si>
  <si>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</si>
  <si>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</si>
  <si>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</si>
  <si>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</si>
  <si>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</si>
  <si>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</si>
  <si>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</si>
  <si>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</si>
  <si>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</si>
  <si>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</si>
  <si>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</si>
  <si>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</si>
  <si>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</si>
  <si>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</si>
  <si>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</si>
  <si>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</si>
  <si>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</si>
  <si>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</si>
  <si>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</si>
  <si>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</si>
  <si>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</si>
  <si>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</si>
  <si>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</si>
  <si>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</si>
  <si>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</si>
  <si>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</si>
  <si>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</si>
  <si>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</si>
  <si>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</si>
  <si>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</si>
  <si>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</si>
  <si>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</si>
  <si>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</si>
  <si>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</si>
  <si>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</si>
  <si>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</si>
  <si>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</si>
  <si>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</si>
  <si>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</si>
  <si>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</si>
  <si>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</si>
  <si>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</si>
  <si>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</si>
  <si>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</si>
  <si>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</si>
  <si>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</si>
  <si>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</si>
  <si>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</si>
  <si>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</si>
  <si>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</si>
  <si>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</si>
  <si>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</si>
  <si>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</si>
  <si>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</si>
  <si>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</si>
  <si>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</si>
  <si>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</si>
  <si>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</si>
  <si>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</si>
  <si>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</si>
  <si>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</si>
  <si>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</si>
  <si>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</si>
  <si>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</si>
  <si>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</si>
  <si>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</si>
  <si>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</si>
  <si>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</si>
  <si>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</si>
  <si>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</si>
  <si>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</si>
  <si>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</si>
  <si>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</si>
  <si>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</si>
  <si>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</si>
  <si>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</si>
  <si>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</si>
  <si>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</si>
  <si>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</si>
  <si>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</si>
  <si>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</si>
  <si>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</si>
  <si>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</si>
  <si>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</si>
  <si>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</si>
  <si>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</si>
  <si>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</si>
  <si>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</si>
  <si>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</si>
  <si>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</si>
  <si>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</si>
  <si>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</si>
  <si>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</si>
  <si>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</si>
  <si>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</si>
  <si>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</si>
  <si>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</si>
  <si>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</si>
  <si>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</si>
  <si>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</si>
  <si>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</si>
  <si>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</si>
  <si>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</si>
  <si>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</si>
  <si>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</si>
  <si>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</si>
  <si>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</si>
  <si>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</si>
  <si>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</si>
  <si>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</si>
  <si>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</si>
  <si>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</si>
  <si>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</si>
  <si>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</si>
  <si>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</si>
  <si>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</si>
  <si>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</si>
  <si>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</si>
  <si>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</si>
  <si>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</si>
  <si>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</si>
  <si>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</si>
  <si>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</si>
  <si>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</si>
  <si>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</si>
  <si>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</si>
  <si>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</si>
  <si>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</si>
  <si>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</si>
  <si>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</si>
  <si>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</si>
  <si>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</si>
  <si>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</si>
  <si>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</si>
  <si>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</si>
  <si>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</si>
  <si>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</si>
  <si>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</si>
  <si>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</si>
  <si>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</si>
  <si>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</si>
  <si>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</si>
  <si>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</si>
  <si>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</si>
  <si>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</si>
  <si>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</si>
  <si>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</si>
  <si>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</si>
  <si>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</si>
  <si>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</si>
  <si>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</si>
  <si>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</si>
  <si>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</si>
  <si>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</si>
  <si>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</si>
  <si>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</si>
  <si>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</si>
  <si>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</si>
  <si>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</si>
  <si>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</si>
  <si>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</si>
  <si>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</si>
  <si>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</si>
  <si>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</si>
  <si>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</si>
  <si>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</si>
  <si>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</si>
  <si>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</si>
  <si>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</si>
  <si>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</si>
  <si>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</si>
  <si>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</si>
  <si>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</si>
  <si>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</si>
  <si>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</si>
  <si>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</si>
  <si>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</si>
  <si>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</si>
  <si>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</si>
  <si>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</si>
  <si>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</si>
  <si>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</si>
  <si>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</si>
  <si>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</si>
  <si>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</si>
  <si>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</si>
  <si>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</si>
  <si>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</si>
  <si>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</si>
  <si>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</si>
  <si>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</si>
  <si>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</si>
  <si>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</si>
  <si>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</si>
  <si>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</si>
  <si>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</si>
  <si>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</si>
  <si>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</si>
  <si>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</si>
  <si>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</si>
  <si>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</si>
  <si>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</si>
  <si>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</si>
  <si>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</si>
  <si>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</si>
  <si>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</si>
  <si>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</si>
  <si>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</si>
  <si>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</si>
  <si>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</si>
  <si>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</si>
  <si>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</si>
  <si>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</si>
  <si>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</si>
  <si>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</si>
  <si>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</si>
  <si>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</si>
  <si>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</si>
  <si>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</si>
  <si>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</si>
  <si>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</si>
  <si>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</si>
  <si>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</si>
  <si>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</si>
  <si>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</si>
  <si>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</si>
  <si>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</si>
  <si>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</si>
  <si>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</si>
  <si>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</si>
  <si>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</si>
  <si>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</si>
  <si>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</si>
  <si>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</si>
  <si>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</si>
  <si>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</si>
  <si>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</si>
  <si>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</si>
  <si>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</si>
  <si>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</si>
  <si>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</si>
  <si>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</si>
  <si>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</si>
  <si>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</si>
  <si>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</si>
  <si>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</si>
  <si>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</si>
  <si>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</si>
  <si>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</si>
  <si>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</si>
  <si>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</si>
  <si>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</si>
  <si>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</si>
  <si>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</si>
  <si>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</si>
  <si>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</si>
  <si>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</si>
  <si>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</si>
  <si>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</si>
  <si>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</si>
  <si>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</si>
  <si>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</si>
  <si>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</si>
  <si>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</si>
  <si>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</si>
  <si>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</si>
  <si>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</si>
  <si>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</si>
  <si>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</si>
  <si>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</si>
  <si>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</si>
  <si>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</si>
  <si>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</si>
  <si>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</si>
  <si>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</si>
  <si>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</si>
  <si>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</si>
  <si>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</si>
  <si>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</si>
  <si>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</si>
  <si>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</si>
  <si>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</si>
  <si>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</si>
  <si>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</si>
  <si>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</si>
  <si>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</si>
  <si>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</si>
  <si>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</si>
  <si>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</si>
  <si>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</si>
  <si>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</si>
  <si>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</si>
  <si>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</si>
  <si>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</si>
  <si>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</si>
  <si>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</si>
  <si>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</si>
  <si>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</si>
  <si>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</si>
  <si>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</si>
  <si>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</si>
  <si>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</si>
  <si>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</si>
  <si>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</si>
  <si>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</si>
  <si>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</si>
  <si>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</si>
  <si>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</si>
  <si>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</si>
  <si>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</si>
  <si>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</si>
  <si>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</si>
  <si>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</si>
  <si>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</si>
  <si>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</si>
  <si>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</si>
  <si>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</si>
  <si>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</si>
  <si>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</si>
  <si>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</si>
  <si>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</si>
  <si>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</si>
  <si>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</si>
  <si>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</si>
  <si>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</si>
  <si>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</si>
  <si>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</si>
  <si>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</si>
  <si>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</si>
  <si>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</si>
  <si>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</si>
  <si>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</si>
  <si>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</si>
  <si>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</si>
  <si>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</si>
  <si>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</si>
  <si>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</si>
  <si>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</si>
  <si>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</si>
  <si>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</si>
  <si>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</si>
  <si>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</si>
  <si>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</si>
  <si>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</si>
  <si>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</si>
  <si>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</si>
  <si>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</si>
  <si>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</si>
  <si>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</si>
  <si>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</si>
  <si>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</si>
  <si>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</si>
  <si>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</si>
  <si>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</si>
  <si>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</si>
  <si>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</si>
  <si>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</si>
  <si>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</si>
  <si>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</si>
  <si>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</si>
  <si>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</si>
  <si>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</si>
  <si>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</si>
  <si>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</si>
  <si>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</si>
  <si>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</si>
  <si>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</si>
  <si>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</si>
  <si>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</si>
  <si>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</si>
  <si>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</si>
  <si>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</si>
  <si>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</si>
  <si>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</si>
  <si>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</si>
  <si>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</si>
  <si>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</si>
  <si>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</si>
  <si>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</si>
  <si>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</si>
  <si>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</si>
  <si>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</si>
  <si>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</si>
  <si>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</si>
  <si>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</si>
  <si>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</si>
  <si>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</si>
  <si>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</si>
  <si>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</si>
  <si>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</si>
  <si>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</si>
  <si>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</si>
  <si>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</si>
  <si>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</si>
  <si>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</si>
  <si>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</si>
  <si>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</si>
  <si>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</si>
  <si>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</si>
  <si>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</si>
  <si>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</si>
  <si>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</si>
  <si>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</si>
  <si>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</si>
  <si>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</si>
  <si>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</si>
  <si>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</si>
  <si>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</si>
  <si>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</si>
  <si>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</si>
  <si>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</si>
  <si>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</si>
  <si>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</si>
  <si>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</si>
  <si>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</si>
  <si>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</si>
  <si>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</si>
  <si>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</si>
  <si>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</si>
  <si>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</si>
  <si>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</si>
  <si>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</si>
  <si>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</si>
  <si>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</si>
  <si>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</si>
  <si>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</si>
  <si>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</si>
  <si>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</si>
  <si>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</si>
  <si>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</si>
  <si>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</si>
  <si>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</si>
  <si>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</si>
  <si>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</si>
  <si>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</si>
  <si>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</si>
  <si>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</si>
  <si>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</si>
  <si>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</si>
  <si>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</si>
  <si>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</si>
  <si>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</si>
  <si>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</si>
  <si>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</si>
  <si>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</si>
  <si>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</si>
  <si>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</si>
  <si>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</si>
  <si>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</si>
  <si>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</si>
  <si>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</si>
  <si>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</si>
  <si>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</si>
  <si>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</si>
  <si>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</si>
  <si>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</si>
  <si>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</si>
  <si>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</si>
  <si>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</si>
  <si>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</si>
  <si>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</si>
  <si>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</si>
  <si>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</si>
  <si>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</si>
  <si>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</si>
  <si>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</si>
  <si>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</si>
  <si>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</si>
  <si>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</si>
  <si>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</si>
  <si>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</si>
  <si>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</si>
  <si>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</si>
  <si>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</si>
  <si>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</si>
  <si>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</si>
  <si>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</si>
  <si>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</si>
  <si>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</si>
  <si>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</si>
  <si>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</si>
  <si>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</si>
  <si>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</si>
  <si>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</si>
  <si>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</si>
  <si>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</si>
  <si>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</si>
  <si>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</si>
  <si>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</si>
  <si>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</si>
  <si>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</si>
  <si>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</si>
  <si>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</si>
  <si>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</si>
  <si>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</si>
  <si>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</si>
  <si>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</si>
  <si>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</si>
  <si>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</si>
  <si>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</si>
  <si>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</si>
  <si>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</si>
  <si>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</si>
  <si>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</si>
  <si>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</si>
  <si>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</si>
  <si>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</si>
  <si>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</si>
  <si>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</si>
  <si>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</si>
  <si>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</si>
  <si>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</si>
  <si>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</si>
  <si>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</si>
  <si>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</si>
  <si>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</si>
  <si>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</si>
  <si>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</si>
  <si>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</si>
  <si>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</si>
  <si>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</si>
  <si>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</si>
  <si>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</si>
  <si>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</si>
  <si>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</si>
  <si>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</si>
  <si>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</si>
  <si>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</si>
  <si>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</si>
  <si>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</si>
  <si>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</si>
  <si>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</si>
  <si>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</si>
  <si>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</si>
  <si>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</si>
  <si>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</si>
  <si>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</si>
  <si>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</si>
  <si>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</si>
  <si>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</si>
  <si>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</si>
  <si>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</si>
  <si>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</si>
  <si>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</si>
  <si>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</si>
  <si>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</si>
  <si>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</si>
  <si>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</si>
  <si>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</si>
  <si>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</si>
  <si>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</si>
  <si>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</si>
  <si>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</si>
  <si>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</si>
  <si>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</si>
  <si>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</si>
  <si>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</si>
  <si>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</si>
  <si>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</si>
  <si>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</si>
  <si>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</si>
  <si>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</si>
  <si>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</si>
  <si>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</si>
  <si>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</si>
  <si>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</si>
  <si>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</si>
  <si>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</si>
  <si>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</si>
  <si>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</si>
  <si>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</si>
  <si>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</si>
  <si>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</si>
  <si>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</si>
  <si>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</si>
  <si>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</si>
  <si>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</si>
  <si>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</si>
  <si>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</si>
  <si>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</si>
  <si>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</si>
  <si>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</si>
  <si>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</si>
  <si>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</si>
  <si>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</si>
  <si>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</si>
  <si>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</si>
  <si>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</si>
  <si>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</si>
  <si>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</si>
  <si>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</si>
  <si>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</si>
  <si>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</si>
  <si>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</si>
  <si>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</si>
  <si>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</si>
  <si>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</si>
  <si>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</si>
  <si>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</si>
  <si>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</si>
  <si>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</si>
  <si>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</si>
  <si>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</si>
  <si>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</si>
  <si>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</si>
  <si>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</si>
  <si>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</si>
  <si>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</si>
  <si>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</si>
  <si>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</si>
  <si>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</si>
  <si>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</si>
  <si>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</si>
  <si>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</si>
  <si>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</si>
  <si>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</si>
  <si>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</si>
  <si>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</si>
  <si>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</si>
  <si>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</si>
  <si>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</si>
  <si>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</si>
  <si>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</si>
  <si>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</si>
  <si>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</si>
  <si>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</si>
  <si>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</si>
  <si>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</si>
  <si>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</si>
  <si>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</si>
  <si>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</si>
  <si>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</si>
  <si>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</si>
  <si>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</si>
  <si>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</si>
  <si>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</si>
  <si>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</si>
  <si>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</si>
  <si>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</si>
  <si>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</si>
  <si>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</si>
  <si>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</si>
  <si>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</si>
  <si>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</si>
  <si>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</si>
  <si>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</si>
  <si>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</si>
  <si>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</si>
  <si>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</si>
  <si>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</si>
  <si>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</si>
  <si>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</si>
  <si>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</si>
  <si>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</si>
  <si>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</si>
  <si>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</si>
  <si>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</si>
  <si>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</si>
  <si>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</si>
  <si>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</si>
  <si>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</si>
  <si>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</si>
  <si>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</si>
  <si>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</si>
  <si>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</si>
  <si>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</si>
  <si>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</si>
  <si>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</si>
  <si>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</si>
  <si>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</si>
  <si>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</si>
  <si>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</si>
  <si>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</si>
  <si>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</si>
  <si>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</si>
  <si>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</si>
  <si>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</si>
  <si>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</si>
  <si>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</si>
  <si>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</si>
  <si>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</si>
  <si>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</si>
  <si>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</si>
  <si>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</si>
  <si>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</si>
  <si>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</si>
  <si>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</si>
  <si>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</si>
  <si>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</si>
  <si>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</si>
  <si>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</si>
  <si>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</si>
  <si>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</si>
  <si>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</si>
  <si>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</si>
  <si>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</si>
  <si>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</si>
  <si>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</si>
  <si>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</si>
  <si>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</si>
  <si>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</si>
  <si>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</si>
  <si>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</si>
  <si>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</si>
  <si>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</si>
  <si>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</si>
  <si>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</si>
  <si>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</si>
  <si>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</si>
  <si>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</si>
  <si>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</si>
  <si>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</si>
  <si>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</si>
  <si>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</si>
  <si>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</si>
  <si>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</si>
  <si>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</si>
  <si>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</si>
  <si>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</si>
  <si>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</si>
  <si>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</si>
  <si>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</si>
  <si>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</si>
  <si>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</si>
  <si>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</si>
  <si>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</si>
  <si>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</si>
  <si>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</si>
  <si>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</si>
  <si>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</si>
  <si>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</si>
  <si>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</si>
  <si>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</si>
  <si>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</si>
  <si>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</si>
  <si>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</si>
  <si>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</si>
  <si>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</si>
  <si>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</si>
  <si>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</si>
  <si>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</si>
  <si>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</si>
  <si>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</si>
  <si>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</si>
  <si>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</si>
  <si>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</si>
  <si>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</si>
  <si>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</si>
  <si>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</si>
  <si>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</si>
  <si>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</si>
  <si>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</si>
  <si>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</si>
  <si>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</si>
  <si>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</si>
  <si>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</si>
  <si>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</si>
  <si>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</si>
  <si>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</si>
  <si>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</si>
  <si>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</si>
  <si>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</si>
  <si>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</si>
  <si>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</si>
  <si>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</si>
  <si>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</si>
  <si>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</si>
  <si>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</si>
  <si>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</si>
  <si>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</si>
  <si>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</si>
  <si>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</si>
  <si>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</si>
  <si>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</si>
  <si>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</si>
  <si>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</si>
  <si>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</si>
  <si>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</si>
  <si>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</si>
  <si>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</si>
  <si>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</si>
  <si>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</si>
  <si>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</si>
  <si>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</si>
  <si>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</si>
  <si>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</si>
  <si>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</si>
  <si>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</si>
  <si>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</si>
  <si>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</si>
  <si>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</si>
  <si>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</si>
  <si>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</si>
  <si>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</si>
  <si>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</si>
  <si>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</si>
  <si>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</si>
  <si>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</si>
  <si>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</si>
  <si>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</si>
  <si>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</si>
  <si>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</si>
  <si>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</si>
  <si>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</si>
  <si>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</si>
  <si>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</si>
  <si>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</si>
  <si>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</si>
  <si>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</si>
  <si>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</si>
  <si>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</si>
  <si>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</si>
  <si>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</si>
  <si>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</si>
  <si>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</si>
  <si>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</si>
  <si>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</si>
  <si>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</si>
  <si>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地上</t>
  </si>
  <si>
    <t>普通住宅</t>
  </si>
  <si>
    <t>洋房</t>
  </si>
  <si>
    <t>地下</t>
  </si>
  <si>
    <t>车库</t>
  </si>
  <si>
    <t>单位</t>
  </si>
  <si>
    <t>数值</t>
  </si>
  <si>
    <t>备注</t>
  </si>
  <si>
    <t>一</t>
  </si>
  <si>
    <t>建设指标</t>
  </si>
  <si>
    <t>规划用地面积</t>
  </si>
  <si>
    <t>㎡</t>
  </si>
  <si>
    <t>总建筑面积</t>
  </si>
  <si>
    <t>计容建筑面积</t>
  </si>
  <si>
    <t>其中</t>
  </si>
  <si>
    <t>高层</t>
  </si>
  <si>
    <t>幼儿园</t>
  </si>
  <si>
    <t>物业管理用房</t>
  </si>
  <si>
    <t>社区服务用房</t>
  </si>
  <si>
    <t>文化活动站</t>
  </si>
  <si>
    <t>托老所</t>
  </si>
  <si>
    <t>不计容建筑面积</t>
  </si>
  <si>
    <t>地下建筑面积</t>
  </si>
  <si>
    <t>基地面积</t>
  </si>
  <si>
    <t>建筑密度</t>
  </si>
  <si>
    <t>%</t>
  </si>
  <si>
    <t>绿地率</t>
  </si>
  <si>
    <t>住宅总户数</t>
  </si>
  <si>
    <t>户</t>
  </si>
  <si>
    <t>机动车停车位</t>
  </si>
  <si>
    <t>个</t>
  </si>
  <si>
    <t>包含421个地面停车位</t>
  </si>
  <si>
    <t>非机动车位</t>
  </si>
  <si>
    <t>二</t>
  </si>
  <si>
    <t>总项目投资</t>
  </si>
  <si>
    <t>销售总收入</t>
  </si>
  <si>
    <t>利润总额</t>
  </si>
  <si>
    <t>项目投资财务净现值</t>
  </si>
  <si>
    <t>投资回收期</t>
  </si>
  <si>
    <t>年</t>
  </si>
  <si>
    <t>税后</t>
  </si>
  <si>
    <t>抵押</t>
  </si>
  <si>
    <t>抵押价格</t>
  </si>
  <si>
    <t>其他：</t>
  </si>
  <si>
    <t>企业</t>
  </si>
  <si>
    <t>出让</t>
  </si>
  <si>
    <t>商业</t>
  </si>
  <si>
    <t>高层住宅</t>
  </si>
  <si>
    <t>高层住宅</t>
    <phoneticPr fontId="7" type="noConversion"/>
  </si>
  <si>
    <t>洋房住宅</t>
  </si>
  <si>
    <t>洋房住宅</t>
    <phoneticPr fontId="7" type="noConversion"/>
  </si>
  <si>
    <t>地下车库</t>
    <phoneticPr fontId="7" type="noConversion"/>
  </si>
  <si>
    <t>http://www.zjzwfwb.gov.cn/news/newsDetailAction.shtml?infoid=5321</t>
    <phoneticPr fontId="3" type="noConversion"/>
  </si>
  <si>
    <t xml:space="preserve">请录依据文件名称： 镇江市政务服务中心行政事业性收费公示(2015.8.7)
</t>
    <phoneticPr fontId="3" type="noConversion"/>
  </si>
  <si>
    <t>其他省市请录依据文件名称：关于调整镇江市区城镇土地使用税税额标准的通告</t>
    <phoneticPr fontId="3" type="noConversion"/>
  </si>
  <si>
    <t>http://zj.jsds.gov.cn/art/2017/2/20/art_11379_837843.html</t>
    <phoneticPr fontId="3" type="noConversion"/>
  </si>
  <si>
    <t>省会市名称</t>
  </si>
  <si>
    <t>建筑型式</t>
  </si>
  <si>
    <t>多层</t>
  </si>
  <si>
    <t>小高层</t>
  </si>
  <si>
    <t>南京</t>
  </si>
  <si>
    <t>剩余法-待开发</t>
  </si>
  <si>
    <t>正常</t>
  </si>
  <si>
    <t>70</t>
    <phoneticPr fontId="26" type="noConversion"/>
  </si>
  <si>
    <t>J1702</t>
    <phoneticPr fontId="3" type="noConversion"/>
  </si>
  <si>
    <t>学府路以南、老山路两侧</t>
    <phoneticPr fontId="26" type="noConversion"/>
  </si>
  <si>
    <t>溢价</t>
    <phoneticPr fontId="26" type="noConversion"/>
  </si>
  <si>
    <t>J1703</t>
    <phoneticPr fontId="3" type="noConversion"/>
  </si>
  <si>
    <t>学府路以北、谷阳路以东</t>
    <phoneticPr fontId="3" type="noConversion"/>
  </si>
  <si>
    <t>R1717</t>
    <phoneticPr fontId="3" type="noConversion"/>
  </si>
  <si>
    <t>百花路以北、镜天路以东</t>
    <phoneticPr fontId="3" type="noConversion"/>
  </si>
  <si>
    <t>一般</t>
  </si>
  <si>
    <t>较好</t>
  </si>
  <si>
    <t>好</t>
  </si>
  <si>
    <t>楼面地价</t>
  </si>
  <si>
    <t>比较法-住宅、综合</t>
  </si>
  <si>
    <t>销售收入</t>
  </si>
  <si>
    <t>高层（万元）</t>
  </si>
  <si>
    <t>洋房（万元）</t>
  </si>
  <si>
    <t>商业（万元）</t>
  </si>
  <si>
    <t>停车位（万元）</t>
  </si>
  <si>
    <t>经营税金及附加</t>
  </si>
  <si>
    <t xml:space="preserve">  可售面积/㎡</t>
  </si>
  <si>
    <t xml:space="preserve">  平均售价/(元/㎡)</t>
  </si>
  <si>
    <t xml:space="preserve">  销售比例</t>
  </si>
  <si>
    <t xml:space="preserve">  可售车位/个</t>
  </si>
  <si>
    <t xml:space="preserve">  平均售价/(元/个)</t>
  </si>
  <si>
    <t>增值税(5%)</t>
  </si>
  <si>
    <t>城市维护建设税(7%)</t>
  </si>
  <si>
    <t>教育费附加(5%)</t>
  </si>
  <si>
    <t>土地增值税(住宅按1.5%，商业按照2%）</t>
  </si>
  <si>
    <t>工程或费用名称</t>
  </si>
  <si>
    <t>数量</t>
  </si>
  <si>
    <t>单价（元）</t>
  </si>
  <si>
    <t>房屋开发费</t>
  </si>
  <si>
    <t>建筑工程费(含装修）</t>
  </si>
  <si>
    <t>物管、社区用房等</t>
  </si>
  <si>
    <t>地下建筑</t>
  </si>
  <si>
    <t>土地</t>
  </si>
  <si>
    <t>住宅</t>
    <phoneticPr fontId="26" type="noConversion"/>
  </si>
  <si>
    <r>
      <rPr>
        <sz val="11"/>
        <color indexed="8"/>
        <rFont val="宋体"/>
        <family val="3"/>
        <charset val="134"/>
      </rPr>
      <t>住宅</t>
    </r>
    <r>
      <rPr>
        <sz val="11"/>
        <color indexed="8"/>
        <rFont val="Arial"/>
        <family val="2"/>
      </rPr>
      <t>62.66</t>
    </r>
    <r>
      <rPr>
        <sz val="11"/>
        <color indexed="8"/>
        <rFont val="宋体"/>
        <family val="3"/>
        <charset val="134"/>
      </rPr>
      <t>年</t>
    </r>
    <phoneticPr fontId="26" type="noConversion"/>
  </si>
  <si>
    <t>六通</t>
  </si>
  <si>
    <t>单面临街</t>
  </si>
  <si>
    <t>主干道</t>
  </si>
  <si>
    <t>主干道</t>
    <phoneticPr fontId="26" type="noConversion"/>
  </si>
  <si>
    <t>较规则</t>
  </si>
  <si>
    <t>较规则</t>
    <phoneticPr fontId="26" type="noConversion"/>
  </si>
  <si>
    <t>较适宜</t>
  </si>
  <si>
    <t>较适宜</t>
    <phoneticPr fontId="26" type="noConversion"/>
  </si>
  <si>
    <t>六通一平</t>
  </si>
  <si>
    <t>六通一平</t>
    <phoneticPr fontId="26" type="noConversion"/>
  </si>
  <si>
    <t>好</t>
    <phoneticPr fontId="26" type="noConversion"/>
  </si>
  <si>
    <t>南京监测指标情况一览表</t>
  </si>
  <si>
    <t>时间</t>
  </si>
  <si>
    <t>水平值</t>
  </si>
  <si>
    <t>环比增长率</t>
  </si>
  <si>
    <t>指数</t>
  </si>
  <si>
    <t>售价</t>
  </si>
  <si>
    <t>中冶蓝湾二期</t>
    <phoneticPr fontId="3" type="noConversion"/>
  </si>
  <si>
    <t>中冶蓝湾一期</t>
    <phoneticPr fontId="3" type="noConversion"/>
  </si>
  <si>
    <t>中南·公园物语</t>
    <phoneticPr fontId="3" type="noConversion"/>
  </si>
  <si>
    <t>宜嘉湖庭花园</t>
    <phoneticPr fontId="3" type="noConversion"/>
  </si>
  <si>
    <r>
      <rPr>
        <sz val="11"/>
        <color theme="9" tint="-0.249977111117893"/>
        <rFont val="仿宋_GB2312"/>
        <family val="3"/>
        <charset val="134"/>
      </rPr>
      <t>项目位置</t>
    </r>
    <phoneticPr fontId="3" type="noConversion"/>
  </si>
  <si>
    <t>60-70（含）</t>
  </si>
  <si>
    <t>高板</t>
  </si>
  <si>
    <t>钢混</t>
  </si>
  <si>
    <t>高档</t>
  </si>
  <si>
    <t>精装修</t>
  </si>
  <si>
    <t>专业</t>
  </si>
  <si>
    <t>平层</t>
  </si>
  <si>
    <t>毛坯</t>
  </si>
  <si>
    <t>否</t>
    <phoneticPr fontId="3" type="noConversion"/>
  </si>
  <si>
    <t>是</t>
    <phoneticPr fontId="3" type="noConversion"/>
  </si>
  <si>
    <t>临江</t>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</si>
  <si>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</si>
  <si>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</si>
  <si>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</si>
  <si>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</si>
  <si>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支路</t>
    </r>
    <phoneticPr fontId="3" type="noConversion"/>
  </si>
  <si>
    <r>
      <rPr>
        <sz val="11"/>
        <rFont val="仿宋_GB2312"/>
        <family val="3"/>
        <charset val="134"/>
      </rPr>
      <t>独栋</t>
    </r>
    <phoneticPr fontId="3" type="noConversion"/>
  </si>
  <si>
    <r>
      <rPr>
        <sz val="11"/>
        <rFont val="仿宋_GB2312"/>
        <family val="3"/>
        <charset val="134"/>
      </rPr>
      <t>联排</t>
    </r>
    <phoneticPr fontId="3" type="noConversion"/>
  </si>
  <si>
    <t>洋房</t>
    <phoneticPr fontId="3" type="noConversion"/>
  </si>
  <si>
    <t>高板</t>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</si>
  <si>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</si>
  <si>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</si>
  <si>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</si>
  <si>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</si>
  <si>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</si>
  <si>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</si>
  <si>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</si>
  <si>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</si>
  <si>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</si>
  <si>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</si>
  <si>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</si>
  <si>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</si>
  <si>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</si>
  <si>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</si>
  <si>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</si>
  <si>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</si>
  <si>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</si>
  <si>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</si>
  <si>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t>90</t>
    </r>
    <r>
      <rPr>
        <sz val="11"/>
        <color indexed="8"/>
        <rFont val="仿宋_GB2312"/>
        <family val="3"/>
        <charset val="134"/>
      </rPr>
      <t>至</t>
    </r>
    <r>
      <rPr>
        <sz val="11"/>
        <color indexed="8"/>
        <rFont val="Arial"/>
        <family val="2"/>
      </rPr>
      <t>110</t>
    </r>
    <phoneticPr fontId="3" type="noConversion"/>
  </si>
  <si>
    <r>
      <t>82</t>
    </r>
    <r>
      <rPr>
        <sz val="11"/>
        <color indexed="8"/>
        <rFont val="仿宋_GB2312"/>
        <family val="3"/>
        <charset val="134"/>
      </rPr>
      <t>至</t>
    </r>
    <r>
      <rPr>
        <sz val="11"/>
        <color indexed="8"/>
        <rFont val="Arial"/>
        <family val="2"/>
      </rPr>
      <t>120</t>
    </r>
    <phoneticPr fontId="3" type="noConversion"/>
  </si>
  <si>
    <r>
      <t>135</t>
    </r>
    <r>
      <rPr>
        <sz val="11"/>
        <color indexed="8"/>
        <rFont val="仿宋_GB2312"/>
        <family val="3"/>
        <charset val="134"/>
      </rPr>
      <t>至</t>
    </r>
    <r>
      <rPr>
        <sz val="11"/>
        <color indexed="8"/>
        <rFont val="Arial"/>
        <family val="2"/>
      </rPr>
      <t>180</t>
    </r>
    <phoneticPr fontId="3" type="noConversion"/>
  </si>
  <si>
    <r>
      <t>90</t>
    </r>
    <r>
      <rPr>
        <sz val="11"/>
        <color indexed="8"/>
        <rFont val="仿宋_GB2312"/>
        <family val="3"/>
        <charset val="134"/>
      </rPr>
      <t>至</t>
    </r>
    <r>
      <rPr>
        <sz val="11"/>
        <color indexed="8"/>
        <rFont val="Arial"/>
        <family val="2"/>
      </rPr>
      <t>100</t>
    </r>
    <phoneticPr fontId="3" type="noConversion"/>
  </si>
  <si>
    <t>销售尾盘</t>
    <phoneticPr fontId="21" type="noConversion"/>
  </si>
  <si>
    <t>景观</t>
    <phoneticPr fontId="21" type="noConversion"/>
  </si>
  <si>
    <t>住宅</t>
    <phoneticPr fontId="21" type="noConversion"/>
  </si>
  <si>
    <t>主干道</t>
    <phoneticPr fontId="21" type="noConversion"/>
  </si>
  <si>
    <t>招商·北固湾</t>
    <phoneticPr fontId="3" type="noConversion"/>
  </si>
  <si>
    <t>优山美地</t>
    <phoneticPr fontId="3" type="noConversion"/>
  </si>
  <si>
    <t>120-280</t>
    <phoneticPr fontId="233" type="noConversion"/>
  </si>
  <si>
    <t>否</t>
    <phoneticPr fontId="233" type="noConversion"/>
  </si>
  <si>
    <t>土地（套用方法）</t>
  </si>
  <si>
    <t>车库收益法</t>
  </si>
  <si>
    <t>按租金收入计税</t>
  </si>
  <si>
    <t>自定义</t>
  </si>
  <si>
    <t>车库收益法</t>
    <phoneticPr fontId="14" type="noConversion"/>
  </si>
  <si>
    <r>
      <t>2.</t>
    </r>
    <r>
      <rPr>
        <sz val="10"/>
        <color indexed="8"/>
        <rFont val="宋体"/>
        <family val="3"/>
        <charset val="134"/>
      </rPr>
      <t>估价对象地上楼面地价应低于案例</t>
    </r>
    <r>
      <rPr>
        <sz val="10"/>
        <color indexed="8"/>
        <rFont val="Arial"/>
        <family val="2"/>
      </rPr>
      <t>AB</t>
    </r>
    <r>
      <rPr>
        <sz val="10"/>
        <color indexed="8"/>
        <rFont val="宋体"/>
        <family val="3"/>
        <charset val="134"/>
      </rPr>
      <t>；</t>
    </r>
    <phoneticPr fontId="9" type="noConversion"/>
  </si>
  <si>
    <r>
      <t>3.</t>
    </r>
    <r>
      <rPr>
        <sz val="10"/>
        <color indexed="8"/>
        <rFont val="宋体"/>
        <family val="3"/>
        <charset val="134"/>
      </rPr>
      <t>估价对象评估值超正常上限</t>
    </r>
    <r>
      <rPr>
        <sz val="10"/>
        <color indexed="8"/>
        <rFont val="Arial"/>
        <family val="2"/>
      </rPr>
      <t>25%</t>
    </r>
    <phoneticPr fontId="9" type="noConversion"/>
  </si>
  <si>
    <r>
      <t>1.</t>
    </r>
    <r>
      <rPr>
        <sz val="10"/>
        <color indexed="8"/>
        <rFont val="宋体"/>
        <family val="3"/>
        <charset val="134"/>
      </rPr>
      <t>估价对象距江直线距离约</t>
    </r>
    <r>
      <rPr>
        <sz val="10"/>
        <color indexed="8"/>
        <rFont val="Arial"/>
        <family val="2"/>
      </rPr>
      <t>1</t>
    </r>
    <r>
      <rPr>
        <sz val="10"/>
        <color indexed="8"/>
        <rFont val="宋体"/>
        <family val="3"/>
        <charset val="134"/>
      </rPr>
      <t>公里，不应按临江计算；</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</si>
</sst>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 numFmtId="195" formatCode="#,##0.00_);[Red]\(#,##0.00\)"/>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1"/>
      <name val="宋体"/>
      <family val="3"/>
      <charset val="134"/>
      <scheme val="minor"/>
    </font>
    <font>
      <sz val="10"/>
      <color theme="1"/>
      <name val="Times New Roman"/>
      <family val="1"/>
    </font>
    <font>
      <sz val="10.5"/>
      <color theme="1"/>
      <name val="Calibri"/>
      <family val="2"/>
    </font>
    <font>
      <b/>
      <sz val="10"/>
      <color indexed="8"/>
      <name val="宋体"/>
      <family val="3"/>
      <charset val="134"/>
      <scheme val="minor"/>
    </font>
    <font>
      <sz val="10"/>
      <color indexed="8"/>
      <name val="宋体"/>
      <family val="3"/>
      <charset val="134"/>
      <scheme val="minor"/>
    </font>
    <font>
      <sz val="11"/>
      <color theme="9" tint="-0.249977111117893"/>
      <name val="宋体"/>
      <family val="3"/>
      <charset val="134"/>
    </font>
    <font>
      <b/>
      <sz val="10"/>
      <color theme="1"/>
      <name val="Times New Roman"/>
      <family val="1"/>
    </font>
    <font>
      <sz val="10"/>
      <color rgb="FF000099"/>
      <name val="宋体"/>
      <family val="3"/>
      <charset val="134"/>
    </font>
    <font>
      <sz val="10"/>
      <color rgb="FF000099"/>
      <name val="Times New Roman"/>
      <family val="1"/>
    </font>
    <font>
      <b/>
      <sz val="10"/>
      <color rgb="FF000000"/>
      <name val="宋体"/>
      <family val="3"/>
      <charset val="134"/>
    </font>
    <font>
      <b/>
      <sz val="10"/>
      <color rgb="FF000000"/>
      <name val="Times New Roman"/>
      <family val="1"/>
    </font>
    <font>
      <sz val="10"/>
      <color rgb="FF000000"/>
      <name val="Times New Roman"/>
      <family val="1"/>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EAE8E8"/>
        <bgColor indexed="64"/>
      </patternFill>
    </fill>
    <fill>
      <patternFill patternType="solid">
        <fgColor rgb="FFF1F1F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9" fontId="285" fillId="0" borderId="0" applyFont="0" applyFill="0" applyBorder="0" applyAlignment="0" applyProtection="0">
      <alignment vertical="center"/>
    </xf>
  </cellStyleXfs>
  <cellXfs count="386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0" borderId="2" xfId="0" applyNumberFormat="1" applyFont="1" applyBorder="1" applyAlignment="1" applyProtection="1">
      <alignment horizontal="center" vertical="center" wrapText="1"/>
      <protection locked="0"/>
    </xf>
    <xf numFmtId="0" fontId="235" fillId="0" borderId="2" xfId="0" applyFont="1" applyBorder="1" applyAlignment="1">
      <alignment horizontal="center" vertical="center" wrapText="1"/>
    </xf>
    <xf numFmtId="0" fontId="235" fillId="0" borderId="2" xfId="0" applyFont="1" applyBorder="1" applyAlignment="1">
      <alignment horizontal="center" vertical="center"/>
    </xf>
    <xf numFmtId="0" fontId="286" fillId="0" borderId="2" xfId="0" applyFont="1" applyBorder="1" applyAlignment="1">
      <alignment horizontal="center" vertical="center" wrapText="1"/>
    </xf>
    <xf numFmtId="0" fontId="201" fillId="0" borderId="2" xfId="0" applyFont="1" applyBorder="1" applyAlignment="1">
      <alignment horizontal="left" vertical="center"/>
    </xf>
    <xf numFmtId="194" fontId="201" fillId="13" borderId="2" xfId="0" applyNumberFormat="1" applyFont="1" applyFill="1" applyBorder="1" applyAlignment="1">
      <alignment horizontal="right" vertical="center"/>
    </xf>
    <xf numFmtId="179" fontId="235" fillId="0" borderId="2" xfId="0" applyNumberFormat="1" applyFont="1" applyBorder="1" applyAlignment="1">
      <alignment horizontal="center" vertical="center"/>
    </xf>
    <xf numFmtId="0" fontId="201" fillId="0" borderId="2" xfId="0" applyFont="1" applyBorder="1" applyAlignment="1">
      <alignment horizontal="left" vertical="center" wrapText="1"/>
    </xf>
    <xf numFmtId="0" fontId="286" fillId="0" borderId="2" xfId="0" applyFont="1" applyBorder="1" applyAlignment="1">
      <alignment horizontal="center" vertical="center"/>
    </xf>
    <xf numFmtId="10" fontId="201" fillId="13" borderId="2" xfId="0" applyNumberFormat="1" applyFont="1" applyFill="1" applyBorder="1" applyAlignment="1">
      <alignment horizontal="right" vertical="center"/>
    </xf>
    <xf numFmtId="194" fontId="201" fillId="0" borderId="2" xfId="0" applyNumberFormat="1" applyFont="1" applyBorder="1" applyAlignment="1">
      <alignment horizontal="right" vertical="center" wrapText="1"/>
    </xf>
    <xf numFmtId="0" fontId="201" fillId="13" borderId="2" xfId="0" applyFont="1" applyFill="1" applyBorder="1" applyAlignment="1">
      <alignment horizontal="right" vertical="center"/>
    </xf>
    <xf numFmtId="0" fontId="287" fillId="0" borderId="2" xfId="0" applyFont="1" applyBorder="1" applyAlignment="1">
      <alignment vertical="center" wrapText="1"/>
    </xf>
    <xf numFmtId="0" fontId="201" fillId="0" borderId="2" xfId="0" applyFont="1" applyBorder="1" applyAlignment="1">
      <alignment horizontal="right" vertical="center" wrapText="1"/>
    </xf>
    <xf numFmtId="0" fontId="201" fillId="0" borderId="2" xfId="0" applyFont="1" applyBorder="1" applyAlignment="1">
      <alignment horizontal="center" vertical="center" wrapText="1"/>
    </xf>
    <xf numFmtId="195" fontId="201" fillId="0" borderId="2" xfId="0" applyNumberFormat="1" applyFont="1" applyBorder="1" applyAlignment="1">
      <alignment horizontal="right" vertical="center"/>
    </xf>
    <xf numFmtId="0" fontId="264" fillId="17" borderId="2" xfId="0" applyNumberFormat="1" applyFont="1" applyFill="1" applyBorder="1" applyAlignment="1" applyProtection="1">
      <alignment horizontal="right" vertical="center"/>
      <protection locked="0"/>
    </xf>
    <xf numFmtId="0" fontId="11" fillId="0" borderId="2" xfId="0" applyNumberFormat="1" applyFont="1" applyBorder="1" applyAlignment="1" applyProtection="1">
      <alignment vertical="center" wrapText="1"/>
      <protection locked="0"/>
    </xf>
    <xf numFmtId="0" fontId="201" fillId="13" borderId="2" xfId="0" applyNumberFormat="1" applyFont="1" applyFill="1" applyBorder="1" applyAlignment="1" applyProtection="1">
      <alignment horizontal="right" vertical="center"/>
      <protection locked="0"/>
    </xf>
    <xf numFmtId="0" fontId="11" fillId="0" borderId="2" xfId="0" applyNumberFormat="1" applyFont="1" applyBorder="1" applyAlignment="1" applyProtection="1">
      <alignment horizontal="center" vertical="center" wrapText="1"/>
      <protection locked="0"/>
    </xf>
    <xf numFmtId="194" fontId="0" fillId="0" borderId="0" xfId="0" applyNumberFormat="1">
      <alignment vertical="center"/>
    </xf>
    <xf numFmtId="0" fontId="289" fillId="0" borderId="153" xfId="0" applyFont="1" applyFill="1" applyBorder="1" applyAlignment="1" applyProtection="1">
      <alignment horizontal="center" vertical="top" wrapText="1"/>
      <protection locked="0"/>
    </xf>
    <xf numFmtId="0" fontId="289" fillId="0" borderId="2" xfId="0" applyFont="1" applyFill="1" applyBorder="1" applyAlignment="1" applyProtection="1">
      <alignment horizontal="center" vertical="top" wrapText="1"/>
      <protection locked="0"/>
    </xf>
    <xf numFmtId="0" fontId="289" fillId="0" borderId="154" xfId="0" applyFont="1" applyFill="1" applyBorder="1" applyAlignment="1" applyProtection="1">
      <alignment horizontal="center" vertical="top" wrapText="1"/>
      <protection locked="0"/>
    </xf>
    <xf numFmtId="0" fontId="288" fillId="0" borderId="5" xfId="0" applyFont="1" applyFill="1" applyBorder="1" applyAlignment="1" applyProtection="1">
      <alignment vertical="top" wrapText="1"/>
      <protection locked="0"/>
    </xf>
    <xf numFmtId="0" fontId="289" fillId="0" borderId="153" xfId="0" applyNumberFormat="1" applyFont="1" applyFill="1" applyBorder="1" applyAlignment="1" applyProtection="1">
      <alignment vertical="top" wrapText="1"/>
      <protection locked="0"/>
    </xf>
    <xf numFmtId="0" fontId="289" fillId="0" borderId="2" xfId="0" applyNumberFormat="1" applyFont="1" applyFill="1" applyBorder="1" applyAlignment="1" applyProtection="1">
      <alignment vertical="top" wrapText="1"/>
      <protection locked="0"/>
    </xf>
    <xf numFmtId="0" fontId="289" fillId="0" borderId="154" xfId="0" applyNumberFormat="1" applyFont="1" applyFill="1" applyBorder="1" applyAlignment="1" applyProtection="1">
      <alignment vertical="top" wrapText="1"/>
      <protection locked="0"/>
    </xf>
    <xf numFmtId="0" fontId="133" fillId="8" borderId="63" xfId="0" applyFont="1" applyFill="1" applyBorder="1" applyAlignment="1" applyProtection="1">
      <alignment horizontal="left" vertical="center" wrapText="1"/>
      <protection locked="0"/>
    </xf>
    <xf numFmtId="10" fontId="84" fillId="0" borderId="11" xfId="0" applyNumberFormat="1" applyFont="1" applyFill="1" applyBorder="1" applyAlignment="1" applyProtection="1">
      <alignment horizontal="center" vertical="center" wrapText="1"/>
      <protection locked="0"/>
    </xf>
    <xf numFmtId="10" fontId="84" fillId="0" borderId="2" xfId="0" applyNumberFormat="1" applyFont="1" applyFill="1" applyBorder="1" applyAlignment="1" applyProtection="1">
      <alignment horizontal="center" vertical="center" wrapText="1"/>
      <protection locked="0"/>
    </xf>
    <xf numFmtId="0" fontId="292" fillId="0" borderId="2" xfId="0" applyFont="1" applyFill="1" applyBorder="1" applyAlignment="1">
      <alignment horizontal="center" vertical="center"/>
    </xf>
    <xf numFmtId="0" fontId="294" fillId="0" borderId="2" xfId="0" applyFont="1" applyFill="1" applyBorder="1" applyAlignment="1">
      <alignment horizontal="center" vertical="center"/>
    </xf>
    <xf numFmtId="0" fontId="295" fillId="0" borderId="2" xfId="0" applyFont="1" applyFill="1" applyBorder="1" applyAlignment="1">
      <alignment horizontal="center" vertical="center"/>
    </xf>
    <xf numFmtId="0" fontId="296" fillId="0" borderId="2" xfId="0" applyFont="1" applyFill="1" applyBorder="1" applyAlignment="1">
      <alignment horizontal="center" vertical="center"/>
    </xf>
    <xf numFmtId="0" fontId="264" fillId="0" borderId="2" xfId="0" applyFont="1" applyFill="1" applyBorder="1" applyAlignment="1">
      <alignment horizontal="left" vertical="center"/>
    </xf>
    <xf numFmtId="194" fontId="296" fillId="0" borderId="2" xfId="0" applyNumberFormat="1" applyFont="1" applyFill="1" applyBorder="1" applyAlignment="1">
      <alignment horizontal="center" vertical="center"/>
    </xf>
    <xf numFmtId="0" fontId="264" fillId="0" borderId="2" xfId="0" applyFont="1" applyFill="1" applyBorder="1" applyAlignment="1">
      <alignment horizontal="center" vertical="center"/>
    </xf>
    <xf numFmtId="0" fontId="296" fillId="0" borderId="2" xfId="0" applyFont="1" applyFill="1" applyBorder="1" applyAlignment="1">
      <alignment horizontal="left" vertical="center"/>
    </xf>
    <xf numFmtId="0" fontId="293" fillId="0" borderId="2" xfId="0" applyFont="1" applyFill="1" applyBorder="1" applyAlignment="1">
      <alignment horizontal="center" vertical="center"/>
    </xf>
    <xf numFmtId="9" fontId="293" fillId="0" borderId="2" xfId="0" applyNumberFormat="1" applyFont="1" applyFill="1" applyBorder="1" applyAlignment="1">
      <alignment horizontal="center" vertical="center"/>
    </xf>
    <xf numFmtId="194" fontId="293" fillId="0" borderId="2" xfId="0" applyNumberFormat="1" applyFont="1" applyFill="1" applyBorder="1" applyAlignment="1">
      <alignment horizontal="center" vertical="center"/>
    </xf>
    <xf numFmtId="0" fontId="264" fillId="0" borderId="2" xfId="0" applyFont="1" applyFill="1" applyBorder="1" applyAlignment="1">
      <alignment horizontal="left" vertical="center" wrapText="1"/>
    </xf>
    <xf numFmtId="0" fontId="291" fillId="0" borderId="2" xfId="0" applyFont="1" applyFill="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201" fillId="0" borderId="2" xfId="0" applyFont="1" applyFill="1" applyBorder="1" applyAlignment="1" applyProtection="1">
      <alignment horizontal="center" vertical="center" wrapText="1"/>
      <protection locked="0"/>
    </xf>
    <xf numFmtId="0" fontId="286" fillId="0" borderId="2" xfId="0" applyFont="1" applyFill="1" applyBorder="1" applyAlignment="1" applyProtection="1">
      <alignment horizontal="center" vertical="center" wrapText="1"/>
      <protection locked="0"/>
    </xf>
    <xf numFmtId="0" fontId="201" fillId="0" borderId="2" xfId="0" applyFont="1" applyFill="1" applyBorder="1" applyAlignment="1" applyProtection="1">
      <alignment horizontal="left" vertical="center" wrapText="1"/>
      <protection locked="0"/>
    </xf>
    <xf numFmtId="0" fontId="201" fillId="0" borderId="2" xfId="0" applyFont="1" applyFill="1" applyBorder="1" applyAlignment="1" applyProtection="1">
      <alignment horizontal="left" vertical="center"/>
      <protection locked="0"/>
    </xf>
    <xf numFmtId="0" fontId="201" fillId="0" borderId="2" xfId="0" applyFont="1" applyFill="1" applyBorder="1" applyAlignment="1" applyProtection="1">
      <alignment horizontal="center" vertical="center"/>
      <protection locked="0"/>
    </xf>
    <xf numFmtId="195" fontId="296" fillId="0" borderId="2" xfId="0" applyNumberFormat="1" applyFont="1" applyFill="1" applyBorder="1" applyAlignment="1" applyProtection="1">
      <alignment horizontal="center" vertical="center" wrapText="1"/>
      <protection locked="0"/>
    </xf>
    <xf numFmtId="195" fontId="295" fillId="0" borderId="2" xfId="0" applyNumberFormat="1" applyFont="1" applyFill="1" applyBorder="1" applyAlignment="1" applyProtection="1">
      <alignment horizontal="center" vertical="center" wrapText="1"/>
      <protection locked="0"/>
    </xf>
    <xf numFmtId="181" fontId="0" fillId="0" borderId="0" xfId="16" applyNumberFormat="1"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97" fillId="0" borderId="0" xfId="0" applyFont="1" applyAlignment="1">
      <alignment horizontal="center" vertical="center"/>
    </xf>
    <xf numFmtId="0" fontId="298" fillId="18" borderId="155" xfId="0" applyFont="1" applyFill="1" applyBorder="1" applyAlignment="1">
      <alignment horizontal="center"/>
    </xf>
    <xf numFmtId="0" fontId="298" fillId="18" borderId="156" xfId="0" applyFont="1" applyFill="1" applyBorder="1" applyAlignment="1">
      <alignment horizontal="center"/>
    </xf>
    <xf numFmtId="0" fontId="145" fillId="0" borderId="0" xfId="0" applyFont="1" applyAlignment="1">
      <alignment horizontal="left" vertical="center" wrapText="1"/>
    </xf>
    <xf numFmtId="0" fontId="0" fillId="0" borderId="157" xfId="0" applyBorder="1" applyAlignment="1">
      <alignment horizontal="right" vertical="center" wrapText="1"/>
    </xf>
    <xf numFmtId="0" fontId="145" fillId="0" borderId="157" xfId="0" applyFont="1" applyBorder="1" applyAlignment="1">
      <alignment horizontal="right" vertical="center" wrapText="1"/>
    </xf>
    <xf numFmtId="0" fontId="145" fillId="19" borderId="0" xfId="0" applyFont="1" applyFill="1" applyAlignment="1">
      <alignment horizontal="left" vertical="center" wrapText="1"/>
    </xf>
    <xf numFmtId="0" fontId="0" fillId="19" borderId="157" xfId="0" applyFill="1" applyBorder="1" applyAlignment="1">
      <alignment horizontal="right" vertical="center" wrapText="1"/>
    </xf>
    <xf numFmtId="0" fontId="145" fillId="19" borderId="157" xfId="0" applyFont="1" applyFill="1" applyBorder="1" applyAlignment="1">
      <alignment horizontal="right" vertical="center" wrapText="1"/>
    </xf>
    <xf numFmtId="0" fontId="299" fillId="13" borderId="0" xfId="0" applyFont="1" applyFill="1" applyAlignment="1">
      <alignment horizontal="left" vertical="center" wrapText="1"/>
    </xf>
    <xf numFmtId="0" fontId="299" fillId="13" borderId="157" xfId="0" applyFont="1" applyFill="1" applyBorder="1" applyAlignment="1">
      <alignment horizontal="right" vertical="center" wrapText="1"/>
    </xf>
    <xf numFmtId="0" fontId="81" fillId="0" borderId="5"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35" fillId="0" borderId="2" xfId="0" applyFont="1" applyFill="1" applyBorder="1" applyAlignment="1" applyProtection="1">
      <alignment horizontal="center" vertical="center" wrapText="1"/>
      <protection locked="0"/>
    </xf>
    <xf numFmtId="0" fontId="288" fillId="0" borderId="5" xfId="0" applyFont="1" applyFill="1" applyBorder="1" applyAlignment="1" applyProtection="1">
      <alignment horizontal="center" vertical="top" wrapText="1"/>
      <protection locked="0"/>
    </xf>
    <xf numFmtId="0" fontId="289" fillId="0" borderId="153" xfId="0" applyFont="1" applyFill="1" applyBorder="1" applyAlignment="1" applyProtection="1">
      <alignment horizontal="center" vertical="top" wrapText="1"/>
      <protection locked="0"/>
    </xf>
    <xf numFmtId="0" fontId="289" fillId="0" borderId="2" xfId="0" applyFont="1" applyFill="1" applyBorder="1" applyAlignment="1" applyProtection="1">
      <alignment horizontal="center" vertical="top" wrapText="1"/>
      <protection locked="0"/>
    </xf>
    <xf numFmtId="0" fontId="289"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90" fillId="0" borderId="22"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01" fillId="0" borderId="2" xfId="0" applyFont="1" applyBorder="1" applyAlignment="1">
      <alignment horizontal="center" vertical="center" wrapText="1"/>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32</xdr:row>
      <xdr:rowOff>108839</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5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123825</xdr:rowOff>
    </xdr:from>
    <xdr:to>
      <xdr:col>10</xdr:col>
      <xdr:colOff>180021</xdr:colOff>
      <xdr:row>61</xdr:row>
      <xdr:rowOff>94547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67300"/>
          <a:ext cx="7638096" cy="5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7-1-1028&#27743;&#33487;&#30465;&#38215;&#27743;&#24066;&#31161;&#23665;&#36335;&#20197;&#21271;&#65292;&#35895;&#38451;&#36335;&#20197;&#19996;&#65288;&#19981;&#21160;&#20135;&#21333;&#20803;&#21495;&#65306;321102014001GB00041W00000000&#12289;&#22320;&#21495;&#65306;0142120028000&#65289;&#20004;&#23447;&#22478;&#38215;&#20303;&#23429;&#29992;&#22320;&#20986;&#35753;&#22269;&#26377;&#24314;&#35774;&#29992;&#22320;&#20351;&#29992;&#26435;&#25269;&#25276;&#20215;&#26684;&#39044;&#35780;&#20272;/2017-1-1028-P01DYGJ3/&#26368;&#32456;/&#20108;&#26399;&#20108;&#32452;&#22242;&#65288;&#25970;&#27979;&#31639;.111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37096;&#20998;/&#38215;&#27743;&#39033;&#30446;&#35780;&#20272;&#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车库-收益法"/>
      <sheetName val="酒店收入计算"/>
      <sheetName val="成本逼近法"/>
      <sheetName val="高层-比较法"/>
      <sheetName val="不动产比较法-商业"/>
      <sheetName val="不动产比较法-办公"/>
      <sheetName val="不动产比较法-工业"/>
      <sheetName val="不动产比较法-车位"/>
      <sheetName val="不动产比较法-仓储"/>
      <sheetName val="典型户型修正"/>
      <sheetName val="存贷款利率"/>
      <sheetName val="洋房-比较法"/>
      <sheetName val="Sheet2"/>
    </sheetNames>
    <sheetDataSet>
      <sheetData sheetId="0"/>
      <sheetData sheetId="1"/>
      <sheetData sheetId="2"/>
      <sheetData sheetId="3"/>
      <sheetData sheetId="4"/>
      <sheetData sheetId="5"/>
      <sheetData sheetId="6"/>
      <sheetData sheetId="7"/>
      <sheetData sheetId="8"/>
      <sheetData sheetId="9"/>
      <sheetData sheetId="10">
        <row r="3">
          <cell r="B3">
            <v>143650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主要技术经济指标表"/>
      <sheetName val="规划指标"/>
      <sheetName val="项目总投资估算表"/>
      <sheetName val="用款计划表"/>
      <sheetName val="长期借款还本付息估算表 "/>
      <sheetName val="销售收入与经营税金及附加估算表"/>
      <sheetName val="利润与利润分配表"/>
      <sheetName val="项目投资现金流量表"/>
    </sheetNames>
    <sheetDataSet>
      <sheetData sheetId="0"/>
      <sheetData sheetId="1" refreshError="1"/>
      <sheetData sheetId="2">
        <row r="40">
          <cell r="F40">
            <v>198328.16886887999</v>
          </cell>
        </row>
      </sheetData>
      <sheetData sheetId="3" refreshError="1"/>
      <sheetData sheetId="4"/>
      <sheetData sheetId="5">
        <row r="2">
          <cell r="C2">
            <v>273279.94130000001</v>
          </cell>
        </row>
      </sheetData>
      <sheetData sheetId="6">
        <row r="7">
          <cell r="C7">
            <v>55828.950593320005</v>
          </cell>
        </row>
      </sheetData>
      <sheetData sheetId="7">
        <row r="21">
          <cell r="F21">
            <v>33842.260840309325</v>
          </cell>
        </row>
        <row r="22">
          <cell r="F22">
            <v>0.3906210585168548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32',16);" TargetMode="External"/><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0" customWidth="1"/>
    <col min="2" max="2" width="20.625" style="3475" customWidth="1"/>
    <col min="3" max="3" width="11.875" style="3475" customWidth="1"/>
    <col min="4" max="4" width="40.5" style="3200" customWidth="1"/>
    <col min="5" max="5" width="15.75" style="3200" customWidth="1"/>
    <col min="6" max="6" width="10.625" style="3200" customWidth="1"/>
    <col min="7" max="7" width="4.875" style="3200" customWidth="1"/>
    <col min="8" max="8" width="8.5" style="3200" customWidth="1"/>
    <col min="9" max="9" width="21.25" style="3200" customWidth="1"/>
    <col min="10" max="10" width="12.25" style="3200" customWidth="1"/>
    <col min="11" max="11" width="40.125" style="3462" customWidth="1"/>
    <col min="12" max="12" width="16.375" style="3200" customWidth="1"/>
    <col min="13" max="13" width="13" style="3200" customWidth="1"/>
    <col min="14" max="14" width="13.75" style="3199" customWidth="1"/>
    <col min="15" max="15" width="5.125" style="3199" customWidth="1"/>
    <col min="16" max="16" width="25.75" style="3199" customWidth="1"/>
    <col min="17" max="17" width="13.75" style="3199" customWidth="1"/>
    <col min="18" max="18" width="20.5" style="3199" customWidth="1"/>
    <col min="19" max="19" width="13.25" style="3199" customWidth="1"/>
    <col min="20" max="37" width="9" style="3199"/>
    <col min="38" max="16384" width="9" style="3200"/>
  </cols>
  <sheetData>
    <row r="1" spans="1:37" s="3189" customFormat="1" ht="21">
      <c r="A1" s="3178" t="s">
        <v>2974</v>
      </c>
      <c r="B1" s="3179"/>
      <c r="C1" s="3180"/>
      <c r="D1" s="3181"/>
      <c r="E1" s="3182" t="s">
        <v>2975</v>
      </c>
      <c r="F1" s="3183" t="b">
        <f>J53</f>
        <v>0</v>
      </c>
      <c r="G1" s="3184">
        <f>MATCH(C1,'[1]数据-取费表'!A6:A16,0)+5</f>
        <v>6</v>
      </c>
      <c r="H1" s="3185"/>
      <c r="I1" s="3186"/>
      <c r="J1" s="3186"/>
      <c r="K1" s="3187"/>
      <c r="L1" s="3186"/>
      <c r="M1" s="3186"/>
      <c r="N1" s="3188"/>
      <c r="O1" s="3188"/>
      <c r="P1" s="3188"/>
      <c r="Q1" s="3188"/>
      <c r="R1" s="3188"/>
      <c r="S1" s="3188"/>
      <c r="T1" s="3188"/>
      <c r="U1" s="3188"/>
      <c r="V1" s="3188"/>
      <c r="W1" s="3188"/>
      <c r="X1" s="3188"/>
      <c r="Y1" s="3188"/>
      <c r="Z1" s="3188"/>
      <c r="AA1" s="3188"/>
      <c r="AB1" s="3188"/>
      <c r="AC1" s="3188"/>
      <c r="AD1" s="3188"/>
      <c r="AE1" s="3188"/>
      <c r="AF1" s="3188"/>
      <c r="AG1" s="3188"/>
      <c r="AH1" s="3188"/>
      <c r="AI1" s="3188"/>
      <c r="AJ1" s="3188"/>
      <c r="AK1" s="3188"/>
    </row>
    <row r="2" spans="1:37" ht="18" customHeight="1">
      <c r="A2" s="3190" t="s">
        <v>2976</v>
      </c>
      <c r="B2" s="3191" t="e">
        <f ca="1">ROUND(D2/10000,0)</f>
        <v>#DIV/0!</v>
      </c>
      <c r="C2" s="3192" t="s">
        <v>2977</v>
      </c>
      <c r="D2" s="3193" t="e">
        <f ca="1">C40+J29+L46</f>
        <v>#DIV/0!</v>
      </c>
      <c r="E2" s="3194" t="s">
        <v>2978</v>
      </c>
      <c r="F2" s="3195"/>
      <c r="G2" s="3196"/>
      <c r="H2" s="3197"/>
      <c r="I2" s="3197"/>
      <c r="J2" s="3197"/>
      <c r="K2" s="3198"/>
      <c r="L2" s="3197"/>
      <c r="M2" s="3197"/>
    </row>
    <row r="3" spans="1:37" ht="18" customHeight="1" thickBot="1">
      <c r="A3" s="3201" t="s">
        <v>2979</v>
      </c>
      <c r="B3" s="3202">
        <f ca="1">IF(ISERROR(D2/F43),0,ROUND(D2/F43,0))</f>
        <v>0</v>
      </c>
      <c r="C3" s="3192" t="s">
        <v>2980</v>
      </c>
      <c r="D3" s="3192"/>
      <c r="E3" s="3194"/>
      <c r="F3" s="3195"/>
      <c r="G3" s="3196"/>
      <c r="H3" s="3203" t="s">
        <v>2981</v>
      </c>
      <c r="I3" s="3197"/>
      <c r="J3" s="3197"/>
      <c r="K3" s="3198"/>
      <c r="L3" s="3197"/>
      <c r="M3" s="3197"/>
    </row>
    <row r="4" spans="1:37" ht="18" customHeight="1">
      <c r="A4" s="3204" t="s">
        <v>2982</v>
      </c>
      <c r="B4" s="3205" t="s">
        <v>2983</v>
      </c>
      <c r="C4" s="3205" t="s">
        <v>2984</v>
      </c>
      <c r="D4" s="3205" t="s">
        <v>2985</v>
      </c>
      <c r="E4" s="3206" t="s">
        <v>2986</v>
      </c>
      <c r="F4" s="3207"/>
      <c r="G4" s="3208"/>
      <c r="H4" s="3204" t="s">
        <v>2987</v>
      </c>
      <c r="I4" s="3205" t="s">
        <v>2988</v>
      </c>
      <c r="J4" s="3205" t="s">
        <v>2989</v>
      </c>
      <c r="K4" s="3205" t="s">
        <v>2990</v>
      </c>
      <c r="L4" s="3206" t="s">
        <v>2986</v>
      </c>
      <c r="M4" s="3207"/>
    </row>
    <row r="5" spans="1:37" ht="18" customHeight="1">
      <c r="A5" s="3209">
        <v>1</v>
      </c>
      <c r="B5" s="3210" t="s">
        <v>2991</v>
      </c>
      <c r="C5" s="3211">
        <f ca="1">C6+C10+C12</f>
        <v>0</v>
      </c>
      <c r="D5" s="3212" t="s">
        <v>2992</v>
      </c>
      <c r="E5" s="3213"/>
      <c r="F5" s="3214"/>
      <c r="G5" s="3208"/>
      <c r="H5" s="3209">
        <v>1</v>
      </c>
      <c r="I5" s="3210" t="s">
        <v>2991</v>
      </c>
      <c r="J5" s="3211">
        <f ca="1">J6+J10+J12</f>
        <v>0</v>
      </c>
      <c r="K5" s="3212" t="s">
        <v>2992</v>
      </c>
      <c r="L5" s="3213"/>
      <c r="M5" s="3214"/>
    </row>
    <row r="6" spans="1:37" ht="18" customHeight="1">
      <c r="A6" s="3215" t="s">
        <v>2993</v>
      </c>
      <c r="B6" s="3555" t="s">
        <v>2994</v>
      </c>
      <c r="C6" s="3216">
        <f ca="1">ROUND(F6*F8*F7*(1-F9),0)</f>
        <v>0</v>
      </c>
      <c r="D6" s="3217" t="s">
        <v>2995</v>
      </c>
      <c r="E6" s="3218" t="s">
        <v>2996</v>
      </c>
      <c r="F6" s="3219">
        <f ca="1">INDIRECT("'数据-取费表'!u"&amp;$G$1)</f>
        <v>0</v>
      </c>
      <c r="G6" s="3208"/>
      <c r="H6" s="3215" t="s">
        <v>2993</v>
      </c>
      <c r="I6" s="3555" t="s">
        <v>2994</v>
      </c>
      <c r="J6" s="3220">
        <f ca="1">ROUND(M6*M8*M7*(1-M9),0)</f>
        <v>0</v>
      </c>
      <c r="K6" s="3221" t="s">
        <v>2997</v>
      </c>
      <c r="L6" s="3218" t="s">
        <v>2996</v>
      </c>
      <c r="M6" s="3219">
        <f ca="1">INDIRECT("'数据-取费表'!z"&amp;$G$1)</f>
        <v>0</v>
      </c>
    </row>
    <row r="7" spans="1:37" ht="18" customHeight="1">
      <c r="A7" s="3222"/>
      <c r="B7" s="3556"/>
      <c r="C7" s="3223"/>
      <c r="D7" s="3224"/>
      <c r="E7" s="3225" t="s">
        <v>2998</v>
      </c>
      <c r="F7" s="3219">
        <f ca="1">IF(INDIRECT("'数据-取费表'!ah"&amp;$G$1)="",INDIRECT("'数据-取费表'!k"&amp;$G$1),INDIRECT("'数据-取费表'!ah"&amp;$G$1))</f>
        <v>157403</v>
      </c>
      <c r="G7" s="3208"/>
      <c r="H7" s="3226"/>
      <c r="I7" s="3556"/>
      <c r="J7" s="3227"/>
      <c r="K7" s="3224"/>
      <c r="L7" s="3218" t="s">
        <v>2998</v>
      </c>
      <c r="M7" s="3219">
        <f ca="1">F7</f>
        <v>157403</v>
      </c>
    </row>
    <row r="8" spans="1:37" ht="18" customHeight="1">
      <c r="A8" s="3226"/>
      <c r="B8" s="3556"/>
      <c r="C8" s="3227"/>
      <c r="D8" s="3224"/>
      <c r="E8" s="3218" t="s">
        <v>2999</v>
      </c>
      <c r="F8" s="3219">
        <f ca="1">INDIRECT("'数据-取费表'!ai"&amp;$G$1)</f>
        <v>0</v>
      </c>
      <c r="G8" s="3208"/>
      <c r="H8" s="3226"/>
      <c r="I8" s="3556"/>
      <c r="J8" s="3227"/>
      <c r="K8" s="3224"/>
      <c r="L8" s="3218" t="s">
        <v>2999</v>
      </c>
      <c r="M8" s="3219">
        <f ca="1">INDIRECT("'数据-取费表'!ai"&amp;$G$1)</f>
        <v>0</v>
      </c>
    </row>
    <row r="9" spans="1:37" ht="18" customHeight="1">
      <c r="A9" s="3226"/>
      <c r="B9" s="3557"/>
      <c r="C9" s="3227"/>
      <c r="D9" s="3224"/>
      <c r="E9" s="3218" t="s">
        <v>3000</v>
      </c>
      <c r="F9" s="3228">
        <f ca="1">INDIRECT("'数据-取费表'!w"&amp;$G$1)</f>
        <v>0</v>
      </c>
      <c r="G9" s="3208"/>
      <c r="H9" s="3226"/>
      <c r="I9" s="3557"/>
      <c r="J9" s="3227"/>
      <c r="K9" s="3224"/>
      <c r="L9" s="3229" t="s">
        <v>3000</v>
      </c>
      <c r="M9" s="3230">
        <f ca="1">INDIRECT("'数据-取费表'!ab"&amp;$G$1)</f>
        <v>0</v>
      </c>
    </row>
    <row r="10" spans="1:37" ht="18" customHeight="1">
      <c r="A10" s="3215" t="s">
        <v>3001</v>
      </c>
      <c r="B10" s="3231" t="s">
        <v>3002</v>
      </c>
      <c r="C10" s="3232">
        <f>ROUND(IF(F10="押一",F6*F8*F7/12*F11,IF(F10="押二",F6*F8*F7/12*2*F11,IF(F10="押三",F6*F8*F7/12*3*F11,C11*F11))),0)</f>
        <v>0</v>
      </c>
      <c r="D10" s="3233" t="s">
        <v>3003</v>
      </c>
      <c r="E10" s="3229" t="s">
        <v>3004</v>
      </c>
      <c r="F10" s="3234"/>
      <c r="G10" s="3208"/>
      <c r="H10" s="3215" t="s">
        <v>3001</v>
      </c>
      <c r="I10" s="3231" t="s">
        <v>3002</v>
      </c>
      <c r="J10" s="3220">
        <f>ROUND(IF(M10="押一",M6*M8*M7/12*M11,IF(M10="押二",M6*M8*M7/12*2*M11,IF(M10="押三",M6*M8*M7/12*3*M11,J11*M11))),0)</f>
        <v>0</v>
      </c>
      <c r="K10" s="3235" t="s">
        <v>3005</v>
      </c>
      <c r="L10" s="3229" t="s">
        <v>3004</v>
      </c>
      <c r="M10" s="3234"/>
    </row>
    <row r="11" spans="1:37" ht="18" customHeight="1">
      <c r="A11" s="3236"/>
      <c r="B11" s="3237" t="s">
        <v>3006</v>
      </c>
      <c r="C11" s="3238"/>
      <c r="D11" s="3224"/>
      <c r="E11" s="3229" t="s">
        <v>3007</v>
      </c>
      <c r="F11" s="3230">
        <f>'[1]数据-取费表'!B39</f>
        <v>0</v>
      </c>
      <c r="G11" s="3208"/>
      <c r="H11" s="3239"/>
      <c r="I11" s="3237" t="s">
        <v>3008</v>
      </c>
      <c r="J11" s="3238"/>
      <c r="K11" s="3240"/>
      <c r="L11" s="3229" t="s">
        <v>3007</v>
      </c>
      <c r="M11" s="3241">
        <f>'[1]数据-取费表'!B39</f>
        <v>0</v>
      </c>
    </row>
    <row r="12" spans="1:37" ht="18" customHeight="1" thickBot="1">
      <c r="A12" s="3242" t="s">
        <v>3009</v>
      </c>
      <c r="B12" s="3243" t="s">
        <v>3010</v>
      </c>
      <c r="C12" s="3244"/>
      <c r="D12" s="3245"/>
      <c r="E12" s="3246"/>
      <c r="F12" s="3247"/>
      <c r="G12" s="3208"/>
      <c r="H12" s="3242" t="s">
        <v>3009</v>
      </c>
      <c r="I12" s="3243" t="s">
        <v>3010</v>
      </c>
      <c r="J12" s="3244"/>
      <c r="K12" s="3248"/>
      <c r="L12" s="3246"/>
      <c r="M12" s="3249"/>
    </row>
    <row r="13" spans="1:37" ht="18" customHeight="1" thickTop="1">
      <c r="A13" s="3250">
        <v>2</v>
      </c>
      <c r="B13" s="3251" t="s">
        <v>3011</v>
      </c>
      <c r="C13" s="3252">
        <f ca="1">ROUND(C29*F13,0)</f>
        <v>0</v>
      </c>
      <c r="D13" s="3253" t="s">
        <v>3012</v>
      </c>
      <c r="E13" s="3253" t="s">
        <v>3013</v>
      </c>
      <c r="F13" s="3254">
        <f ca="1">INDIRECT("'数据-取费表'!y"&amp;$G$1)</f>
        <v>0</v>
      </c>
      <c r="G13" s="3208"/>
      <c r="H13" s="3250">
        <v>2</v>
      </c>
      <c r="I13" s="3251" t="s">
        <v>3011</v>
      </c>
      <c r="J13" s="3255">
        <f ca="1">ROUND(J14*J15,0)</f>
        <v>0</v>
      </c>
      <c r="K13" s="3256" t="s">
        <v>3012</v>
      </c>
      <c r="L13" s="3257"/>
      <c r="M13" s="3258"/>
    </row>
    <row r="14" spans="1:37" ht="18" customHeight="1">
      <c r="A14" s="3259" t="s">
        <v>3014</v>
      </c>
      <c r="B14" s="3218" t="s">
        <v>3015</v>
      </c>
      <c r="C14" s="3260">
        <f ca="1">ROUND(INDIRECT("'数据-取费表'!l"&amp;$G$1)*F43+'[1]数据-取费表'!L14*INDIRECT("'数据-取费表'!S"&amp;$G$1),0)</f>
        <v>283325400</v>
      </c>
      <c r="D14" s="3261" t="s">
        <v>3016</v>
      </c>
      <c r="E14" s="3262"/>
      <c r="F14" s="3263"/>
      <c r="G14" s="3208"/>
      <c r="H14" s="3259" t="s">
        <v>3017</v>
      </c>
      <c r="I14" s="3218" t="s">
        <v>3018</v>
      </c>
      <c r="J14" s="3264">
        <f ca="1">C29</f>
        <v>311657940</v>
      </c>
      <c r="K14" s="3265"/>
      <c r="L14" s="3266"/>
      <c r="M14" s="3267"/>
    </row>
    <row r="15" spans="1:37" s="3276" customFormat="1" ht="18" customHeight="1" thickBot="1">
      <c r="A15" s="3259" t="s">
        <v>3019</v>
      </c>
      <c r="B15" s="3218" t="s">
        <v>3020</v>
      </c>
      <c r="C15" s="3264">
        <f ca="1">ROUND(C14*F15,0)</f>
        <v>0</v>
      </c>
      <c r="D15" s="3268" t="s">
        <v>3021</v>
      </c>
      <c r="E15" s="3268" t="s">
        <v>3022</v>
      </c>
      <c r="F15" s="3269">
        <f>'[1]数据-取费表'!B33</f>
        <v>0</v>
      </c>
      <c r="G15" s="3270"/>
      <c r="H15" s="3271" t="s">
        <v>3001</v>
      </c>
      <c r="I15" s="3246" t="s">
        <v>3013</v>
      </c>
      <c r="J15" s="3249">
        <f ca="1">INDIRECT("'数据-取费表'!ad"&amp;$G$1)</f>
        <v>0</v>
      </c>
      <c r="K15" s="3272"/>
      <c r="L15" s="3273"/>
      <c r="M15" s="3274"/>
      <c r="N15" s="3275"/>
      <c r="O15" s="3275"/>
      <c r="P15" s="3275"/>
      <c r="Q15" s="3275"/>
      <c r="R15" s="3275"/>
      <c r="S15" s="3275"/>
      <c r="T15" s="3275"/>
      <c r="U15" s="3275"/>
      <c r="V15" s="3275"/>
      <c r="W15" s="3275"/>
      <c r="X15" s="3275"/>
      <c r="Y15" s="3275"/>
      <c r="Z15" s="3275"/>
      <c r="AA15" s="3275"/>
      <c r="AB15" s="3275"/>
      <c r="AC15" s="3275"/>
      <c r="AD15" s="3275"/>
      <c r="AE15" s="3275"/>
      <c r="AF15" s="3275"/>
      <c r="AG15" s="3275"/>
      <c r="AH15" s="3275"/>
      <c r="AI15" s="3275"/>
      <c r="AJ15" s="3275"/>
      <c r="AK15" s="3275"/>
    </row>
    <row r="16" spans="1:37" ht="18" customHeight="1" thickTop="1">
      <c r="A16" s="3259" t="s">
        <v>3023</v>
      </c>
      <c r="B16" s="3218" t="s">
        <v>3024</v>
      </c>
      <c r="C16" s="3264">
        <f ca="1">ROUND(INDIRECT("'数据-取费表'!l"&amp;$G$1)*F43*F16,0)</f>
        <v>0</v>
      </c>
      <c r="D16" s="3218" t="s">
        <v>3025</v>
      </c>
      <c r="E16" s="3218" t="s">
        <v>3026</v>
      </c>
      <c r="F16" s="3277">
        <f ca="1">IF(INDIRECT("'数据-取费表'!c"&amp;$G$1)="住宅",'[1]数据-取费表'!B34,0)</f>
        <v>0</v>
      </c>
      <c r="G16" s="3208"/>
      <c r="H16" s="3250" t="s">
        <v>3027</v>
      </c>
      <c r="I16" s="3251" t="s">
        <v>3028</v>
      </c>
      <c r="J16" s="3252">
        <f ca="1">ROUND(J17+J22+J23+J24,0)</f>
        <v>2617927</v>
      </c>
      <c r="K16" s="3256" t="s">
        <v>3029</v>
      </c>
      <c r="L16" s="3278"/>
      <c r="M16" s="3214"/>
    </row>
    <row r="17" spans="1:37" s="3276" customFormat="1" ht="18" customHeight="1">
      <c r="A17" s="3259" t="s">
        <v>3030</v>
      </c>
      <c r="B17" s="3218" t="s">
        <v>3031</v>
      </c>
      <c r="C17" s="3264">
        <f ca="1">ROUND(F17*(F43+INDIRECT("'数据-取费表'!S"&amp;$G$1)),0)</f>
        <v>0</v>
      </c>
      <c r="D17" s="3218" t="s">
        <v>3032</v>
      </c>
      <c r="E17" s="3218" t="s">
        <v>3033</v>
      </c>
      <c r="F17" s="3279">
        <f>'[1]数据-取费表'!B35</f>
        <v>0</v>
      </c>
      <c r="G17" s="3270"/>
      <c r="H17" s="3259" t="s">
        <v>2993</v>
      </c>
      <c r="I17" s="3218" t="s">
        <v>3034</v>
      </c>
      <c r="J17" s="3264">
        <f ca="1">ROUND(IF([1]项目基本情况!B11="自然人",J5*M17,J18+J19+J20),0)</f>
        <v>2617927</v>
      </c>
      <c r="K17" s="3261" t="s">
        <v>3035</v>
      </c>
      <c r="L17" s="3280" t="s">
        <v>3036</v>
      </c>
      <c r="M17" s="3281">
        <f ca="1">IF([1]项目基本情况!B11="企业","",IF(INDIRECT("'数据-取费表'!c"&amp;$G$1)="住宅",5%,IF(M6*M7*M8/12/(1+'[1]数据-取费表'!C42)&gt;20000,12%,7%)))</f>
        <v>0.05</v>
      </c>
      <c r="N17" s="3275"/>
      <c r="O17" s="3275"/>
      <c r="P17" s="3275"/>
      <c r="Q17" s="3275"/>
      <c r="R17" s="3275"/>
      <c r="S17" s="3275"/>
      <c r="T17" s="3275"/>
      <c r="U17" s="3275"/>
      <c r="V17" s="3275"/>
      <c r="W17" s="3275"/>
      <c r="X17" s="3275"/>
      <c r="Y17" s="3275"/>
      <c r="Z17" s="3275"/>
      <c r="AA17" s="3275"/>
      <c r="AB17" s="3275"/>
      <c r="AC17" s="3275"/>
      <c r="AD17" s="3275"/>
      <c r="AE17" s="3275"/>
      <c r="AF17" s="3275"/>
      <c r="AG17" s="3275"/>
      <c r="AH17" s="3275"/>
      <c r="AI17" s="3275"/>
      <c r="AJ17" s="3275"/>
      <c r="AK17" s="3275"/>
    </row>
    <row r="18" spans="1:37" s="3276" customFormat="1" ht="18" customHeight="1">
      <c r="A18" s="3259" t="s">
        <v>3037</v>
      </c>
      <c r="B18" s="3218" t="s">
        <v>3038</v>
      </c>
      <c r="C18" s="3264">
        <f ca="1">ROUND(C14*F18,0)</f>
        <v>0</v>
      </c>
      <c r="D18" s="3218" t="s">
        <v>3021</v>
      </c>
      <c r="E18" s="3218" t="s">
        <v>3022</v>
      </c>
      <c r="F18" s="3277">
        <f>'[1]数据-取费表'!B36</f>
        <v>0</v>
      </c>
      <c r="G18" s="3270"/>
      <c r="H18" s="3259" t="s">
        <v>3014</v>
      </c>
      <c r="I18" s="3218" t="s">
        <v>3039</v>
      </c>
      <c r="J18" s="3264">
        <f ca="1">ROUND(J5*M18/(1+'[1]数据-取费表'!C42),0)</f>
        <v>0</v>
      </c>
      <c r="K18" s="3280" t="s">
        <v>3040</v>
      </c>
      <c r="L18" s="3218" t="s">
        <v>3026</v>
      </c>
      <c r="M18" s="3277">
        <f>'[1]数据-取费表'!B41</f>
        <v>0</v>
      </c>
      <c r="N18" s="3275"/>
      <c r="O18" s="3275"/>
      <c r="P18" s="3275"/>
      <c r="Q18" s="3275"/>
      <c r="R18" s="3275"/>
      <c r="S18" s="3275"/>
      <c r="T18" s="3275"/>
      <c r="U18" s="3275"/>
      <c r="V18" s="3275"/>
      <c r="W18" s="3275"/>
      <c r="X18" s="3275"/>
      <c r="Y18" s="3275"/>
      <c r="Z18" s="3275"/>
      <c r="AA18" s="3275"/>
      <c r="AB18" s="3275"/>
      <c r="AC18" s="3275"/>
      <c r="AD18" s="3275"/>
      <c r="AE18" s="3275"/>
      <c r="AF18" s="3275"/>
      <c r="AG18" s="3275"/>
      <c r="AH18" s="3275"/>
      <c r="AI18" s="3275"/>
      <c r="AJ18" s="3275"/>
      <c r="AK18" s="3275"/>
    </row>
    <row r="19" spans="1:37" ht="18" customHeight="1">
      <c r="A19" s="3259" t="s">
        <v>3017</v>
      </c>
      <c r="B19" s="3218" t="s">
        <v>3041</v>
      </c>
      <c r="C19" s="3264">
        <f ca="1">SUM(C14:C18)</f>
        <v>283325400</v>
      </c>
      <c r="D19" s="3282" t="s">
        <v>3042</v>
      </c>
      <c r="E19" s="3283"/>
      <c r="F19" s="3279"/>
      <c r="G19" s="3208"/>
      <c r="H19" s="3259" t="s">
        <v>3019</v>
      </c>
      <c r="I19" s="3218" t="s">
        <v>3043</v>
      </c>
      <c r="J19" s="3264">
        <f ca="1">IF(K19="按租金收入计税",ROUND(J5*M19,0),ROUND(C29*M19*0.7,0))</f>
        <v>2617927</v>
      </c>
      <c r="K19" s="3284" t="s">
        <v>3044</v>
      </c>
      <c r="L19" s="3218" t="s">
        <v>3022</v>
      </c>
      <c r="M19" s="3277">
        <f>IF(K19="按租金收入计税",'[1]数据-取费表'!B51,'[1]数据-取费表'!B50)</f>
        <v>1.2E-2</v>
      </c>
    </row>
    <row r="20" spans="1:37" s="3276" customFormat="1" ht="18" customHeight="1">
      <c r="A20" s="3259" t="s">
        <v>3001</v>
      </c>
      <c r="B20" s="3218" t="s">
        <v>3045</v>
      </c>
      <c r="C20" s="3264">
        <f ca="1">ROUND(C19*F20,0)</f>
        <v>0</v>
      </c>
      <c r="D20" s="3285" t="s">
        <v>3046</v>
      </c>
      <c r="E20" s="3218" t="s">
        <v>3022</v>
      </c>
      <c r="F20" s="3277">
        <f>'[1]数据-取费表'!B37</f>
        <v>0</v>
      </c>
      <c r="G20" s="3270"/>
      <c r="H20" s="3259" t="s">
        <v>3023</v>
      </c>
      <c r="I20" s="3217" t="s">
        <v>3047</v>
      </c>
      <c r="J20" s="3286">
        <f ca="1">ROUND(M20*M21,0)</f>
        <v>0</v>
      </c>
      <c r="K20" s="3287" t="s">
        <v>3048</v>
      </c>
      <c r="L20" s="3218" t="s">
        <v>3049</v>
      </c>
      <c r="M20" s="3288">
        <f>'[1]数据-取费表'!B52</f>
        <v>0</v>
      </c>
      <c r="N20" s="3275"/>
      <c r="O20" s="3275"/>
      <c r="P20" s="3275"/>
      <c r="Q20" s="3275"/>
      <c r="R20" s="3275"/>
      <c r="S20" s="3275"/>
      <c r="T20" s="3275"/>
      <c r="U20" s="3275"/>
      <c r="V20" s="3275"/>
      <c r="W20" s="3275"/>
      <c r="X20" s="3275"/>
      <c r="Y20" s="3275"/>
      <c r="Z20" s="3275"/>
      <c r="AA20" s="3275"/>
      <c r="AB20" s="3275"/>
      <c r="AC20" s="3275"/>
      <c r="AD20" s="3275"/>
      <c r="AE20" s="3275"/>
      <c r="AF20" s="3275"/>
      <c r="AG20" s="3275"/>
      <c r="AH20" s="3275"/>
      <c r="AI20" s="3275"/>
      <c r="AJ20" s="3275"/>
      <c r="AK20" s="3275"/>
    </row>
    <row r="21" spans="1:37" s="3276" customFormat="1" ht="18" customHeight="1">
      <c r="A21" s="3259" t="s">
        <v>3009</v>
      </c>
      <c r="B21" s="3218" t="s">
        <v>3050</v>
      </c>
      <c r="C21" s="3264" t="s">
        <v>3051</v>
      </c>
      <c r="D21" s="3285" t="s">
        <v>3052</v>
      </c>
      <c r="E21" s="3218" t="s">
        <v>3053</v>
      </c>
      <c r="F21" s="3277">
        <f>'[1]数据-取费表'!B38</f>
        <v>0</v>
      </c>
      <c r="G21" s="3270"/>
      <c r="H21" s="3289"/>
      <c r="I21" s="3290"/>
      <c r="J21" s="3291"/>
      <c r="K21" s="3292"/>
      <c r="L21" s="3218" t="s">
        <v>3054</v>
      </c>
      <c r="M21" s="3219">
        <f ca="1">INDIRECT("'数据-取费表'!r"&amp;$G$1)</f>
        <v>54654.39</v>
      </c>
      <c r="N21" s="3275"/>
      <c r="O21" s="3275"/>
      <c r="P21" s="3275"/>
      <c r="Q21" s="3275"/>
      <c r="R21" s="3275"/>
      <c r="S21" s="3275"/>
      <c r="T21" s="3275"/>
      <c r="U21" s="3275"/>
      <c r="V21" s="3275"/>
      <c r="W21" s="3275"/>
      <c r="X21" s="3275"/>
      <c r="Y21" s="3275"/>
      <c r="Z21" s="3275"/>
      <c r="AA21" s="3275"/>
      <c r="AB21" s="3275"/>
      <c r="AC21" s="3275"/>
      <c r="AD21" s="3275"/>
      <c r="AE21" s="3275"/>
      <c r="AF21" s="3275"/>
      <c r="AG21" s="3275"/>
      <c r="AH21" s="3275"/>
      <c r="AI21" s="3275"/>
      <c r="AJ21" s="3275"/>
      <c r="AK21" s="3275"/>
    </row>
    <row r="22" spans="1:37" ht="18" customHeight="1">
      <c r="A22" s="3259" t="s">
        <v>3055</v>
      </c>
      <c r="B22" s="3218" t="s">
        <v>3056</v>
      </c>
      <c r="C22" s="3264"/>
      <c r="D22" s="3282" t="str">
        <f>IF(F23&lt;=1,"单利计息。","复利计息。")&amp;"建造成本、管理费用、销售费用产生的利息。"</f>
        <v>单利计息。建造成本、管理费用、销售费用产生的利息。</v>
      </c>
      <c r="E22" s="3283"/>
      <c r="F22" s="3279"/>
      <c r="G22" s="3208"/>
      <c r="H22" s="3259" t="s">
        <v>3001</v>
      </c>
      <c r="I22" s="3218" t="s">
        <v>3057</v>
      </c>
      <c r="J22" s="3264">
        <f ca="1">ROUND(J14*M22,0)</f>
        <v>0</v>
      </c>
      <c r="K22" s="3280" t="s">
        <v>3058</v>
      </c>
      <c r="L22" s="3218" t="s">
        <v>3022</v>
      </c>
      <c r="M22" s="3293">
        <f ca="1">INDIRECT("'数据-取费表'!Ak"&amp;$G$1)</f>
        <v>0</v>
      </c>
    </row>
    <row r="23" spans="1:37" s="3276" customFormat="1" ht="18" customHeight="1">
      <c r="A23" s="3259" t="s">
        <v>3014</v>
      </c>
      <c r="B23" s="3218" t="s">
        <v>3059</v>
      </c>
      <c r="C23" s="3264">
        <f ca="1">IF('[1]数据-取费表'!B22&lt;=1,ROUND(C19*F24*F23/2,0)+ROUND(C20*F24*F23/2,0),ROUND(C19*(POWER((1+F24),F23/2)-1),0)+ROUND(C20*(POWER((1+F24),F23/2)-1),0))</f>
        <v>0</v>
      </c>
      <c r="D23" s="3294" t="str">
        <f>IF(F23&lt;=1,"(建造成本+管理费用)×利率×(建设周期÷2)","(建造成本+管理费用)×((1+利率)^(建设周期÷2)-1)")</f>
        <v>(建造成本+管理费用)×利率×(建设周期÷2)</v>
      </c>
      <c r="E23" s="3218" t="s">
        <v>3060</v>
      </c>
      <c r="F23" s="3288">
        <f>'[1]数据-取费表'!B20</f>
        <v>0</v>
      </c>
      <c r="G23" s="3270"/>
      <c r="H23" s="3259" t="s">
        <v>3009</v>
      </c>
      <c r="I23" s="3218" t="s">
        <v>3061</v>
      </c>
      <c r="J23" s="3264">
        <f ca="1">ROUND(J13*M23,0)</f>
        <v>0</v>
      </c>
      <c r="K23" s="3280" t="s">
        <v>3062</v>
      </c>
      <c r="L23" s="3218" t="s">
        <v>3022</v>
      </c>
      <c r="M23" s="3295">
        <f ca="1">INDIRECT("'数据-取费表'!Al"&amp;$G$1)</f>
        <v>0</v>
      </c>
      <c r="N23" s="3275"/>
      <c r="O23" s="3275"/>
      <c r="P23" s="3275"/>
      <c r="Q23" s="3275"/>
      <c r="R23" s="3275"/>
      <c r="S23" s="3275"/>
      <c r="T23" s="3275"/>
      <c r="U23" s="3275"/>
      <c r="V23" s="3275"/>
      <c r="W23" s="3275"/>
      <c r="X23" s="3275"/>
      <c r="Y23" s="3275"/>
      <c r="Z23" s="3275"/>
      <c r="AA23" s="3275"/>
      <c r="AB23" s="3275"/>
      <c r="AC23" s="3275"/>
      <c r="AD23" s="3275"/>
      <c r="AE23" s="3275"/>
      <c r="AF23" s="3275"/>
      <c r="AG23" s="3275"/>
      <c r="AH23" s="3275"/>
      <c r="AI23" s="3275"/>
      <c r="AJ23" s="3275"/>
      <c r="AK23" s="3275"/>
    </row>
    <row r="24" spans="1:37" s="3276" customFormat="1" ht="18" customHeight="1" thickBot="1">
      <c r="A24" s="3259" t="s">
        <v>3063</v>
      </c>
      <c r="B24" s="3218" t="s">
        <v>3064</v>
      </c>
      <c r="C24" s="3264">
        <f>ROUND(IF('[1]数据-取费表'!B22&lt;=1,F21*F24*F23/2,F21*(POWER((1+F24),F23/2)-1)),4)</f>
        <v>0</v>
      </c>
      <c r="D24" s="3294" t="str">
        <f>IF(F23&lt;=1,"销售费用×利率×(建设周期÷2)","销售费用×((1+利率)^(建设周期÷2)-1)")</f>
        <v>销售费用×利率×(建设周期÷2)</v>
      </c>
      <c r="E24" s="3218" t="s">
        <v>3065</v>
      </c>
      <c r="F24" s="3296">
        <f>'[1]数据-取费表'!B40</f>
        <v>0</v>
      </c>
      <c r="G24" s="3270"/>
      <c r="H24" s="3271" t="s">
        <v>3055</v>
      </c>
      <c r="I24" s="3246" t="s">
        <v>3045</v>
      </c>
      <c r="J24" s="3297">
        <f ca="1">ROUND(J5*M24,0)</f>
        <v>0</v>
      </c>
      <c r="K24" s="3298" t="s">
        <v>3066</v>
      </c>
      <c r="L24" s="3246" t="s">
        <v>3022</v>
      </c>
      <c r="M24" s="3247">
        <f ca="1">INDIRECT("'数据-取费表'!Am"&amp;$G$1)</f>
        <v>0</v>
      </c>
      <c r="N24" s="3275"/>
      <c r="O24" s="3275"/>
      <c r="P24" s="3275"/>
      <c r="Q24" s="3275"/>
      <c r="R24" s="3275"/>
      <c r="S24" s="3275"/>
      <c r="T24" s="3275"/>
      <c r="U24" s="3275"/>
      <c r="V24" s="3275"/>
      <c r="W24" s="3275"/>
      <c r="X24" s="3275"/>
      <c r="Y24" s="3275"/>
      <c r="Z24" s="3275"/>
      <c r="AA24" s="3275"/>
      <c r="AB24" s="3275"/>
      <c r="AC24" s="3275"/>
      <c r="AD24" s="3275"/>
      <c r="AE24" s="3275"/>
      <c r="AF24" s="3275"/>
      <c r="AG24" s="3275"/>
      <c r="AH24" s="3275"/>
      <c r="AI24" s="3275"/>
      <c r="AJ24" s="3275"/>
      <c r="AK24" s="3275"/>
    </row>
    <row r="25" spans="1:37" ht="18" customHeight="1" thickTop="1">
      <c r="A25" s="3259" t="s">
        <v>3067</v>
      </c>
      <c r="B25" s="3218" t="s">
        <v>3068</v>
      </c>
      <c r="C25" s="3264"/>
      <c r="D25" s="3282" t="s">
        <v>3069</v>
      </c>
      <c r="E25" s="3283"/>
      <c r="F25" s="3279"/>
      <c r="G25" s="3208"/>
      <c r="H25" s="3250" t="s">
        <v>3070</v>
      </c>
      <c r="I25" s="3299" t="s">
        <v>3071</v>
      </c>
      <c r="J25" s="3252">
        <f ca="1">J5-J16</f>
        <v>-2617927</v>
      </c>
      <c r="K25" s="3300" t="s">
        <v>3072</v>
      </c>
      <c r="L25" s="3301"/>
      <c r="M25" s="3302"/>
    </row>
    <row r="26" spans="1:37" ht="18" customHeight="1">
      <c r="A26" s="3259" t="s">
        <v>3014</v>
      </c>
      <c r="B26" s="3218" t="s">
        <v>3073</v>
      </c>
      <c r="C26" s="3264">
        <f ca="1">ROUND((C19+C20)*F26,0)</f>
        <v>28332540</v>
      </c>
      <c r="D26" s="3285" t="s">
        <v>3074</v>
      </c>
      <c r="E26" s="3229" t="s">
        <v>3075</v>
      </c>
      <c r="F26" s="3228">
        <f ca="1">INDIRECT("'数据-取费表'!q"&amp;$G$1)</f>
        <v>0.1</v>
      </c>
      <c r="G26" s="3208"/>
      <c r="H26" s="3209" t="s">
        <v>3076</v>
      </c>
      <c r="I26" s="3210" t="s">
        <v>3077</v>
      </c>
      <c r="J26" s="3220">
        <f ca="1">IF(J5&lt;&gt;0,ROUND(J25*(1-((1+M28)/(1+M26))^M27)/(M26-M28),0),0)</f>
        <v>0</v>
      </c>
      <c r="K26" s="3287" t="s">
        <v>3078</v>
      </c>
      <c r="L26" s="3218" t="s">
        <v>3079</v>
      </c>
      <c r="M26" s="3228">
        <f ca="1">INDIRECT("'数据-取费表'!I"&amp;$G$1)</f>
        <v>0.05</v>
      </c>
    </row>
    <row r="27" spans="1:37" ht="18" customHeight="1">
      <c r="A27" s="3259" t="s">
        <v>3063</v>
      </c>
      <c r="B27" s="3218" t="s">
        <v>3080</v>
      </c>
      <c r="C27" s="3264">
        <f ca="1">ROUND(F21*F26,4)</f>
        <v>0</v>
      </c>
      <c r="D27" s="3285" t="s">
        <v>3081</v>
      </c>
      <c r="E27" s="3268"/>
      <c r="F27" s="3269"/>
      <c r="G27" s="3208"/>
      <c r="H27" s="3226"/>
      <c r="I27" s="3303"/>
      <c r="J27" s="3227"/>
      <c r="K27" s="3304" t="s">
        <v>3082</v>
      </c>
      <c r="L27" s="3218" t="s">
        <v>3083</v>
      </c>
      <c r="M27" s="3305">
        <f ca="1">INDIRECT("'数据-取费表'!ag"&amp;$G$1)</f>
        <v>0</v>
      </c>
    </row>
    <row r="28" spans="1:37" s="3276" customFormat="1" ht="18" customHeight="1">
      <c r="A28" s="3259" t="s">
        <v>3084</v>
      </c>
      <c r="B28" s="3218" t="s">
        <v>3085</v>
      </c>
      <c r="C28" s="3264">
        <f>ROUND(F28/(1+'[1]数据-取费表'!C42),4)</f>
        <v>0</v>
      </c>
      <c r="D28" s="3285" t="s">
        <v>3086</v>
      </c>
      <c r="E28" s="3218" t="s">
        <v>3022</v>
      </c>
      <c r="F28" s="3277">
        <f>'[1]数据-取费表'!B41</f>
        <v>0</v>
      </c>
      <c r="G28" s="3270"/>
      <c r="H28" s="3236"/>
      <c r="I28" s="3306"/>
      <c r="J28" s="3252"/>
      <c r="K28" s="3292"/>
      <c r="L28" s="3218" t="s">
        <v>3087</v>
      </c>
      <c r="M28" s="3228">
        <f ca="1">INDIRECT("'数据-取费表'!aa"&amp;$G$1)</f>
        <v>0</v>
      </c>
      <c r="N28" s="3275"/>
      <c r="O28" s="3275"/>
      <c r="P28" s="3275"/>
      <c r="Q28" s="3275"/>
      <c r="R28" s="3275"/>
      <c r="S28" s="3275"/>
      <c r="T28" s="3275"/>
      <c r="U28" s="3275"/>
      <c r="V28" s="3275"/>
      <c r="W28" s="3275"/>
      <c r="X28" s="3275"/>
      <c r="Y28" s="3275"/>
      <c r="Z28" s="3275"/>
      <c r="AA28" s="3275"/>
      <c r="AB28" s="3275"/>
      <c r="AC28" s="3275"/>
      <c r="AD28" s="3275"/>
      <c r="AE28" s="3275"/>
      <c r="AF28" s="3275"/>
      <c r="AG28" s="3275"/>
      <c r="AH28" s="3275"/>
      <c r="AI28" s="3275"/>
      <c r="AJ28" s="3275"/>
      <c r="AK28" s="3275"/>
    </row>
    <row r="29" spans="1:37" s="3276" customFormat="1" ht="18" customHeight="1" thickBot="1">
      <c r="A29" s="3271" t="s">
        <v>3088</v>
      </c>
      <c r="B29" s="3246" t="s">
        <v>3089</v>
      </c>
      <c r="C29" s="3297">
        <f ca="1">ROUND((C19+C20+C23+C26)/(1-F21-C24-C27-C28),0)</f>
        <v>311657940</v>
      </c>
      <c r="D29" s="3298"/>
      <c r="E29" s="3246"/>
      <c r="F29" s="3307"/>
      <c r="G29" s="3270"/>
      <c r="H29" s="3308" t="s">
        <v>3090</v>
      </c>
      <c r="I29" s="3309" t="s">
        <v>3091</v>
      </c>
      <c r="J29" s="3310">
        <f ca="1">ROUND(J26/(1+F40)^F41,0)</f>
        <v>0</v>
      </c>
      <c r="K29" s="3311" t="s">
        <v>3092</v>
      </c>
      <c r="L29" s="3312"/>
      <c r="M29" s="3313">
        <f ca="1">INDIRECT("'数据-取费表'!k"&amp;$G$1)</f>
        <v>157403</v>
      </c>
      <c r="N29" s="3275"/>
      <c r="O29" s="3275"/>
      <c r="P29" s="3275"/>
      <c r="Q29" s="3275"/>
      <c r="R29" s="3275"/>
      <c r="S29" s="3275"/>
      <c r="T29" s="3275"/>
      <c r="U29" s="3275"/>
      <c r="V29" s="3275"/>
      <c r="W29" s="3275"/>
      <c r="X29" s="3275"/>
      <c r="Y29" s="3275"/>
      <c r="Z29" s="3275"/>
      <c r="AA29" s="3275"/>
      <c r="AB29" s="3275"/>
      <c r="AC29" s="3275"/>
      <c r="AD29" s="3275"/>
      <c r="AE29" s="3275"/>
      <c r="AF29" s="3275"/>
      <c r="AG29" s="3275"/>
      <c r="AH29" s="3275"/>
      <c r="AI29" s="3275"/>
      <c r="AJ29" s="3275"/>
      <c r="AK29" s="3275"/>
    </row>
    <row r="30" spans="1:37" ht="18" customHeight="1" thickTop="1">
      <c r="A30" s="3250" t="s">
        <v>3093</v>
      </c>
      <c r="B30" s="3251" t="s">
        <v>3028</v>
      </c>
      <c r="C30" s="3252">
        <f ca="1">ROUND(C31+C36+C37+C38,0)</f>
        <v>2617927</v>
      </c>
      <c r="D30" s="3256" t="s">
        <v>3029</v>
      </c>
      <c r="E30" s="3278"/>
      <c r="F30" s="3214"/>
      <c r="G30" s="3208"/>
      <c r="H30" s="3314"/>
      <c r="I30" s="3315"/>
      <c r="J30" s="3316"/>
      <c r="K30" s="3240"/>
      <c r="L30" s="3317"/>
      <c r="M30" s="3318"/>
    </row>
    <row r="31" spans="1:37" ht="18" customHeight="1">
      <c r="A31" s="3259" t="s">
        <v>2993</v>
      </c>
      <c r="B31" s="3218" t="s">
        <v>3034</v>
      </c>
      <c r="C31" s="3264">
        <f ca="1">ROUND(IF([1]项目基本情况!B11="自然人",C5*F31,C32+C33+C34),0)</f>
        <v>2617927</v>
      </c>
      <c r="D31" s="3261" t="s">
        <v>3035</v>
      </c>
      <c r="E31" s="3280" t="s">
        <v>3036</v>
      </c>
      <c r="F31" s="3281">
        <f ca="1">IF([1]项目基本情况!B11="企业","",IF(INDIRECT("'数据-取费表'!c"&amp;$G$1)="住宅",5%,IF(F6*F7*F8/12/(1+'[1]数据-取费表'!C42)&gt;20000,12%,7%)))</f>
        <v>0.05</v>
      </c>
      <c r="G31" s="3208"/>
      <c r="H31" s="3314"/>
      <c r="I31" s="3315"/>
      <c r="J31" s="3316"/>
      <c r="K31" s="3240"/>
      <c r="L31" s="3317"/>
      <c r="M31" s="3318"/>
    </row>
    <row r="32" spans="1:37" ht="18" customHeight="1">
      <c r="A32" s="3259" t="s">
        <v>3014</v>
      </c>
      <c r="B32" s="3218" t="s">
        <v>3094</v>
      </c>
      <c r="C32" s="3264">
        <f ca="1">IF([1]项目基本情况!B11="自然人","——",ROUND(C5*F32/(1+'[1]数据-取费表'!C42),0))</f>
        <v>0</v>
      </c>
      <c r="D32" s="3280" t="s">
        <v>3095</v>
      </c>
      <c r="E32" s="3218" t="s">
        <v>3022</v>
      </c>
      <c r="F32" s="3296">
        <f>'[1]数据-取费表'!B41</f>
        <v>0</v>
      </c>
      <c r="G32" s="3208"/>
      <c r="H32" s="3314"/>
      <c r="I32" s="3315"/>
      <c r="J32" s="3316"/>
      <c r="K32" s="3240"/>
      <c r="L32" s="3317"/>
      <c r="M32" s="3318"/>
    </row>
    <row r="33" spans="1:18" ht="18" customHeight="1">
      <c r="A33" s="3259" t="s">
        <v>3063</v>
      </c>
      <c r="B33" s="3218" t="s">
        <v>3043</v>
      </c>
      <c r="C33" s="3264">
        <f ca="1">IF([1]项目基本情况!B11="自然人","——",IF(D33="按租金收入计税",ROUND(C5*F33,0),IF(D33="按房产原值计税",ROUND(C29*F33*0.7,0),INDIRECT("'数据-取费表'!Aj"&amp;$G$1))))</f>
        <v>2617927</v>
      </c>
      <c r="D33" s="3284" t="s">
        <v>3044</v>
      </c>
      <c r="E33" s="3218" t="s">
        <v>3022</v>
      </c>
      <c r="F33" s="3277">
        <f>IF(D33="按票据","——",IF(D33="按租金收入计税",'[1]数据-取费表'!B51,'[1]数据-取费表'!B50))</f>
        <v>1.2E-2</v>
      </c>
      <c r="G33" s="3208"/>
      <c r="H33" s="3319"/>
      <c r="I33" s="3320"/>
      <c r="J33" s="3321"/>
      <c r="K33" s="3322"/>
      <c r="L33" s="3319"/>
      <c r="M33" s="3319"/>
    </row>
    <row r="34" spans="1:18" ht="18" customHeight="1">
      <c r="A34" s="3215" t="s">
        <v>3023</v>
      </c>
      <c r="B34" s="3217" t="s">
        <v>3047</v>
      </c>
      <c r="C34" s="3286">
        <f ca="1">IF([1]项目基本情况!B11="自然人","——",ROUND(F34*F35,))</f>
        <v>0</v>
      </c>
      <c r="D34" s="3287" t="s">
        <v>3048</v>
      </c>
      <c r="E34" s="3218" t="s">
        <v>3049</v>
      </c>
      <c r="F34" s="3288">
        <f>'[1]数据-取费表'!B52</f>
        <v>0</v>
      </c>
      <c r="G34" s="3208"/>
      <c r="H34" s="3314"/>
      <c r="I34" s="3320"/>
      <c r="J34" s="3321"/>
      <c r="K34" s="3323"/>
      <c r="L34" s="3324"/>
      <c r="M34" s="3324"/>
    </row>
    <row r="35" spans="1:18" ht="18" customHeight="1">
      <c r="A35" s="3325"/>
      <c r="B35" s="3326"/>
      <c r="C35" s="3291"/>
      <c r="D35" s="3292"/>
      <c r="E35" s="3218" t="s">
        <v>3054</v>
      </c>
      <c r="F35" s="3219">
        <f ca="1">INDIRECT("'数据-取费表'!r"&amp;$G$1)</f>
        <v>54654.39</v>
      </c>
      <c r="G35" s="3208"/>
      <c r="H35" s="3314"/>
      <c r="I35" s="3320"/>
      <c r="J35" s="3321"/>
      <c r="K35" s="3322"/>
      <c r="L35" s="3319"/>
      <c r="M35" s="3319"/>
    </row>
    <row r="36" spans="1:18" ht="18" customHeight="1">
      <c r="A36" s="3327" t="s">
        <v>3001</v>
      </c>
      <c r="B36" s="3218" t="s">
        <v>3057</v>
      </c>
      <c r="C36" s="3264">
        <f ca="1">ROUND(C29*F36,0)</f>
        <v>0</v>
      </c>
      <c r="D36" s="3280" t="s">
        <v>3096</v>
      </c>
      <c r="E36" s="3218" t="s">
        <v>3022</v>
      </c>
      <c r="F36" s="3293">
        <f ca="1">INDIRECT("'数据-取费表'!Ak"&amp;$G$1)</f>
        <v>0</v>
      </c>
      <c r="G36" s="3208"/>
      <c r="H36" s="3319"/>
      <c r="I36" s="3320"/>
      <c r="J36" s="3321"/>
      <c r="K36" s="3328"/>
      <c r="L36" s="3319"/>
      <c r="M36" s="3319"/>
    </row>
    <row r="37" spans="1:18" ht="18" customHeight="1">
      <c r="A37" s="3259" t="s">
        <v>3009</v>
      </c>
      <c r="B37" s="3218" t="s">
        <v>3061</v>
      </c>
      <c r="C37" s="3264">
        <f ca="1">ROUND(C13*F37,0)</f>
        <v>0</v>
      </c>
      <c r="D37" s="3280" t="s">
        <v>3062</v>
      </c>
      <c r="E37" s="3218" t="s">
        <v>3022</v>
      </c>
      <c r="F37" s="3295">
        <f ca="1">INDIRECT("'数据-取费表'!Al"&amp;$G$1)</f>
        <v>0</v>
      </c>
      <c r="G37" s="3208"/>
      <c r="H37" s="3319"/>
      <c r="I37" s="3320"/>
      <c r="J37" s="3321"/>
      <c r="K37" s="3328"/>
      <c r="L37" s="3319"/>
      <c r="M37" s="3319"/>
    </row>
    <row r="38" spans="1:18" ht="18" customHeight="1" thickBot="1">
      <c r="A38" s="3271" t="s">
        <v>3055</v>
      </c>
      <c r="B38" s="3246" t="s">
        <v>3045</v>
      </c>
      <c r="C38" s="3297">
        <f ca="1">ROUND(C5*F38,1)</f>
        <v>0</v>
      </c>
      <c r="D38" s="3298" t="s">
        <v>3066</v>
      </c>
      <c r="E38" s="3246" t="s">
        <v>3022</v>
      </c>
      <c r="F38" s="3247">
        <f ca="1">INDIRECT("'数据-取费表'!Am"&amp;$G$1)</f>
        <v>0</v>
      </c>
      <c r="G38" s="3208"/>
      <c r="H38" s="3319"/>
      <c r="I38" s="3320"/>
      <c r="J38" s="3321"/>
      <c r="K38" s="3329"/>
      <c r="L38" s="3319"/>
      <c r="M38" s="3319"/>
    </row>
    <row r="39" spans="1:18" ht="24.6" customHeight="1" thickTop="1">
      <c r="A39" s="3250" t="s">
        <v>3070</v>
      </c>
      <c r="B39" s="3299" t="s">
        <v>3071</v>
      </c>
      <c r="C39" s="3252">
        <f ca="1">C5-C30</f>
        <v>-2617927</v>
      </c>
      <c r="D39" s="3300" t="s">
        <v>3072</v>
      </c>
      <c r="E39" s="3301"/>
      <c r="F39" s="3302"/>
      <c r="G39" s="3208"/>
      <c r="H39" s="3319"/>
      <c r="I39" s="3320"/>
      <c r="J39" s="3321"/>
      <c r="K39" s="3329"/>
      <c r="L39" s="3319"/>
      <c r="M39" s="3319"/>
    </row>
    <row r="40" spans="1:18" ht="18" customHeight="1">
      <c r="A40" s="3209" t="s">
        <v>3076</v>
      </c>
      <c r="B40" s="3210" t="s">
        <v>3097</v>
      </c>
      <c r="C40" s="3220">
        <f ca="1">ROUND(C39*(1-((1+F42)/(1+F40))^F41)/(F40-F42),0)</f>
        <v>0</v>
      </c>
      <c r="D40" s="3287" t="s">
        <v>3078</v>
      </c>
      <c r="E40" s="3218" t="s">
        <v>3079</v>
      </c>
      <c r="F40" s="3228">
        <f ca="1">INDIRECT("'数据-取费表'!I"&amp;$G$1)</f>
        <v>0.05</v>
      </c>
      <c r="G40" s="3208"/>
      <c r="H40" s="3330"/>
      <c r="I40" s="3320"/>
      <c r="J40" s="3321"/>
      <c r="K40" s="3329"/>
      <c r="L40" s="3330"/>
      <c r="M40" s="3330"/>
    </row>
    <row r="41" spans="1:18" ht="18" customHeight="1">
      <c r="A41" s="3226"/>
      <c r="B41" s="3303"/>
      <c r="C41" s="3227"/>
      <c r="D41" s="3304" t="s">
        <v>3082</v>
      </c>
      <c r="E41" s="3218" t="s">
        <v>3083</v>
      </c>
      <c r="F41" s="3305">
        <f ca="1">IF(INDIRECT("'数据-取费表'!af"&amp;$G$1)=0,INDIRECT("'数据-取费表'!ae"&amp;$G$1),INDIRECT("'数据-取费表'!af"&amp;$G$1))</f>
        <v>0</v>
      </c>
      <c r="G41" s="3208"/>
      <c r="H41" s="3331"/>
      <c r="I41" s="3320"/>
      <c r="J41" s="3321"/>
      <c r="K41" s="3328"/>
      <c r="L41" s="3331"/>
      <c r="M41" s="3331"/>
    </row>
    <row r="42" spans="1:18" ht="18" customHeight="1">
      <c r="A42" s="3236"/>
      <c r="B42" s="3306"/>
      <c r="C42" s="3252"/>
      <c r="D42" s="3292"/>
      <c r="E42" s="3218" t="s">
        <v>3087</v>
      </c>
      <c r="F42" s="3228">
        <f ca="1">INDIRECT("'数据-取费表'!v"&amp;$G$1)</f>
        <v>0</v>
      </c>
      <c r="G42" s="3208"/>
      <c r="H42" s="3331"/>
      <c r="I42" s="3320"/>
      <c r="J42" s="3321"/>
      <c r="K42" s="3328"/>
      <c r="L42" s="3331"/>
      <c r="M42" s="3331"/>
    </row>
    <row r="43" spans="1:18" ht="18" customHeight="1" thickBot="1">
      <c r="A43" s="3308" t="s">
        <v>3090</v>
      </c>
      <c r="B43" s="3309" t="s">
        <v>3098</v>
      </c>
      <c r="C43" s="3310">
        <f ca="1">ROUND(C40/F43,0)</f>
        <v>0</v>
      </c>
      <c r="D43" s="3311" t="s">
        <v>3099</v>
      </c>
      <c r="E43" s="3312" t="s">
        <v>3100</v>
      </c>
      <c r="F43" s="3313">
        <f ca="1">INDIRECT("'数据-取费表'!k"&amp;$G$1)</f>
        <v>157403</v>
      </c>
      <c r="G43" s="3208"/>
      <c r="H43" s="3331"/>
      <c r="I43" s="3331"/>
      <c r="J43" s="3331"/>
      <c r="K43" s="3328"/>
      <c r="L43" s="3331"/>
      <c r="M43" s="3331"/>
    </row>
    <row r="44" spans="1:18" s="3199" customFormat="1" ht="18" customHeight="1">
      <c r="A44" s="3332"/>
      <c r="B44" s="3332"/>
      <c r="C44" s="3333"/>
      <c r="D44" s="3332"/>
      <c r="E44" s="3332"/>
      <c r="F44" s="3332"/>
      <c r="K44" s="3334"/>
    </row>
    <row r="45" spans="1:18" s="3199" customFormat="1" ht="18" customHeight="1" thickBot="1">
      <c r="A45" s="3332"/>
      <c r="B45" s="3332"/>
      <c r="C45" s="3335">
        <f ca="1">C68-C40</f>
        <v>0</v>
      </c>
      <c r="D45" s="3336" t="s">
        <v>3101</v>
      </c>
      <c r="E45" s="3332"/>
      <c r="F45" s="3332"/>
      <c r="O45" s="3337" t="s">
        <v>3102</v>
      </c>
      <c r="P45" s="3330"/>
      <c r="Q45" s="3330"/>
      <c r="R45" s="3330"/>
    </row>
    <row r="46" spans="1:18" s="3199" customFormat="1" ht="13.5" thickBot="1">
      <c r="A46" s="3338" t="s">
        <v>3103</v>
      </c>
      <c r="C46" s="3339">
        <f ca="1">ROUND(C45/10000,0)</f>
        <v>0</v>
      </c>
      <c r="D46" s="3340" t="str">
        <f>C2</f>
        <v>万元</v>
      </c>
      <c r="I46" s="3341" t="s">
        <v>3104</v>
      </c>
      <c r="J46" s="3342"/>
      <c r="K46" s="3343"/>
      <c r="L46" s="3344" t="e">
        <f ca="1">IF(M47="住宅",0,IF(L48&gt;J51,L60,J60))</f>
        <v>#DIV/0!</v>
      </c>
      <c r="O46" s="3345" t="s">
        <v>3105</v>
      </c>
      <c r="P46" s="3346" t="s">
        <v>3106</v>
      </c>
      <c r="Q46" s="3347" t="s">
        <v>3107</v>
      </c>
      <c r="R46" s="3347" t="s">
        <v>3108</v>
      </c>
    </row>
    <row r="47" spans="1:18" s="3199" customFormat="1" ht="13.5" thickBot="1">
      <c r="A47" s="3348" t="s">
        <v>2987</v>
      </c>
      <c r="B47" s="3349" t="s">
        <v>2988</v>
      </c>
      <c r="C47" s="3349" t="s">
        <v>2989</v>
      </c>
      <c r="D47" s="3349" t="s">
        <v>2990</v>
      </c>
      <c r="E47" s="3350" t="s">
        <v>2986</v>
      </c>
      <c r="F47" s="3351"/>
      <c r="G47" s="3352"/>
      <c r="I47" s="3353" t="s">
        <v>3109</v>
      </c>
      <c r="J47" s="3354"/>
      <c r="K47" s="3355" t="s">
        <v>3110</v>
      </c>
      <c r="L47" s="3356">
        <f ca="1">INDIRECT("'数据-取费表'!d"&amp;$G$1)</f>
        <v>70</v>
      </c>
      <c r="M47" s="3357" t="str">
        <f>IF(ISNUMBER(FIND("住宅",C1)),"住宅","非住宅")</f>
        <v>非住宅</v>
      </c>
      <c r="O47" s="3358" t="s">
        <v>2383</v>
      </c>
      <c r="P47" s="3359" t="s">
        <v>3111</v>
      </c>
      <c r="Q47" s="3360">
        <f ca="1">C40+J29</f>
        <v>0</v>
      </c>
      <c r="R47" s="3360" t="s">
        <v>3112</v>
      </c>
    </row>
    <row r="48" spans="1:18" s="3199" customFormat="1" ht="28.5" thickBot="1">
      <c r="A48" s="3361" t="s">
        <v>3113</v>
      </c>
      <c r="B48" s="3210" t="s">
        <v>2991</v>
      </c>
      <c r="C48" s="3362">
        <f ca="1">C49+C53+C55</f>
        <v>0</v>
      </c>
      <c r="D48" s="3363"/>
      <c r="E48" s="3364"/>
      <c r="F48" s="3365"/>
      <c r="G48" s="3352"/>
      <c r="H48" s="3366"/>
      <c r="I48" s="3367" t="s">
        <v>3114</v>
      </c>
      <c r="J48" s="3368"/>
      <c r="K48" s="3369" t="s">
        <v>3115</v>
      </c>
      <c r="L48" s="3370">
        <f ca="1">INDIRECT("'数据-取费表'!f"&amp;$G$1)</f>
        <v>62.63</v>
      </c>
      <c r="O48" s="3358" t="s">
        <v>2385</v>
      </c>
      <c r="P48" s="3359" t="s">
        <v>3116</v>
      </c>
      <c r="Q48" s="3360" t="str">
        <f ca="1">J60</f>
        <v>0</v>
      </c>
      <c r="R48" s="3360" t="s">
        <v>3117</v>
      </c>
    </row>
    <row r="49" spans="1:18" s="3199" customFormat="1" ht="13.5" thickBot="1">
      <c r="A49" s="3371" t="s">
        <v>3118</v>
      </c>
      <c r="B49" s="3372" t="s">
        <v>3119</v>
      </c>
      <c r="C49" s="3373">
        <f ca="1">ROUND(F49*F51*F50*(1-F52),0)</f>
        <v>0</v>
      </c>
      <c r="D49" s="3374" t="s">
        <v>3120</v>
      </c>
      <c r="E49" s="3375" t="s">
        <v>3121</v>
      </c>
      <c r="F49" s="3376"/>
      <c r="G49" s="3377"/>
      <c r="H49" s="3366"/>
      <c r="I49" s="3367" t="s">
        <v>3122</v>
      </c>
      <c r="J49" s="3378"/>
      <c r="K49" s="3369" t="s">
        <v>3123</v>
      </c>
      <c r="L49" s="3379"/>
      <c r="O49" s="3380" t="s">
        <v>2387</v>
      </c>
      <c r="P49" s="3359" t="s">
        <v>3124</v>
      </c>
      <c r="Q49" s="3360">
        <f ca="1">C29</f>
        <v>311657940</v>
      </c>
      <c r="R49" s="3360" t="s">
        <v>3112</v>
      </c>
    </row>
    <row r="50" spans="1:18" s="3199" customFormat="1" ht="13.5" thickBot="1">
      <c r="A50" s="3381"/>
      <c r="B50" s="3382"/>
      <c r="C50" s="3383"/>
      <c r="D50" s="3384"/>
      <c r="E50" s="3385" t="s">
        <v>2998</v>
      </c>
      <c r="F50" s="3386">
        <f ca="1">F7</f>
        <v>157403</v>
      </c>
      <c r="H50" s="3366"/>
      <c r="I50" s="3367" t="s">
        <v>3125</v>
      </c>
      <c r="J50" s="3387">
        <f>SUMPRODUCT((I63:I65=J47)*(J62:L62=J48)*(J63:L65))</f>
        <v>0</v>
      </c>
      <c r="K50" s="3369" t="s">
        <v>3126</v>
      </c>
      <c r="L50" s="3379"/>
      <c r="M50" s="3388"/>
      <c r="O50" s="3380" t="s">
        <v>2388</v>
      </c>
      <c r="P50" s="3359" t="s">
        <v>3127</v>
      </c>
      <c r="Q50" s="3389" t="e">
        <f ca="1">J58</f>
        <v>#VALUE!</v>
      </c>
      <c r="R50" s="3360"/>
    </row>
    <row r="51" spans="1:18" s="3199" customFormat="1" ht="13.5" thickBot="1">
      <c r="A51" s="3390"/>
      <c r="B51" s="3382"/>
      <c r="C51" s="3383"/>
      <c r="D51" s="3384"/>
      <c r="E51" s="3391" t="s">
        <v>2999</v>
      </c>
      <c r="F51" s="3219">
        <f ca="1">F8</f>
        <v>0</v>
      </c>
      <c r="I51" s="3392" t="s">
        <v>3128</v>
      </c>
      <c r="J51" s="3393">
        <f>IF(J49="",J50,J49+J50-YEAR('[1]数据-取费表'!B2))</f>
        <v>0</v>
      </c>
      <c r="K51" s="3394" t="s">
        <v>3129</v>
      </c>
      <c r="L51" s="3395">
        <f ca="1">ROUND(-PV(INDIRECT("'数据-取费表'!h"&amp;$G$1),L48,(C39-C13*C76),0),0)</f>
        <v>-54482199</v>
      </c>
      <c r="M51" s="3396"/>
      <c r="O51" s="3380" t="s">
        <v>2390</v>
      </c>
      <c r="P51" s="3359" t="s">
        <v>3130</v>
      </c>
      <c r="Q51" s="3389">
        <f>J52</f>
        <v>0</v>
      </c>
      <c r="R51" s="3360"/>
    </row>
    <row r="52" spans="1:18" s="3199" customFormat="1" ht="13.5" thickBot="1">
      <c r="A52" s="3390"/>
      <c r="B52" s="3382"/>
      <c r="C52" s="3383"/>
      <c r="D52" s="3384"/>
      <c r="E52" s="3391" t="s">
        <v>3000</v>
      </c>
      <c r="F52" s="3397"/>
      <c r="I52" s="3398" t="s">
        <v>3131</v>
      </c>
      <c r="J52" s="3399"/>
      <c r="K52" s="3398" t="s">
        <v>3132</v>
      </c>
      <c r="L52" s="3399"/>
      <c r="O52" s="3380" t="s">
        <v>2392</v>
      </c>
      <c r="P52" s="3359" t="s">
        <v>3133</v>
      </c>
      <c r="Q52" s="3360" t="b">
        <f>J53</f>
        <v>0</v>
      </c>
      <c r="R52" s="3360" t="s">
        <v>3134</v>
      </c>
    </row>
    <row r="53" spans="1:18" s="3199" customFormat="1" ht="30.75" customHeight="1" thickBot="1">
      <c r="A53" s="3400" t="s">
        <v>3135</v>
      </c>
      <c r="B53" s="3285" t="s">
        <v>3002</v>
      </c>
      <c r="C53" s="3232">
        <f>ROUND(IF(F53="押一",F49*F51*F50/12*F11,IF(F53="押二",F49*F51*F50/12*2*F11,IF(F53="押三",F49*F51*F50/12*3*F11,C54*F11))),0)</f>
        <v>0</v>
      </c>
      <c r="D53" s="3233" t="s">
        <v>3136</v>
      </c>
      <c r="E53" s="3229" t="s">
        <v>3004</v>
      </c>
      <c r="F53" s="3234"/>
      <c r="I53" s="3401" t="s">
        <v>3137</v>
      </c>
      <c r="J53" s="3402" t="b">
        <f>IF(M47="住宅",J51,IF(D1="——",MIN(J51,L48),IF(D1="在建（套用方法）",MIN(J51,L48-'[1]数据-取费表'!B24),IF(D1="土地（套用方法）",MIN(J51,L48-'[1]数据-取费表'!B20)))))</f>
        <v>0</v>
      </c>
      <c r="K53" s="3558" t="s">
        <v>3138</v>
      </c>
      <c r="L53" s="3559"/>
      <c r="O53" s="3358" t="s">
        <v>2395</v>
      </c>
      <c r="P53" s="3359" t="s">
        <v>3139</v>
      </c>
      <c r="Q53" s="3360">
        <f ca="1">Q47+Q48</f>
        <v>0</v>
      </c>
      <c r="R53" s="3360" t="s">
        <v>2396</v>
      </c>
    </row>
    <row r="54" spans="1:18" s="3199" customFormat="1" ht="13.5" thickBot="1">
      <c r="A54" s="3371"/>
      <c r="B54" s="3403" t="s">
        <v>3008</v>
      </c>
      <c r="C54" s="3238"/>
      <c r="D54" s="3233"/>
      <c r="E54" s="3404"/>
      <c r="F54" s="3405"/>
      <c r="I54" s="3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7"/>
      <c r="K54" s="3407"/>
      <c r="L54" s="3407"/>
      <c r="M54" s="3377"/>
      <c r="O54" s="3337" t="s">
        <v>3140</v>
      </c>
      <c r="P54" s="3330"/>
      <c r="Q54" s="3330"/>
      <c r="R54" s="3330"/>
    </row>
    <row r="55" spans="1:18" s="3199" customFormat="1" ht="13.5" thickBot="1">
      <c r="A55" s="3242" t="s">
        <v>3009</v>
      </c>
      <c r="B55" s="3243" t="s">
        <v>3010</v>
      </c>
      <c r="C55" s="3244"/>
      <c r="D55" s="3233"/>
      <c r="E55" s="3404"/>
      <c r="F55" s="3405"/>
      <c r="I55" s="3408" t="s">
        <v>3141</v>
      </c>
      <c r="J55" s="3409" t="e">
        <f ca="1">ROUND(IF(J47="钢混",J57/J50,1-(1-2%)*(J50-J57)/J50),3)</f>
        <v>#VALUE!</v>
      </c>
      <c r="K55" s="3410" t="s">
        <v>3142</v>
      </c>
      <c r="L55" s="3411"/>
      <c r="O55" s="3345" t="s">
        <v>3105</v>
      </c>
      <c r="P55" s="3346" t="s">
        <v>3106</v>
      </c>
      <c r="Q55" s="3347" t="s">
        <v>3107</v>
      </c>
      <c r="R55" s="3347" t="s">
        <v>3108</v>
      </c>
    </row>
    <row r="56" spans="1:18" s="3199" customFormat="1" ht="36" customHeight="1" thickTop="1" thickBot="1">
      <c r="A56" s="3412">
        <v>2</v>
      </c>
      <c r="B56" s="3413" t="s">
        <v>3011</v>
      </c>
      <c r="C56" s="3414">
        <f ca="1">C13</f>
        <v>0</v>
      </c>
      <c r="D56" s="3415"/>
      <c r="E56" s="3416"/>
      <c r="F56" s="3405"/>
      <c r="I56" s="3417" t="s">
        <v>3143</v>
      </c>
      <c r="J56" s="3418"/>
      <c r="K56" s="3367" t="s">
        <v>3144</v>
      </c>
      <c r="L56" s="3370">
        <f ca="1">IF(L48&lt;J51,"——",L48-J51)</f>
        <v>62.63</v>
      </c>
      <c r="O56" s="3358" t="s">
        <v>2383</v>
      </c>
      <c r="P56" s="3359" t="s">
        <v>3111</v>
      </c>
      <c r="Q56" s="3360">
        <f ca="1">C40+J29</f>
        <v>0</v>
      </c>
      <c r="R56" s="3360" t="s">
        <v>3112</v>
      </c>
    </row>
    <row r="57" spans="1:18" s="3199" customFormat="1" ht="24.75" thickBot="1">
      <c r="A57" s="3419"/>
      <c r="B57" s="3420" t="s">
        <v>3089</v>
      </c>
      <c r="C57" s="3421">
        <f ca="1">C29</f>
        <v>311657940</v>
      </c>
      <c r="D57" s="3422"/>
      <c r="E57" s="3423"/>
      <c r="F57" s="3424"/>
      <c r="I57" s="3425" t="s">
        <v>3145</v>
      </c>
      <c r="J57" s="3426" t="str">
        <f ca="1">IF(OR(M47="住宅",J51&lt;L48,J56="是"),"——",J51-L48)</f>
        <v>——</v>
      </c>
      <c r="K57" s="3367" t="s">
        <v>3146</v>
      </c>
      <c r="L57" s="3370">
        <f ca="1">IF(L48&lt;J51,"——",IF(L55="比较法",L49,IF(L55="基准地价",L50,L51)))</f>
        <v>-54482199</v>
      </c>
      <c r="O57" s="3358" t="s">
        <v>2385</v>
      </c>
      <c r="P57" s="3359" t="s">
        <v>3147</v>
      </c>
      <c r="Q57" s="3360" t="e">
        <f ca="1">L60</f>
        <v>#DIV/0!</v>
      </c>
      <c r="R57" s="3360" t="s">
        <v>3148</v>
      </c>
    </row>
    <row r="58" spans="1:18" s="3199" customFormat="1" ht="24.75" thickBot="1">
      <c r="A58" s="3427" t="s">
        <v>3093</v>
      </c>
      <c r="B58" s="3413" t="s">
        <v>3028</v>
      </c>
      <c r="C58" s="3232">
        <f ca="1">ROUND(C59+C64+C65+C66,0)</f>
        <v>2617927</v>
      </c>
      <c r="D58" s="3428" t="s">
        <v>3029</v>
      </c>
      <c r="E58" s="3429"/>
      <c r="F58" s="3365"/>
      <c r="I58" s="3425" t="s">
        <v>3149</v>
      </c>
      <c r="J58" s="3430" t="e">
        <f ca="1">IF(J55&lt;0.4,0.4,J55)</f>
        <v>#VALUE!</v>
      </c>
      <c r="K58" s="3394" t="s">
        <v>3150</v>
      </c>
      <c r="L58" s="3370" t="e">
        <f ca="1">ROUND(POWER(1+L52,L47-L48)*(POWER(1+L52,L48)-1)/(POWER(1+L52,L47)-1),4)</f>
        <v>#DIV/0!</v>
      </c>
      <c r="O58" s="3380" t="s">
        <v>2387</v>
      </c>
      <c r="P58" s="3359" t="s">
        <v>3151</v>
      </c>
      <c r="Q58" s="3360">
        <f>IF(L55="比较法",L49,IF(L55="基准地价",L50,0))</f>
        <v>0</v>
      </c>
      <c r="R58" s="3360" t="s">
        <v>3112</v>
      </c>
    </row>
    <row r="59" spans="1:18" s="3199" customFormat="1" ht="24.75" thickBot="1">
      <c r="A59" s="3259" t="s">
        <v>2993</v>
      </c>
      <c r="B59" s="3420" t="s">
        <v>3034</v>
      </c>
      <c r="C59" s="3264">
        <f ca="1">ROUND(IF([1]项目基本情况!B11="自然人",C48*F59,C60+C61+C62),0)</f>
        <v>2617927</v>
      </c>
      <c r="D59" s="3431" t="s">
        <v>3035</v>
      </c>
      <c r="E59" s="3432" t="s">
        <v>3036</v>
      </c>
      <c r="F59" s="3281">
        <f ca="1">IF([1]项目基本情况!B11="企业","",IF(INDIRECT("'数据-取费表'!c"&amp;$G$1)="住宅",5%,IF(F49*F50*F51/12/(1+'[1]数据-取费表'!C42)&gt;20000,12%,7%)))</f>
        <v>0.05</v>
      </c>
      <c r="I59" s="3425" t="s">
        <v>3152</v>
      </c>
      <c r="J59" s="3426" t="str">
        <f ca="1">IF(OR(M47="住宅",J51&lt;L48,J56="是"),"——",ROUND(C29*J58,0))</f>
        <v>——</v>
      </c>
      <c r="K59" s="33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0" t="e">
        <f ca="1">ROUND(IF(D1="在建（套用方法）",M59,IF(D1="土地（套用方法）",N59,POWER(1+L52,L47-J51)*(POWER(1+L52,J51)-1)/(POWER(1+L52,L47)-1))),4)</f>
        <v>#DIV/0!</v>
      </c>
      <c r="M59" s="3330" t="e">
        <f ca="1">ROUND(POWER(1+L52,L47-(J51+'[1]数据-取费表'!B24))*(POWER(1+L52,(J51+'[1]数据-取费表'!B24))-1)/(POWER(1+L52,L47)-1),4)</f>
        <v>#DIV/0!</v>
      </c>
      <c r="N59" s="3330" t="e">
        <f ca="1">ROUND(POWER(1+L52,L47-(J51+'[1]数据-取费表'!B20))*(POWER(1+L52,(J51+'[1]数据-取费表'!B20))-1)/(POWER(1+L52,L47)-1),4)</f>
        <v>#DIV/0!</v>
      </c>
      <c r="O59" s="3380" t="s">
        <v>2388</v>
      </c>
      <c r="P59" s="3359" t="s">
        <v>3153</v>
      </c>
      <c r="Q59" s="3389">
        <f>L52</f>
        <v>0</v>
      </c>
      <c r="R59" s="3360"/>
    </row>
    <row r="60" spans="1:18" s="3199" customFormat="1" ht="16.5" thickBot="1">
      <c r="A60" s="3259" t="s">
        <v>3014</v>
      </c>
      <c r="B60" s="3420" t="s">
        <v>3094</v>
      </c>
      <c r="C60" s="3264">
        <f ca="1">IF([1]项目基本情况!B11="自然人","——",ROUND(C48*F60/(1+'[1]数据-取费表'!C42),0))</f>
        <v>0</v>
      </c>
      <c r="D60" s="3432" t="s">
        <v>3095</v>
      </c>
      <c r="E60" s="3420" t="s">
        <v>3022</v>
      </c>
      <c r="F60" s="3296">
        <f t="shared" ref="F60:F66" si="0">F32</f>
        <v>0</v>
      </c>
      <c r="I60" s="3433" t="s">
        <v>3154</v>
      </c>
      <c r="J60" s="3434" t="str">
        <f ca="1">IF(OR(M47="住宅",J51&lt;L48,J56="是"),"0",ROUND(J59/(1+J52)^J53,0))</f>
        <v>0</v>
      </c>
      <c r="K60" s="3435" t="s">
        <v>3155</v>
      </c>
      <c r="L60" s="3434" t="e">
        <f ca="1">IF(OR(M47="住宅",L48&lt;J51),0,ROUND(L57*(L58/L59-1),0))</f>
        <v>#DIV/0!</v>
      </c>
      <c r="O60" s="3380" t="s">
        <v>2390</v>
      </c>
      <c r="P60" s="3359" t="s">
        <v>3156</v>
      </c>
      <c r="Q60" s="3360" t="e">
        <f ca="1">L58</f>
        <v>#DIV/0!</v>
      </c>
      <c r="R60" s="3360" t="s">
        <v>3157</v>
      </c>
    </row>
    <row r="61" spans="1:18" s="3199" customFormat="1" ht="13.5" thickBot="1">
      <c r="A61" s="3259" t="s">
        <v>3158</v>
      </c>
      <c r="B61" s="3420" t="s">
        <v>3043</v>
      </c>
      <c r="C61" s="3264">
        <f ca="1">IF([1]项目基本情况!B11="自然人","——",IF(D61="按租金收入计税",ROUND(C48*F61,0),IF(D61="按房产原值计税",ROUND(C57*F61*0.7,0),INDIRECT("'数据-取费表'!Aj"&amp;$G$1))))</f>
        <v>2617927</v>
      </c>
      <c r="D61" s="3284" t="s">
        <v>3044</v>
      </c>
      <c r="E61" s="3420" t="s">
        <v>3022</v>
      </c>
      <c r="F61" s="3277">
        <f t="shared" si="0"/>
        <v>1.2E-2</v>
      </c>
      <c r="I61" s="3436"/>
      <c r="J61" s="3436"/>
      <c r="K61" s="3436"/>
      <c r="L61" s="3436"/>
      <c r="O61" s="3380" t="s">
        <v>2392</v>
      </c>
      <c r="P61" s="3359" t="str">
        <f>K59</f>
        <v>建设期及建筑物耐用年限下的土地年期修正系数Kn</v>
      </c>
      <c r="Q61" s="3360" t="e">
        <f ca="1">L59</f>
        <v>#DIV/0!</v>
      </c>
      <c r="R61" s="3360" t="s">
        <v>3159</v>
      </c>
    </row>
    <row r="62" spans="1:18" s="3199" customFormat="1" ht="13.5" thickBot="1">
      <c r="A62" s="3259" t="s">
        <v>3160</v>
      </c>
      <c r="B62" s="3437" t="s">
        <v>3047</v>
      </c>
      <c r="C62" s="3286">
        <f ca="1">IF([1]项目基本情况!B11="自然人","——",ROUND(F62*F63,0))</f>
        <v>0</v>
      </c>
      <c r="D62" s="3438" t="s">
        <v>3048</v>
      </c>
      <c r="E62" s="3420" t="s">
        <v>3049</v>
      </c>
      <c r="F62" s="3288">
        <f t="shared" si="0"/>
        <v>0</v>
      </c>
      <c r="I62" s="3439" t="s">
        <v>3161</v>
      </c>
      <c r="J62" s="3440" t="s">
        <v>3162</v>
      </c>
      <c r="K62" s="3440" t="s">
        <v>3163</v>
      </c>
      <c r="L62" s="3440" t="s">
        <v>3164</v>
      </c>
      <c r="M62" s="3441" t="s">
        <v>3165</v>
      </c>
      <c r="O62" s="3358" t="s">
        <v>2395</v>
      </c>
      <c r="P62" s="3359" t="s">
        <v>3139</v>
      </c>
      <c r="Q62" s="3360" t="e">
        <f ca="1">Q56+Q57</f>
        <v>#DIV/0!</v>
      </c>
      <c r="R62" s="3360" t="s">
        <v>2396</v>
      </c>
    </row>
    <row r="63" spans="1:18" s="3199" customFormat="1" ht="13.5" thickBot="1">
      <c r="A63" s="3289"/>
      <c r="B63" s="3442"/>
      <c r="C63" s="3291"/>
      <c r="D63" s="3443"/>
      <c r="E63" s="3420" t="s">
        <v>3054</v>
      </c>
      <c r="F63" s="3219">
        <f t="shared" ca="1" si="0"/>
        <v>54654.39</v>
      </c>
      <c r="I63" s="3439" t="s">
        <v>3166</v>
      </c>
      <c r="J63" s="3440">
        <v>70</v>
      </c>
      <c r="K63" s="3440">
        <v>50</v>
      </c>
      <c r="L63" s="3440">
        <v>80</v>
      </c>
      <c r="M63" s="3444">
        <v>0.02</v>
      </c>
      <c r="O63" s="3337" t="s">
        <v>3167</v>
      </c>
      <c r="P63" s="3330"/>
      <c r="Q63" s="3330"/>
      <c r="R63" s="3330"/>
    </row>
    <row r="64" spans="1:18" s="3199" customFormat="1" ht="13.5" thickBot="1">
      <c r="A64" s="3259" t="s">
        <v>3001</v>
      </c>
      <c r="B64" s="3420" t="s">
        <v>3057</v>
      </c>
      <c r="C64" s="3264">
        <f ca="1">ROUND(C57*F64,0)</f>
        <v>0</v>
      </c>
      <c r="D64" s="3432" t="s">
        <v>3096</v>
      </c>
      <c r="E64" s="3420" t="s">
        <v>3022</v>
      </c>
      <c r="F64" s="3293">
        <f t="shared" ca="1" si="0"/>
        <v>0</v>
      </c>
      <c r="I64" s="3439" t="s">
        <v>3168</v>
      </c>
      <c r="J64" s="3440">
        <v>50</v>
      </c>
      <c r="K64" s="3440">
        <v>35</v>
      </c>
      <c r="L64" s="3440">
        <v>60</v>
      </c>
      <c r="M64" s="3441">
        <v>0</v>
      </c>
      <c r="O64" s="3345" t="s">
        <v>3105</v>
      </c>
      <c r="P64" s="3346" t="s">
        <v>3106</v>
      </c>
      <c r="Q64" s="3347" t="s">
        <v>3107</v>
      </c>
      <c r="R64" s="3347" t="s">
        <v>3108</v>
      </c>
    </row>
    <row r="65" spans="1:18" s="3199" customFormat="1" ht="13.5" thickBot="1">
      <c r="A65" s="3259" t="s">
        <v>3169</v>
      </c>
      <c r="B65" s="3420" t="s">
        <v>3061</v>
      </c>
      <c r="C65" s="3264">
        <f ca="1">ROUND(C56*F65,0)</f>
        <v>0</v>
      </c>
      <c r="D65" s="3432" t="s">
        <v>3062</v>
      </c>
      <c r="E65" s="3420" t="s">
        <v>3022</v>
      </c>
      <c r="F65" s="3295">
        <f t="shared" ca="1" si="0"/>
        <v>0</v>
      </c>
      <c r="I65" s="3439" t="s">
        <v>3170</v>
      </c>
      <c r="J65" s="3440">
        <v>40</v>
      </c>
      <c r="K65" s="3440">
        <v>30</v>
      </c>
      <c r="L65" s="3440">
        <v>50</v>
      </c>
      <c r="M65" s="3444">
        <v>0.02</v>
      </c>
      <c r="O65" s="3358" t="s">
        <v>2383</v>
      </c>
      <c r="P65" s="3359" t="s">
        <v>3111</v>
      </c>
      <c r="Q65" s="3360">
        <f ca="1">C40+J29</f>
        <v>0</v>
      </c>
      <c r="R65" s="3360" t="s">
        <v>3112</v>
      </c>
    </row>
    <row r="66" spans="1:18" s="3199" customFormat="1" ht="16.5" thickBot="1">
      <c r="A66" s="3259" t="s">
        <v>3171</v>
      </c>
      <c r="B66" s="3420" t="s">
        <v>3045</v>
      </c>
      <c r="C66" s="3264">
        <f ca="1">ROUND(C48*F66,0)</f>
        <v>0</v>
      </c>
      <c r="D66" s="3432" t="s">
        <v>3066</v>
      </c>
      <c r="E66" s="3420" t="s">
        <v>3022</v>
      </c>
      <c r="F66" s="3228">
        <f t="shared" ca="1" si="0"/>
        <v>0</v>
      </c>
      <c r="O66" s="3358" t="s">
        <v>2385</v>
      </c>
      <c r="P66" s="3359" t="s">
        <v>3147</v>
      </c>
      <c r="Q66" s="3360" t="e">
        <f ca="1">L60</f>
        <v>#DIV/0!</v>
      </c>
      <c r="R66" s="3360" t="s">
        <v>3172</v>
      </c>
    </row>
    <row r="67" spans="1:18" s="3199" customFormat="1" ht="16.5" thickBot="1">
      <c r="A67" s="3412" t="s">
        <v>3070</v>
      </c>
      <c r="B67" s="3445" t="s">
        <v>3071</v>
      </c>
      <c r="C67" s="3232">
        <f ca="1">C48-C58</f>
        <v>-2617927</v>
      </c>
      <c r="D67" s="3431" t="s">
        <v>3072</v>
      </c>
      <c r="E67" s="3446"/>
      <c r="F67" s="3447"/>
      <c r="O67" s="3380" t="s">
        <v>2387</v>
      </c>
      <c r="P67" s="3359" t="s">
        <v>3151</v>
      </c>
      <c r="Q67" s="3448">
        <f ca="1">L51</f>
        <v>-54482199</v>
      </c>
      <c r="R67" s="3360" t="s">
        <v>3173</v>
      </c>
    </row>
    <row r="68" spans="1:18" s="3199" customFormat="1" ht="16.5" thickBot="1">
      <c r="A68" s="3449" t="s">
        <v>3076</v>
      </c>
      <c r="B68" s="3450" t="s">
        <v>3097</v>
      </c>
      <c r="C68" s="3220">
        <f ca="1">ROUND(C67*(1-((1+F70)/(1+F68))^F69)/(F68-F70),0)</f>
        <v>0</v>
      </c>
      <c r="D68" s="3438" t="s">
        <v>3078</v>
      </c>
      <c r="E68" s="3420" t="s">
        <v>3079</v>
      </c>
      <c r="F68" s="3228">
        <f ca="1">F40</f>
        <v>0.05</v>
      </c>
      <c r="O68" s="3380" t="s">
        <v>2388</v>
      </c>
      <c r="P68" s="3451" t="s">
        <v>3174</v>
      </c>
      <c r="Q68" s="3360">
        <f ca="1">ROUND(Q69-Q70*Q71,0)</f>
        <v>-2617927</v>
      </c>
      <c r="R68" s="3360" t="s">
        <v>3175</v>
      </c>
    </row>
    <row r="69" spans="1:18" s="3199" customFormat="1" ht="13.5" thickBot="1">
      <c r="A69" s="3452"/>
      <c r="B69" s="3453"/>
      <c r="C69" s="3227"/>
      <c r="D69" s="3454" t="s">
        <v>3082</v>
      </c>
      <c r="E69" s="3420" t="s">
        <v>3083</v>
      </c>
      <c r="F69" s="3305">
        <f ca="1">F41</f>
        <v>0</v>
      </c>
      <c r="O69" s="3380" t="s">
        <v>2403</v>
      </c>
      <c r="P69" s="3451" t="s">
        <v>3176</v>
      </c>
      <c r="Q69" s="3360">
        <f ca="1">C39</f>
        <v>-2617927</v>
      </c>
      <c r="R69" s="3360" t="s">
        <v>3112</v>
      </c>
    </row>
    <row r="70" spans="1:18" s="3199" customFormat="1" ht="13.5" thickBot="1">
      <c r="A70" s="3455"/>
      <c r="B70" s="3456"/>
      <c r="C70" s="3252"/>
      <c r="D70" s="3443"/>
      <c r="E70" s="3420" t="s">
        <v>3087</v>
      </c>
      <c r="F70" s="3397">
        <f ca="1">F42</f>
        <v>0</v>
      </c>
      <c r="O70" s="3380" t="s">
        <v>2405</v>
      </c>
      <c r="P70" s="3451" t="s">
        <v>3177</v>
      </c>
      <c r="Q70" s="3360">
        <f ca="1">C13</f>
        <v>0</v>
      </c>
      <c r="R70" s="3360" t="s">
        <v>3112</v>
      </c>
    </row>
    <row r="71" spans="1:18" s="3199" customFormat="1" ht="13.5" thickBot="1">
      <c r="A71" s="3457" t="s">
        <v>3090</v>
      </c>
      <c r="B71" s="3458" t="s">
        <v>3098</v>
      </c>
      <c r="C71" s="3310">
        <f ca="1">ROUND(C68/F71,0)</f>
        <v>0</v>
      </c>
      <c r="D71" s="3459" t="s">
        <v>3099</v>
      </c>
      <c r="E71" s="3460" t="s">
        <v>3100</v>
      </c>
      <c r="F71" s="3313">
        <f ca="1">F43</f>
        <v>157403</v>
      </c>
      <c r="O71" s="3380" t="s">
        <v>2407</v>
      </c>
      <c r="P71" s="3451" t="s">
        <v>3178</v>
      </c>
      <c r="Q71" s="3389">
        <f ca="1">C76</f>
        <v>8.5000000000000006E-2</v>
      </c>
      <c r="R71" s="3360"/>
    </row>
    <row r="72" spans="1:18" s="3199" customFormat="1" ht="13.5" thickBot="1">
      <c r="B72" s="3461"/>
      <c r="C72" s="3461"/>
      <c r="O72" s="3380" t="s">
        <v>2390</v>
      </c>
      <c r="P72" s="3359" t="s">
        <v>3153</v>
      </c>
      <c r="Q72" s="3389">
        <f>L52</f>
        <v>0</v>
      </c>
      <c r="R72" s="3360"/>
    </row>
    <row r="73" spans="1:18" ht="16.5" thickBot="1">
      <c r="A73" s="3199"/>
      <c r="B73" s="3461"/>
      <c r="C73" s="3461"/>
      <c r="D73" s="3199"/>
      <c r="E73" s="3199"/>
      <c r="F73" s="3199"/>
      <c r="O73" s="3380" t="s">
        <v>2392</v>
      </c>
      <c r="P73" s="3359" t="s">
        <v>3156</v>
      </c>
      <c r="Q73" s="3360" t="e">
        <f ca="1">L58</f>
        <v>#DIV/0!</v>
      </c>
      <c r="R73" s="3360" t="s">
        <v>3157</v>
      </c>
    </row>
    <row r="74" spans="1:18" ht="13.5" thickBot="1">
      <c r="A74" s="3199"/>
      <c r="B74" s="3463" t="s">
        <v>3179</v>
      </c>
      <c r="C74" s="3464"/>
      <c r="D74" s="3199"/>
      <c r="E74" s="3199"/>
      <c r="F74" s="3199"/>
      <c r="O74" s="3380" t="s">
        <v>3180</v>
      </c>
      <c r="P74" s="3359" t="str">
        <f>K59</f>
        <v>建设期及建筑物耐用年限下的土地年期修正系数Kn</v>
      </c>
      <c r="Q74" s="3360" t="e">
        <f ca="1">L59</f>
        <v>#DIV/0!</v>
      </c>
      <c r="R74" s="3360" t="s">
        <v>3159</v>
      </c>
    </row>
    <row r="75" spans="1:18" ht="13.5" thickBot="1">
      <c r="A75" s="3199"/>
      <c r="B75" s="3465" t="s">
        <v>3181</v>
      </c>
      <c r="C75" s="3466">
        <f ca="1">ROUND(C13*C76,0)</f>
        <v>0</v>
      </c>
      <c r="D75" s="3199"/>
      <c r="E75" s="3199"/>
      <c r="F75" s="3199"/>
      <c r="K75" s="3334"/>
      <c r="L75" s="3199"/>
      <c r="O75" s="3358" t="s">
        <v>2395</v>
      </c>
      <c r="P75" s="3359" t="s">
        <v>3139</v>
      </c>
      <c r="Q75" s="3360" t="e">
        <f ca="1">Q65+Q66</f>
        <v>#DIV/0!</v>
      </c>
      <c r="R75" s="3360" t="s">
        <v>2396</v>
      </c>
    </row>
    <row r="76" spans="1:18">
      <c r="B76" s="3467" t="s">
        <v>3182</v>
      </c>
      <c r="C76" s="3468">
        <f ca="1">INDIRECT("'数据-取费表'!j"&amp;$G$1)</f>
        <v>8.5000000000000006E-2</v>
      </c>
      <c r="I76" s="3199"/>
      <c r="J76" s="3199"/>
      <c r="K76" s="3334"/>
      <c r="L76" s="3199"/>
    </row>
    <row r="77" spans="1:18">
      <c r="B77" s="3469" t="s">
        <v>3183</v>
      </c>
      <c r="C77" s="3470"/>
      <c r="I77" s="3199"/>
      <c r="J77" s="3199"/>
      <c r="K77" s="3334"/>
      <c r="L77" s="3199"/>
    </row>
    <row r="78" spans="1:18">
      <c r="B78" s="3471" t="s">
        <v>3184</v>
      </c>
      <c r="C78" s="3472"/>
    </row>
    <row r="79" spans="1:18">
      <c r="B79" s="3465" t="s">
        <v>3185</v>
      </c>
      <c r="C79" s="3473">
        <f ca="1">1-C80</f>
        <v>1</v>
      </c>
    </row>
    <row r="80" spans="1:18">
      <c r="B80" s="3465" t="s">
        <v>3186</v>
      </c>
      <c r="C80" s="3473">
        <f ca="1">ROUND(C75/C39,3)</f>
        <v>0</v>
      </c>
    </row>
    <row r="81" spans="2:3">
      <c r="B81" s="3471" t="s">
        <v>3187</v>
      </c>
      <c r="C81" s="3421"/>
    </row>
    <row r="82" spans="2:3">
      <c r="B82" s="3463" t="s">
        <v>3188</v>
      </c>
      <c r="C82" s="3474" t="e">
        <f ca="1">1-C83</f>
        <v>#DIV/0!</v>
      </c>
    </row>
    <row r="83" spans="2:3">
      <c r="B83" s="3463" t="s">
        <v>3189</v>
      </c>
      <c r="C83" s="3473"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1" sqref="Z21"/>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8"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2551</v>
      </c>
      <c r="R1" s="2605" t="s">
        <v>2545</v>
      </c>
      <c r="S1" s="6" t="s">
        <v>146</v>
      </c>
      <c r="T1" s="7" t="s">
        <v>147</v>
      </c>
      <c r="U1" s="6" t="s">
        <v>148</v>
      </c>
      <c r="V1" s="6" t="s">
        <v>149</v>
      </c>
      <c r="W1" s="1002" t="s">
        <v>875</v>
      </c>
    </row>
    <row r="2" spans="1:23">
      <c r="A2" s="8" t="s">
        <v>73</v>
      </c>
      <c r="B2" s="8" t="s">
        <v>150</v>
      </c>
      <c r="C2" s="1549"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2546</v>
      </c>
      <c r="S2" s="9" t="s">
        <v>75</v>
      </c>
      <c r="T2" s="9" t="s">
        <v>76</v>
      </c>
      <c r="U2" s="9" t="s">
        <v>75</v>
      </c>
      <c r="V2" s="9" t="s">
        <v>77</v>
      </c>
      <c r="W2" s="9" t="s">
        <v>876</v>
      </c>
    </row>
    <row r="3" spans="1:23">
      <c r="A3" s="8" t="s">
        <v>78</v>
      </c>
      <c r="B3" s="10" t="s">
        <v>151</v>
      </c>
      <c r="C3" s="1550"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2547</v>
      </c>
      <c r="S3" s="9" t="s">
        <v>84</v>
      </c>
      <c r="T3" s="9" t="s">
        <v>85</v>
      </c>
      <c r="U3" s="9" t="s">
        <v>84</v>
      </c>
      <c r="V3" s="9" t="s">
        <v>86</v>
      </c>
      <c r="W3" s="9" t="s">
        <v>877</v>
      </c>
    </row>
    <row r="4" spans="1:23">
      <c r="A4" s="8" t="s">
        <v>87</v>
      </c>
      <c r="B4" s="8" t="s">
        <v>152</v>
      </c>
      <c r="C4" s="1549" t="s">
        <v>1713</v>
      </c>
      <c r="D4" s="9" t="s">
        <v>1998</v>
      </c>
      <c r="E4" s="9" t="s">
        <v>88</v>
      </c>
      <c r="F4" s="9" t="s">
        <v>89</v>
      </c>
      <c r="G4" s="9">
        <v>70</v>
      </c>
      <c r="H4" s="9" t="s">
        <v>90</v>
      </c>
      <c r="I4" s="9" t="s">
        <v>91</v>
      </c>
      <c r="K4" s="9" t="s">
        <v>92</v>
      </c>
      <c r="L4" s="9" t="s">
        <v>92</v>
      </c>
      <c r="M4" s="9" t="s">
        <v>92</v>
      </c>
      <c r="N4" s="9" t="s">
        <v>92</v>
      </c>
      <c r="O4" s="9" t="s">
        <v>92</v>
      </c>
      <c r="P4" s="1004" t="s">
        <v>761</v>
      </c>
      <c r="Q4" s="9" t="s">
        <v>92</v>
      </c>
      <c r="R4" s="1004" t="s">
        <v>2548</v>
      </c>
      <c r="S4" s="9" t="s">
        <v>92</v>
      </c>
      <c r="T4" s="9" t="s">
        <v>93</v>
      </c>
      <c r="U4" s="9" t="s">
        <v>92</v>
      </c>
      <c r="W4" s="9" t="s">
        <v>878</v>
      </c>
    </row>
    <row r="5" spans="1:23">
      <c r="A5" s="8" t="s">
        <v>94</v>
      </c>
      <c r="B5" s="8" t="s">
        <v>153</v>
      </c>
      <c r="C5" s="1549" t="s">
        <v>1714</v>
      </c>
      <c r="F5" s="9" t="s">
        <v>95</v>
      </c>
      <c r="H5" s="9" t="s">
        <v>70</v>
      </c>
      <c r="I5" s="9" t="s">
        <v>96</v>
      </c>
      <c r="K5" s="9" t="s">
        <v>97</v>
      </c>
      <c r="L5" s="9" t="s">
        <v>97</v>
      </c>
      <c r="M5" s="9" t="s">
        <v>97</v>
      </c>
      <c r="N5" s="9" t="s">
        <v>97</v>
      </c>
      <c r="O5" s="9" t="s">
        <v>97</v>
      </c>
      <c r="P5" s="1004" t="s">
        <v>547</v>
      </c>
      <c r="Q5" s="9" t="s">
        <v>97</v>
      </c>
      <c r="R5" s="1004" t="s">
        <v>2549</v>
      </c>
      <c r="S5" s="9" t="s">
        <v>97</v>
      </c>
      <c r="T5" s="9" t="s">
        <v>98</v>
      </c>
      <c r="U5" s="9" t="s">
        <v>97</v>
      </c>
      <c r="W5" s="9" t="s">
        <v>879</v>
      </c>
    </row>
    <row r="6" spans="1:23">
      <c r="A6" s="8" t="s">
        <v>99</v>
      </c>
      <c r="B6" s="1147" t="s">
        <v>1642</v>
      </c>
      <c r="C6" s="1551" t="s">
        <v>1715</v>
      </c>
      <c r="F6" s="9" t="s">
        <v>71</v>
      </c>
      <c r="H6" s="9" t="s">
        <v>72</v>
      </c>
      <c r="I6" s="9" t="s">
        <v>100</v>
      </c>
      <c r="K6" s="9" t="s">
        <v>101</v>
      </c>
      <c r="L6" s="9" t="s">
        <v>101</v>
      </c>
      <c r="M6" s="9" t="s">
        <v>101</v>
      </c>
      <c r="N6" s="9" t="s">
        <v>101</v>
      </c>
      <c r="O6" s="9" t="s">
        <v>101</v>
      </c>
      <c r="P6" s="1004" t="s">
        <v>882</v>
      </c>
      <c r="Q6" s="9" t="s">
        <v>101</v>
      </c>
      <c r="R6" s="1004" t="s">
        <v>2550</v>
      </c>
      <c r="S6" s="9" t="s">
        <v>101</v>
      </c>
      <c r="T6" s="9"/>
      <c r="U6" s="9" t="s">
        <v>101</v>
      </c>
      <c r="W6" s="9" t="s">
        <v>880</v>
      </c>
    </row>
    <row r="7" spans="1:23">
      <c r="A7" s="8" t="s">
        <v>102</v>
      </c>
      <c r="B7" s="8" t="s">
        <v>103</v>
      </c>
      <c r="C7" s="1549" t="s">
        <v>1716</v>
      </c>
      <c r="F7" s="9" t="s">
        <v>154</v>
      </c>
      <c r="H7" s="9" t="s">
        <v>104</v>
      </c>
      <c r="I7" s="9" t="s">
        <v>105</v>
      </c>
    </row>
    <row r="8" spans="1:23">
      <c r="A8" s="8" t="s">
        <v>106</v>
      </c>
      <c r="B8" s="8" t="s">
        <v>107</v>
      </c>
      <c r="C8" s="1549" t="s">
        <v>1717</v>
      </c>
      <c r="F8" s="9" t="s">
        <v>155</v>
      </c>
      <c r="H8" s="9"/>
      <c r="I8" s="9" t="s">
        <v>108</v>
      </c>
    </row>
    <row r="9" spans="1:23">
      <c r="A9" s="8" t="s">
        <v>109</v>
      </c>
      <c r="B9" s="8" t="s">
        <v>156</v>
      </c>
      <c r="C9" s="1549" t="s">
        <v>1718</v>
      </c>
      <c r="F9" s="9" t="s">
        <v>110</v>
      </c>
      <c r="H9" s="9"/>
    </row>
    <row r="10" spans="1:23">
      <c r="A10" s="8" t="s">
        <v>111</v>
      </c>
      <c r="B10" s="8" t="s">
        <v>157</v>
      </c>
      <c r="C10" s="1549" t="s">
        <v>1719</v>
      </c>
      <c r="F10" s="9" t="s">
        <v>6</v>
      </c>
    </row>
    <row r="11" spans="1:23">
      <c r="A11" s="8" t="s">
        <v>112</v>
      </c>
      <c r="B11" s="8" t="s">
        <v>158</v>
      </c>
      <c r="C11" s="1549" t="s">
        <v>1720</v>
      </c>
    </row>
    <row r="12" spans="1:23">
      <c r="A12" s="8" t="s">
        <v>113</v>
      </c>
      <c r="B12" s="8" t="s">
        <v>159</v>
      </c>
      <c r="C12" s="1549" t="s">
        <v>1721</v>
      </c>
    </row>
    <row r="13" spans="1:23">
      <c r="A13" s="8" t="s">
        <v>114</v>
      </c>
      <c r="B13" s="8" t="s">
        <v>160</v>
      </c>
      <c r="C13" s="1549" t="s">
        <v>1722</v>
      </c>
    </row>
    <row r="14" spans="1:23">
      <c r="A14" s="8" t="s">
        <v>115</v>
      </c>
      <c r="B14" s="8" t="s">
        <v>161</v>
      </c>
      <c r="C14" s="1552" t="s">
        <v>1898</v>
      </c>
    </row>
    <row r="15" spans="1:23">
      <c r="A15" s="8" t="s">
        <v>116</v>
      </c>
      <c r="B15" s="8" t="s">
        <v>1683</v>
      </c>
      <c r="C15" s="1552"/>
    </row>
    <row r="16" spans="1:23">
      <c r="A16" s="8" t="s">
        <v>117</v>
      </c>
      <c r="B16" s="8" t="s">
        <v>1684</v>
      </c>
      <c r="C16" s="1552"/>
    </row>
    <row r="17" spans="1:3">
      <c r="A17" s="8" t="s">
        <v>118</v>
      </c>
      <c r="B17" s="8" t="s">
        <v>1685</v>
      </c>
      <c r="C17" s="1552"/>
    </row>
    <row r="18" spans="1:3">
      <c r="A18" s="8" t="s">
        <v>119</v>
      </c>
      <c r="B18" s="3141" t="s">
        <v>2956</v>
      </c>
      <c r="C18" s="1552"/>
    </row>
    <row r="19" spans="1:3">
      <c r="A19" s="8" t="s">
        <v>120</v>
      </c>
      <c r="B19" s="3141" t="s">
        <v>2964</v>
      </c>
      <c r="C19" s="1552"/>
    </row>
    <row r="20" spans="1:3">
      <c r="A20" s="8" t="s">
        <v>121</v>
      </c>
      <c r="B20" s="3141" t="s">
        <v>3367</v>
      </c>
      <c r="C20" s="1552"/>
    </row>
    <row r="21" spans="1:3">
      <c r="A21" s="8" t="s">
        <v>122</v>
      </c>
      <c r="B21" s="8" t="s">
        <v>1643</v>
      </c>
      <c r="C21" s="1552"/>
    </row>
    <row r="22" spans="1:3">
      <c r="A22" s="8" t="s">
        <v>123</v>
      </c>
      <c r="B22" s="8" t="s">
        <v>1643</v>
      </c>
      <c r="C22" s="1552"/>
    </row>
    <row r="23" spans="1:3">
      <c r="A23" s="8" t="s">
        <v>124</v>
      </c>
      <c r="B23" s="8" t="s">
        <v>1643</v>
      </c>
      <c r="C23" s="1552"/>
    </row>
    <row r="24" spans="1:3">
      <c r="A24" s="8" t="s">
        <v>12</v>
      </c>
      <c r="B24" s="8" t="s">
        <v>1643</v>
      </c>
      <c r="C24" s="1552"/>
    </row>
    <row r="25" spans="1:3">
      <c r="A25" s="8" t="s">
        <v>125</v>
      </c>
      <c r="B25" s="8" t="s">
        <v>1643</v>
      </c>
      <c r="C25" s="1552"/>
    </row>
    <row r="26" spans="1:3">
      <c r="A26" s="8" t="s">
        <v>126</v>
      </c>
      <c r="B26" s="8" t="s">
        <v>1643</v>
      </c>
      <c r="C26" s="1552"/>
    </row>
    <row r="27" spans="1:3">
      <c r="A27" s="8" t="s">
        <v>1643</v>
      </c>
      <c r="B27" s="8" t="s">
        <v>1643</v>
      </c>
      <c r="C27" s="1552"/>
    </row>
    <row r="28" spans="1:3">
      <c r="A28" s="8" t="s">
        <v>1643</v>
      </c>
      <c r="B28" s="8" t="s">
        <v>1643</v>
      </c>
      <c r="C28" s="1552"/>
    </row>
    <row r="29" spans="1:3">
      <c r="A29" s="8" t="s">
        <v>1643</v>
      </c>
      <c r="B29" s="8" t="s">
        <v>1643</v>
      </c>
      <c r="C29" s="1552"/>
    </row>
    <row r="30" spans="1:3">
      <c r="A30" s="8" t="s">
        <v>1643</v>
      </c>
      <c r="B30" s="8" t="s">
        <v>1643</v>
      </c>
      <c r="C30" s="1552"/>
    </row>
    <row r="31" spans="1:3">
      <c r="A31" s="8" t="s">
        <v>1643</v>
      </c>
      <c r="B31" s="8" t="s">
        <v>1643</v>
      </c>
      <c r="C31" s="1552"/>
    </row>
    <row r="32" spans="1:3">
      <c r="A32" s="8" t="s">
        <v>1643</v>
      </c>
      <c r="B32" s="8" t="s">
        <v>1643</v>
      </c>
      <c r="C32" s="1552"/>
    </row>
    <row r="33" spans="1:3">
      <c r="A33" s="8" t="s">
        <v>1643</v>
      </c>
      <c r="B33" s="8" t="s">
        <v>1643</v>
      </c>
      <c r="C33" s="1552"/>
    </row>
    <row r="34" spans="1:3">
      <c r="A34" s="8" t="s">
        <v>1643</v>
      </c>
      <c r="B34" s="8" t="s">
        <v>1643</v>
      </c>
      <c r="C34" s="1552"/>
    </row>
    <row r="35" spans="1:3">
      <c r="A35" s="8" t="s">
        <v>1643</v>
      </c>
      <c r="B35" s="8" t="s">
        <v>1643</v>
      </c>
      <c r="C35" s="1552"/>
    </row>
    <row r="36" spans="1:3">
      <c r="A36" s="8" t="s">
        <v>1643</v>
      </c>
      <c r="B36" s="8" t="s">
        <v>1643</v>
      </c>
      <c r="C36" s="1552"/>
    </row>
    <row r="37" spans="1:3">
      <c r="A37" s="8" t="s">
        <v>1643</v>
      </c>
      <c r="B37" s="8" t="s">
        <v>1643</v>
      </c>
      <c r="C37" s="1552"/>
    </row>
    <row r="38" spans="1:3">
      <c r="A38" s="8" t="s">
        <v>1643</v>
      </c>
      <c r="B38" s="8" t="s">
        <v>1643</v>
      </c>
      <c r="C38" s="1552"/>
    </row>
    <row r="39" spans="1:3">
      <c r="A39" s="8" t="s">
        <v>1643</v>
      </c>
      <c r="B39" s="8" t="s">
        <v>1643</v>
      </c>
      <c r="C39" s="1552"/>
    </row>
    <row r="40" spans="1:3">
      <c r="A40" s="8" t="s">
        <v>1643</v>
      </c>
      <c r="B40" s="8" t="s">
        <v>1643</v>
      </c>
      <c r="C40" s="1552"/>
    </row>
    <row r="41" spans="1:3">
      <c r="A41" s="8" t="s">
        <v>1643</v>
      </c>
      <c r="B41" s="8" t="s">
        <v>1643</v>
      </c>
      <c r="C41" s="1552"/>
    </row>
    <row r="42" spans="1:3">
      <c r="A42" s="8" t="s">
        <v>1643</v>
      </c>
      <c r="B42" s="8" t="s">
        <v>1643</v>
      </c>
      <c r="C42" s="1552"/>
    </row>
    <row r="43" spans="1:3">
      <c r="A43" s="8" t="s">
        <v>1643</v>
      </c>
      <c r="B43" s="8" t="s">
        <v>1643</v>
      </c>
      <c r="C43" s="1552"/>
    </row>
    <row r="44" spans="1:3">
      <c r="A44" s="8" t="s">
        <v>1643</v>
      </c>
      <c r="B44" s="8" t="s">
        <v>1643</v>
      </c>
      <c r="C44" s="1552"/>
    </row>
    <row r="45" spans="1:3">
      <c r="A45" s="8" t="s">
        <v>1643</v>
      </c>
      <c r="B45" s="8" t="s">
        <v>1643</v>
      </c>
      <c r="C45" s="1552"/>
    </row>
    <row r="46" spans="1:3">
      <c r="A46" s="8" t="s">
        <v>1643</v>
      </c>
      <c r="B46" s="8" t="s">
        <v>1643</v>
      </c>
      <c r="C46" s="1552"/>
    </row>
    <row r="47" spans="1:3">
      <c r="A47" s="8" t="s">
        <v>1643</v>
      </c>
      <c r="B47" s="8" t="s">
        <v>1643</v>
      </c>
      <c r="C47" s="1552"/>
    </row>
    <row r="48" spans="1:3">
      <c r="A48" s="8" t="s">
        <v>1643</v>
      </c>
      <c r="B48" s="8" t="s">
        <v>1643</v>
      </c>
      <c r="C48" s="1552"/>
    </row>
    <row r="49" spans="1:5">
      <c r="A49" s="8" t="s">
        <v>1643</v>
      </c>
      <c r="B49" s="8" t="s">
        <v>1643</v>
      </c>
      <c r="C49" s="1552"/>
    </row>
    <row r="50" spans="1:5">
      <c r="A50" s="8" t="s">
        <v>1643</v>
      </c>
      <c r="B50" s="8" t="s">
        <v>1643</v>
      </c>
      <c r="C50" s="1552"/>
    </row>
    <row r="51" spans="1:5">
      <c r="A51" s="1764" t="s">
        <v>1946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1990</v>
      </c>
      <c r="B52" s="1767" t="s">
        <v>1991</v>
      </c>
      <c r="C52" s="1765" t="s">
        <v>1992</v>
      </c>
      <c r="D52" s="1765" t="s">
        <v>1993</v>
      </c>
      <c r="E52" s="1766"/>
    </row>
    <row r="53" spans="1:5">
      <c r="A53" s="3587" t="s">
        <v>1994</v>
      </c>
      <c r="B53" s="1765" t="s">
        <v>2000</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12日，在规划利用条件下、设定土地开发程度为红线外“七通”、宗地内场地，设定用途为，剩余土地使用年限为的出让国有建设用地使用权价格。</v>
      </c>
      <c r="D53" s="1766"/>
      <c r="E53" s="1766"/>
    </row>
    <row r="54" spans="1:5">
      <c r="A54" s="3587"/>
      <c r="B54" s="1765" t="s">
        <v>2001</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87"/>
      <c r="B55" s="1765" t="s">
        <v>1995</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87"/>
      <c r="B56" s="1765" t="s">
        <v>1996</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87"/>
      <c r="B57" s="1765" t="s">
        <v>1997</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2053</v>
      </c>
      <c r="B58" s="1765" t="s">
        <v>2054</v>
      </c>
      <c r="C58" s="11" t="s">
        <v>2055</v>
      </c>
      <c r="D58" s="1317"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4" sqref="B4"/>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1941</v>
      </c>
      <c r="B1" s="3590" t="str">
        <f>IF(B10="北京市","北京市",C10)&amp;F10&amp;B16&amp;"国有建设用地使用权"&amp;B9&amp;"预评估"</f>
        <v>出让国有建设用地使用权抵押价格预评估</v>
      </c>
      <c r="C1" s="3591"/>
      <c r="D1" s="3591"/>
      <c r="E1" s="3591"/>
      <c r="F1" s="3591"/>
      <c r="G1" s="3591"/>
      <c r="H1" s="3591"/>
      <c r="I1" s="3592"/>
      <c r="J1" s="1691"/>
      <c r="K1" s="2477" t="str">
        <f>IF(B10="北京市","北京市",C10)&amp;F10&amp;B16&amp;"国有建设用地使用权"&amp;B9</f>
        <v>出让国有建设用地使用权抵押价格</v>
      </c>
      <c r="L1" s="1720"/>
      <c r="M1" s="1720"/>
      <c r="N1" s="1691"/>
      <c r="O1" s="1692"/>
      <c r="P1" s="1691"/>
      <c r="Q1" s="1691"/>
      <c r="R1" s="1691"/>
      <c r="S1" s="1691"/>
      <c r="T1" s="1691"/>
      <c r="U1" s="1691"/>
    </row>
    <row r="2" spans="1:21">
      <c r="A2" s="1657" t="s">
        <v>1942</v>
      </c>
      <c r="B2" s="1839"/>
      <c r="D2" s="1691"/>
      <c r="E2" s="1691"/>
      <c r="F2" s="1691"/>
      <c r="G2" s="1691"/>
      <c r="H2" s="1657"/>
      <c r="I2" s="1692"/>
      <c r="J2" s="1691"/>
      <c r="K2" s="2477" t="str">
        <f>IF(B10="北京市","北京市",C10)&amp;F10&amp;B16&amp;"国有建设用地使用权"</f>
        <v>出让国有建设用地使用权</v>
      </c>
      <c r="L2" s="1720"/>
      <c r="M2" s="1720"/>
      <c r="N2" s="1691"/>
      <c r="O2" s="1692"/>
      <c r="P2" s="1691"/>
      <c r="Q2" s="1691"/>
      <c r="R2" s="1691"/>
      <c r="S2" s="1691"/>
      <c r="T2" s="1691"/>
      <c r="U2" s="1691"/>
    </row>
    <row r="3" spans="1:21">
      <c r="A3" s="1658" t="s">
        <v>1943</v>
      </c>
      <c r="B3" s="1659">
        <v>43171</v>
      </c>
      <c r="C3" s="1660" t="s">
        <v>1999</v>
      </c>
      <c r="D3" s="1659">
        <v>43171</v>
      </c>
      <c r="E3" s="1691"/>
      <c r="F3" s="1691"/>
      <c r="G3" s="1691"/>
      <c r="H3" s="1657"/>
      <c r="I3" s="1692"/>
      <c r="J3" s="1691"/>
      <c r="K3" s="1771"/>
      <c r="L3" s="1720"/>
      <c r="M3" s="1720"/>
      <c r="N3" s="1691"/>
      <c r="O3" s="1692"/>
      <c r="P3" s="1691"/>
      <c r="Q3" s="1691"/>
      <c r="R3" s="1691"/>
      <c r="S3" s="1691"/>
      <c r="T3" s="1691"/>
      <c r="U3" s="1691"/>
    </row>
    <row r="4" spans="1:21" ht="29.25" thickBot="1">
      <c r="A4" s="1661" t="s">
        <v>1944</v>
      </c>
      <c r="B4" s="1840" t="s">
        <v>2895</v>
      </c>
      <c r="C4" s="1843">
        <f>SUMIF(土地估价师,B4,估价师及机构信息!E3:E24)</f>
        <v>0</v>
      </c>
      <c r="D4" s="1840" t="s">
        <v>2895</v>
      </c>
      <c r="E4" s="1843">
        <f>SUMIF(土地估价师,D4,估价师及机构信息!E3:E24)</f>
        <v>0</v>
      </c>
      <c r="F4" s="1840" t="s">
        <v>953</v>
      </c>
      <c r="G4" s="1843">
        <f>SUMIF(土地估价师,F4,估价师及机构信息!E3:E24)</f>
        <v>0</v>
      </c>
      <c r="H4" s="1840" t="s">
        <v>953</v>
      </c>
      <c r="I4" s="1843">
        <f>SUMIF(土地估价师,H4,估价师及机构信息!E3:E24)</f>
        <v>0</v>
      </c>
      <c r="J4" s="1691"/>
      <c r="K4" s="2477"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1945</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2712</v>
      </c>
      <c r="B6" s="1786"/>
      <c r="C6" s="1758"/>
      <c r="D6" s="1665"/>
      <c r="E6" s="1691"/>
      <c r="F6" s="1691"/>
      <c r="G6" s="1691"/>
      <c r="H6" s="1657"/>
      <c r="I6" s="1692"/>
      <c r="J6" s="1691"/>
      <c r="K6" s="3079" t="str">
        <f>IF(COUNTIF(B6,"*上海银行*"),"上海银行","")</f>
        <v/>
      </c>
      <c r="L6" s="1720"/>
      <c r="M6" s="1720"/>
      <c r="N6" s="1691"/>
      <c r="O6" s="1692"/>
      <c r="P6" s="1691"/>
      <c r="Q6" s="1691"/>
      <c r="R6" s="1691"/>
      <c r="S6" s="1691"/>
      <c r="T6" s="1691"/>
      <c r="U6" s="1691"/>
    </row>
    <row r="7" spans="1:21">
      <c r="A7" s="1666" t="s">
        <v>2713</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1946</v>
      </c>
      <c r="B8" s="1667" t="s">
        <v>3231</v>
      </c>
      <c r="C8" s="1668"/>
      <c r="D8" s="3596" t="s">
        <v>1948</v>
      </c>
      <c r="E8" s="1841" t="s">
        <v>3232</v>
      </c>
      <c r="F8" s="1669"/>
      <c r="G8" s="1657"/>
      <c r="H8" s="1657"/>
      <c r="I8" s="1704"/>
      <c r="J8" s="1691"/>
      <c r="K8" s="1771"/>
      <c r="L8" s="1720"/>
      <c r="M8" s="1720"/>
      <c r="N8" s="1691"/>
      <c r="O8" s="1692"/>
      <c r="P8" s="1691"/>
      <c r="Q8" s="1691"/>
      <c r="R8" s="1691"/>
      <c r="S8" s="1691"/>
      <c r="T8" s="1691"/>
      <c r="U8" s="1691"/>
    </row>
    <row r="9" spans="1:21" ht="15" thickBot="1">
      <c r="A9" s="1670" t="s">
        <v>1947</v>
      </c>
      <c r="B9" s="1671" t="s">
        <v>3232</v>
      </c>
      <c r="C9" s="1672"/>
      <c r="D9" s="3597"/>
      <c r="E9" s="1671"/>
      <c r="F9" s="1744"/>
      <c r="G9" s="1739"/>
      <c r="H9" s="1739"/>
      <c r="I9" s="1740"/>
      <c r="J9" s="1691"/>
      <c r="K9" s="1771"/>
      <c r="L9" s="1720"/>
      <c r="M9" s="1720"/>
      <c r="N9" s="1691"/>
      <c r="O9" s="1692"/>
      <c r="P9" s="1691"/>
      <c r="Q9" s="1691"/>
      <c r="R9" s="1691"/>
      <c r="S9" s="1691"/>
      <c r="T9" s="1691"/>
      <c r="U9" s="1691"/>
    </row>
    <row r="10" spans="1:21" ht="15" thickTop="1">
      <c r="A10" s="1741" t="s">
        <v>2003</v>
      </c>
      <c r="B10" s="1716" t="s">
        <v>3233</v>
      </c>
      <c r="C10" s="1673"/>
      <c r="D10" s="1664"/>
      <c r="E10" s="1674" t="s">
        <v>1950</v>
      </c>
      <c r="F10" s="1675"/>
      <c r="G10" s="1742"/>
      <c r="H10" s="1743"/>
      <c r="I10" s="1664"/>
      <c r="J10" s="1691"/>
      <c r="K10" s="1771"/>
      <c r="L10" s="1720"/>
      <c r="M10" s="1720"/>
      <c r="N10" s="1691"/>
      <c r="O10" s="1692"/>
      <c r="P10" s="1691"/>
      <c r="Q10" s="1691"/>
      <c r="R10" s="1691"/>
      <c r="S10" s="1691"/>
      <c r="T10" s="1691"/>
      <c r="U10" s="1691"/>
    </row>
    <row r="11" spans="1:21">
      <c r="A11" s="1694" t="s">
        <v>2004</v>
      </c>
      <c r="B11" s="1695" t="s">
        <v>3234</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2062</v>
      </c>
      <c r="B12" s="3593"/>
      <c r="C12" s="3594"/>
      <c r="D12" s="3595"/>
      <c r="E12" s="1696" t="s">
        <v>2065</v>
      </c>
      <c r="F12" s="3611" t="s">
        <v>2896</v>
      </c>
      <c r="G12" s="3612"/>
      <c r="H12" s="3612"/>
      <c r="I12" s="3613"/>
      <c r="J12" s="1691"/>
      <c r="K12" s="1771"/>
      <c r="L12" s="1720"/>
      <c r="M12" s="1720"/>
      <c r="N12" s="1691"/>
      <c r="O12" s="1692"/>
      <c r="P12" s="1691"/>
      <c r="Q12" s="1691"/>
      <c r="R12" s="1691"/>
      <c r="S12" s="1691"/>
      <c r="T12" s="1691"/>
      <c r="U12" s="1691"/>
    </row>
    <row r="13" spans="1:21">
      <c r="A13" s="1684" t="s">
        <v>2063</v>
      </c>
      <c r="B13" s="3593"/>
      <c r="C13" s="3594"/>
      <c r="D13" s="3595"/>
      <c r="E13" s="1696" t="s">
        <v>2065</v>
      </c>
      <c r="F13" s="3611" t="s">
        <v>2897</v>
      </c>
      <c r="G13" s="3612"/>
      <c r="H13" s="3612"/>
      <c r="I13" s="3613"/>
      <c r="J13" s="1691"/>
      <c r="K13" s="1771"/>
      <c r="L13" s="1720"/>
      <c r="M13" s="1720"/>
      <c r="N13" s="1691"/>
      <c r="O13" s="1692"/>
      <c r="P13" s="1691"/>
      <c r="Q13" s="1691"/>
      <c r="R13" s="1691"/>
      <c r="S13" s="1691"/>
      <c r="T13" s="1691"/>
      <c r="U13" s="1691"/>
    </row>
    <row r="14" spans="1:21">
      <c r="A14" s="1658" t="s">
        <v>2066</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8"/>
      <c r="B15" s="1660"/>
      <c r="C15" s="1660"/>
      <c r="D15" s="1763" t="s">
        <v>1953</v>
      </c>
      <c r="E15" s="1763" t="s">
        <v>1954</v>
      </c>
      <c r="F15" s="1763" t="s">
        <v>1955</v>
      </c>
      <c r="G15" s="1683" t="s">
        <v>1956</v>
      </c>
      <c r="H15" s="1683" t="s">
        <v>1957</v>
      </c>
      <c r="I15" s="1683" t="s">
        <v>1958</v>
      </c>
      <c r="J15" s="1691"/>
      <c r="K15" s="1771"/>
      <c r="L15" s="1720"/>
      <c r="M15" s="1720"/>
      <c r="N15" s="1691"/>
      <c r="O15" s="1692"/>
      <c r="P15" s="1691"/>
      <c r="Q15" s="1691"/>
      <c r="R15" s="1691"/>
      <c r="S15" s="1691"/>
      <c r="T15" s="1691"/>
      <c r="U15" s="1691"/>
    </row>
    <row r="16" spans="1:21" ht="42.75">
      <c r="A16" s="1677" t="s">
        <v>1951</v>
      </c>
      <c r="B16" s="1678" t="s">
        <v>3235</v>
      </c>
      <c r="C16" s="1696" t="s">
        <v>1952</v>
      </c>
      <c r="D16" s="2669" t="s">
        <v>1953</v>
      </c>
      <c r="E16" s="1719" t="s">
        <v>3236</v>
      </c>
      <c r="F16" s="1719"/>
      <c r="G16" s="1719" t="s">
        <v>35</v>
      </c>
      <c r="H16" s="1719"/>
      <c r="I16" s="1683" t="s">
        <v>1958</v>
      </c>
      <c r="J16" s="1691"/>
      <c r="K16" s="2478" t="str">
        <f>IF(D17="","",D16&amp;TEXT(D17,"yyyy年m月d日;;"))</f>
        <v>住宅2080年10月14日</v>
      </c>
      <c r="L16" s="1696" t="str">
        <f>IF(OR(K16="",M16=""),"","、")</f>
        <v>、</v>
      </c>
      <c r="M16" s="2478" t="str">
        <f>IF(E17="","",E16&amp;TEXT(E17,"yyyy年m月d日;;"))</f>
        <v>商业2050年10月14日</v>
      </c>
      <c r="N16" s="1696" t="str">
        <f>IF(OR(M16="",O16=""),"","、")</f>
        <v/>
      </c>
      <c r="O16" s="2478" t="str">
        <f>IF(F17="","",F16&amp;TEXT(F17,"yyyy年m月d日;;"))</f>
        <v/>
      </c>
      <c r="P16" s="1696" t="str">
        <f>IF(OR(O16="",Q16=""),"","、")</f>
        <v/>
      </c>
      <c r="Q16" s="2478" t="str">
        <f>IF(G17="","",G16&amp;TEXT(G17,"yyyy年m月d日;;"))</f>
        <v>地下车库2060年10月14日</v>
      </c>
      <c r="R16" s="1696" t="str">
        <f>IF(OR(Q16="",S16=""),"","、")</f>
        <v/>
      </c>
      <c r="S16" s="2478" t="str">
        <f>IF(H17="","",H16&amp;TEXT(H17,"yyyy年m月d日;;"))</f>
        <v/>
      </c>
      <c r="T16" s="1696" t="str">
        <f>IF(OR(S16="",U16=""),"","、")</f>
        <v/>
      </c>
      <c r="U16" s="2478" t="str">
        <f>IF(I17="","",I16&amp;TEXT(I17,"yyyy年m月d日;;"))</f>
        <v/>
      </c>
    </row>
    <row r="17" spans="1:21">
      <c r="A17" s="1760"/>
      <c r="B17" s="1679"/>
      <c r="C17" s="1680" t="s">
        <v>1959</v>
      </c>
      <c r="D17" s="1697">
        <v>66033</v>
      </c>
      <c r="E17" s="1697">
        <v>55075</v>
      </c>
      <c r="F17" s="1697"/>
      <c r="G17" s="1697">
        <v>58728</v>
      </c>
      <c r="H17" s="1697"/>
      <c r="I17" s="1697"/>
      <c r="J17" s="1691"/>
      <c r="K17" s="2477" t="str">
        <f>CONCATENATE(K16,L16,M16,N16,O16,P16,Q16,R16,S16,T16,,U16)</f>
        <v>住宅2080年10月14日、商业2050年10月14日地下车库2060年10月14日</v>
      </c>
      <c r="L17" s="1720"/>
      <c r="M17" s="1720"/>
      <c r="N17" s="1691"/>
      <c r="O17" s="1692"/>
      <c r="P17" s="1691"/>
      <c r="Q17" s="1691"/>
      <c r="R17" s="1691"/>
      <c r="S17" s="1691"/>
      <c r="T17" s="1691"/>
      <c r="U17" s="1691"/>
    </row>
    <row r="18" spans="1:21">
      <c r="A18" s="1760"/>
      <c r="B18" s="1679"/>
      <c r="C18" s="1680" t="s">
        <v>1960</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1961</v>
      </c>
      <c r="D19" s="1755">
        <f>IF(B16="出让",IF(D17="","",ROUNDDOWN(MIN((D17-$D$3)/365,D18),2)),D18)</f>
        <v>62.63</v>
      </c>
      <c r="E19" s="1682">
        <f>IF(B16="出让",IF(E17="","",ROUNDDOWN(MIN((E17-$D$3)/365,E18),2)),E18)</f>
        <v>32.61</v>
      </c>
      <c r="F19" s="1682" t="str">
        <f>IF(B16="出让",IF(F17="","",ROUNDDOWN(MIN((F17-$D$3)/365,F18),2)),F18)</f>
        <v/>
      </c>
      <c r="G19" s="1682">
        <f>IF(B16="出让",IF(G17="","",ROUNDDOWN(MIN((G17-$D$3)/365,G18),2)),G18)</f>
        <v>42.62</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2064</v>
      </c>
      <c r="D20" s="3608"/>
      <c r="E20" s="3609"/>
      <c r="F20" s="3609"/>
      <c r="G20" s="3609"/>
      <c r="H20" s="3609"/>
      <c r="I20" s="3610"/>
      <c r="J20" s="1691"/>
      <c r="K20" s="1771"/>
      <c r="L20" s="1720"/>
      <c r="M20" s="1720"/>
      <c r="N20" s="1691"/>
      <c r="O20" s="1692"/>
      <c r="P20" s="1691"/>
      <c r="Q20" s="1691"/>
      <c r="R20" s="1691"/>
      <c r="S20" s="1691"/>
      <c r="T20" s="1691"/>
      <c r="U20" s="1691"/>
    </row>
    <row r="21" spans="1:21">
      <c r="A21" s="1760" t="s">
        <v>1962</v>
      </c>
      <c r="B21" s="1761" t="s">
        <v>1963</v>
      </c>
      <c r="C21" s="1756">
        <f>'数据-汇总表'!E3</f>
        <v>287739</v>
      </c>
      <c r="D21" s="1757" t="s">
        <v>1964</v>
      </c>
      <c r="E21" s="3598" t="s">
        <v>2002</v>
      </c>
      <c r="F21" s="3599"/>
      <c r="G21" s="3599"/>
      <c r="H21" s="3599"/>
      <c r="I21" s="3600"/>
      <c r="J21" s="1691"/>
      <c r="K21" s="1771"/>
      <c r="L21" s="1720"/>
      <c r="M21" s="1720"/>
      <c r="N21" s="1691"/>
      <c r="O21" s="1692"/>
      <c r="P21" s="1691"/>
      <c r="Q21" s="1691"/>
      <c r="R21" s="1691"/>
      <c r="S21" s="1691"/>
      <c r="T21" s="1691"/>
      <c r="U21" s="1691"/>
    </row>
    <row r="22" spans="1:21">
      <c r="A22" s="2660" t="s">
        <v>953</v>
      </c>
      <c r="B22" s="1658" t="s">
        <v>1965</v>
      </c>
      <c r="C22" s="1683">
        <f>'数据-汇总表'!D3</f>
        <v>96912.82</v>
      </c>
      <c r="D22" s="1684" t="s">
        <v>1964</v>
      </c>
      <c r="E22" s="3598" t="s">
        <v>2898</v>
      </c>
      <c r="F22" s="3599"/>
      <c r="G22" s="3599"/>
      <c r="H22" s="3599"/>
      <c r="I22" s="3600"/>
      <c r="J22" s="1691"/>
      <c r="K22" s="1771"/>
      <c r="L22" s="1720"/>
      <c r="M22" s="1720"/>
      <c r="N22" s="1691"/>
      <c r="O22" s="1692"/>
      <c r="P22" s="1691"/>
      <c r="Q22" s="1691"/>
      <c r="R22" s="1691"/>
      <c r="S22" s="1691"/>
      <c r="T22" s="1691"/>
      <c r="U22" s="1691"/>
    </row>
    <row r="23" spans="1:21" ht="43.5" thickBot="1">
      <c r="A23" s="1762" t="s">
        <v>1966</v>
      </c>
      <c r="B23" s="1698" t="s">
        <v>1967</v>
      </c>
      <c r="C23" s="1699"/>
      <c r="D23" s="1700" t="s">
        <v>1968</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1969</v>
      </c>
      <c r="B24" s="3601" t="s">
        <v>1970</v>
      </c>
      <c r="C24" s="3602"/>
      <c r="D24" s="3603" t="s">
        <v>1971</v>
      </c>
      <c r="E24" s="3604"/>
      <c r="F24" s="1705" t="s">
        <v>1972</v>
      </c>
      <c r="G24" s="1691"/>
      <c r="H24" s="1691"/>
      <c r="I24" s="1704"/>
      <c r="J24" s="1691"/>
      <c r="K24" s="3589" t="s">
        <v>1973</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2329</v>
      </c>
      <c r="C25" s="1706" t="s">
        <v>1974</v>
      </c>
      <c r="D25" s="1707"/>
      <c r="E25" s="1708" t="s">
        <v>953</v>
      </c>
      <c r="F25" s="1709"/>
      <c r="G25" s="1691"/>
      <c r="H25" s="1691"/>
      <c r="I25" s="1704"/>
      <c r="J25" s="1691"/>
      <c r="K25" s="3589"/>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1975</v>
      </c>
      <c r="C26" s="1706" t="s">
        <v>2330</v>
      </c>
      <c r="D26" s="1657"/>
      <c r="E26" s="1657"/>
      <c r="F26" s="1685"/>
      <c r="G26" s="1691"/>
      <c r="H26" s="1691"/>
      <c r="I26" s="1704"/>
      <c r="J26" s="1691"/>
      <c r="K26" s="3589"/>
      <c r="L26" s="2479" t="str">
        <f>IF(E24="否","",IF('结果表-正常'!H33="同一抵押权人同一抵押物续贷","由于本次评估为同一抵押权人的续贷土地抵押估价，故未将已抵押担保的债权数额（"&amp;C31&amp;"）作为法定优先受偿款予以扣减。",IF('结果表-正常'!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1976</v>
      </c>
      <c r="B27" s="1750" t="s">
        <v>1977</v>
      </c>
      <c r="C27" s="1710"/>
      <c r="D27" s="2674" t="s">
        <v>1977</v>
      </c>
      <c r="E27" s="1711"/>
      <c r="F27" s="1685"/>
      <c r="G27" s="1691"/>
      <c r="H27" s="1691"/>
      <c r="I27" s="1704"/>
      <c r="J27" s="1691"/>
      <c r="K27" s="1771"/>
      <c r="L27" s="1720"/>
      <c r="M27" s="1720"/>
      <c r="N27" s="1691"/>
      <c r="O27" s="1692"/>
      <c r="P27" s="1691"/>
      <c r="Q27" s="1691"/>
      <c r="R27" s="1691"/>
      <c r="S27" s="1691"/>
      <c r="T27" s="1691"/>
      <c r="U27" s="1691"/>
    </row>
    <row r="28" spans="1:21">
      <c r="A28" s="1753"/>
      <c r="B28" s="1750" t="s">
        <v>1978</v>
      </c>
      <c r="C28" s="1712"/>
      <c r="D28" s="2675" t="s">
        <v>1978</v>
      </c>
      <c r="E28" s="1713"/>
      <c r="F28" s="1685"/>
      <c r="G28" s="1691"/>
      <c r="H28" s="1691"/>
      <c r="I28" s="1704"/>
      <c r="J28" s="1691"/>
      <c r="K28" s="1771"/>
      <c r="L28" s="1720"/>
      <c r="M28" s="1720"/>
      <c r="N28" s="1691"/>
      <c r="O28" s="1692"/>
      <c r="P28" s="1691"/>
      <c r="Q28" s="1691"/>
      <c r="R28" s="1691"/>
      <c r="S28" s="1691"/>
      <c r="T28" s="1691"/>
      <c r="U28" s="1691"/>
    </row>
    <row r="29" spans="1:21">
      <c r="A29" s="1753"/>
      <c r="B29" s="1750" t="s">
        <v>1979</v>
      </c>
      <c r="C29" s="1712"/>
      <c r="D29" s="2675" t="s">
        <v>1979</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1980</v>
      </c>
      <c r="C30" s="1714"/>
      <c r="D30" s="2676" t="s">
        <v>1980</v>
      </c>
      <c r="E30" s="1715"/>
      <c r="F30" s="1686"/>
      <c r="G30" s="1739"/>
      <c r="H30" s="1739"/>
      <c r="I30" s="1740"/>
      <c r="J30" s="1691"/>
      <c r="K30" s="1771"/>
      <c r="L30" s="1720"/>
      <c r="M30" s="1720"/>
      <c r="N30" s="1691"/>
      <c r="O30" s="1692"/>
      <c r="P30" s="1691"/>
      <c r="Q30" s="1691"/>
      <c r="R30" s="1691"/>
      <c r="S30" s="1691"/>
      <c r="T30" s="1691"/>
      <c r="U30" s="1691"/>
    </row>
    <row r="31" spans="1:21" ht="15" thickTop="1">
      <c r="A31" s="3616" t="s">
        <v>2005</v>
      </c>
      <c r="B31" s="1761" t="s">
        <v>2006</v>
      </c>
      <c r="C31" s="3614"/>
      <c r="D31" s="3615"/>
      <c r="E31" s="1691"/>
      <c r="F31" s="1691"/>
      <c r="G31" s="1691"/>
      <c r="H31" s="1691"/>
      <c r="I31" s="1704"/>
      <c r="J31" s="1691"/>
      <c r="K31" s="2480"/>
      <c r="L31" s="1691"/>
      <c r="M31" s="1691"/>
      <c r="N31" s="1691"/>
      <c r="O31" s="1691"/>
      <c r="P31" s="1691"/>
      <c r="Q31" s="1691"/>
      <c r="R31" s="1691"/>
      <c r="S31" s="1691"/>
      <c r="T31" s="1691"/>
      <c r="U31" s="1691"/>
    </row>
    <row r="32" spans="1:21">
      <c r="A32" s="3616"/>
      <c r="B32" s="1658" t="s">
        <v>2007</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616"/>
      <c r="B33" s="1658" t="s">
        <v>2008</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617"/>
      <c r="B34" s="1658" t="s">
        <v>2009</v>
      </c>
      <c r="C34" s="3618"/>
      <c r="D34" s="3619"/>
      <c r="E34" s="1691"/>
      <c r="F34" s="1691"/>
      <c r="G34" s="1691"/>
      <c r="H34" s="1691"/>
      <c r="I34" s="1704"/>
      <c r="J34" s="1691"/>
      <c r="K34" s="2480"/>
      <c r="L34" s="1691"/>
      <c r="M34" s="1691"/>
      <c r="N34" s="1691"/>
      <c r="O34" s="1691"/>
      <c r="P34" s="1691"/>
      <c r="Q34" s="1691"/>
      <c r="R34" s="1691"/>
      <c r="S34" s="1691"/>
      <c r="T34" s="1691"/>
      <c r="U34" s="1691"/>
    </row>
    <row r="35" spans="1:21">
      <c r="A35" s="3620" t="s">
        <v>848</v>
      </c>
      <c r="B35" s="1719"/>
      <c r="C35" s="1773" t="str">
        <f>IF(B35="场地平整","——","具体情况：")</f>
        <v>具体情况：</v>
      </c>
      <c r="D35" s="3622"/>
      <c r="E35" s="3623"/>
      <c r="F35" s="3623"/>
      <c r="G35" s="3623"/>
      <c r="H35" s="3623"/>
      <c r="I35" s="3624"/>
      <c r="J35" s="1691"/>
      <c r="K35" s="1772"/>
      <c r="L35" s="1720"/>
      <c r="M35" s="1720"/>
      <c r="N35" s="1691"/>
      <c r="O35" s="1692"/>
      <c r="P35" s="1691"/>
      <c r="Q35" s="1691"/>
      <c r="R35" s="1691"/>
      <c r="S35" s="1691"/>
      <c r="T35" s="1691"/>
      <c r="U35" s="1691"/>
    </row>
    <row r="36" spans="1:21">
      <c r="A36" s="3616"/>
      <c r="B36" s="3625" t="s">
        <v>2058</v>
      </c>
      <c r="C36" s="3626"/>
      <c r="D36" s="1789"/>
      <c r="E36" s="3627"/>
      <c r="F36" s="3627"/>
      <c r="G36" s="1684" t="str">
        <f>IF(B35="场地未平整","估价结果处理","")</f>
        <v/>
      </c>
      <c r="H36" s="3628"/>
      <c r="I36" s="3628"/>
      <c r="J36" s="1691"/>
      <c r="K36" s="1772"/>
      <c r="L36" s="1720"/>
      <c r="M36" s="1720"/>
      <c r="N36" s="1691"/>
      <c r="O36" s="1692"/>
      <c r="P36" s="1691"/>
      <c r="Q36" s="1691"/>
      <c r="R36" s="1691"/>
      <c r="S36" s="1691"/>
      <c r="T36" s="1691"/>
      <c r="U36" s="1691"/>
    </row>
    <row r="37" spans="1:21" ht="28.5">
      <c r="A37" s="3616"/>
      <c r="B37" s="3605" t="s">
        <v>849</v>
      </c>
      <c r="C37" s="1721" t="s">
        <v>850</v>
      </c>
      <c r="D37" s="1722"/>
      <c r="E37" s="1723"/>
      <c r="F37" s="1691"/>
      <c r="G37" s="1691"/>
      <c r="H37" s="1691"/>
      <c r="I37" s="1704"/>
      <c r="J37" s="1691"/>
      <c r="K37" s="1772"/>
      <c r="L37" s="1691"/>
      <c r="M37" s="1691"/>
      <c r="N37" s="1691"/>
      <c r="O37" s="1691"/>
      <c r="P37" s="1691"/>
      <c r="Q37" s="1691"/>
      <c r="R37" s="1691"/>
      <c r="S37" s="1691"/>
      <c r="T37" s="1691"/>
      <c r="U37" s="1691"/>
    </row>
    <row r="38" spans="1:21">
      <c r="A38" s="3616"/>
      <c r="B38" s="3606"/>
      <c r="C38" s="1666" t="s">
        <v>851</v>
      </c>
      <c r="D38" s="1788">
        <f>ROUNDDOWN(MIN(('数据-取费表'!$B$2-D37)/365,D34),1)</f>
        <v>118.2</v>
      </c>
      <c r="E38" s="1724" t="s">
        <v>852</v>
      </c>
      <c r="F38" s="1691"/>
      <c r="G38" s="1691"/>
      <c r="H38" s="1691"/>
      <c r="I38" s="1704"/>
      <c r="J38" s="1691"/>
      <c r="K38" s="1772"/>
      <c r="L38" s="1691"/>
      <c r="M38" s="1691"/>
      <c r="N38" s="1691"/>
      <c r="O38" s="1691"/>
      <c r="P38" s="1691"/>
      <c r="Q38" s="1691"/>
      <c r="R38" s="1691"/>
      <c r="S38" s="1691"/>
      <c r="T38" s="1691"/>
      <c r="U38" s="1691"/>
    </row>
    <row r="39" spans="1:21">
      <c r="A39" s="3617"/>
      <c r="B39" s="3607"/>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1981</v>
      </c>
      <c r="B40" s="1687"/>
      <c r="C40" s="1687"/>
      <c r="D40" s="1687"/>
      <c r="E40" s="1687"/>
      <c r="F40" s="1687"/>
      <c r="G40" s="1687"/>
      <c r="H40" s="1687"/>
      <c r="I40" s="1704"/>
      <c r="J40" s="1691"/>
      <c r="K40" s="1727">
        <f>COUNTIF(B40:H40,"——")</f>
        <v>0</v>
      </c>
      <c r="L40" s="1696" t="s">
        <v>1982</v>
      </c>
      <c r="M40" s="1693" t="s">
        <v>1983</v>
      </c>
      <c r="N40" s="1693" t="s">
        <v>1984</v>
      </c>
      <c r="O40" s="1693" t="s">
        <v>1985</v>
      </c>
      <c r="P40" s="1693" t="s">
        <v>1986</v>
      </c>
      <c r="Q40" s="1693" t="s">
        <v>1987</v>
      </c>
      <c r="R40" s="1693" t="s">
        <v>1988</v>
      </c>
      <c r="S40" s="3588" t="s">
        <v>1989</v>
      </c>
      <c r="T40" s="1728" t="str">
        <f>NUMBERSTRING(7-K40,1)&amp;"通"</f>
        <v>七通</v>
      </c>
      <c r="U40" s="1691"/>
    </row>
    <row r="41" spans="1:21">
      <c r="A41" s="1660"/>
      <c r="B41" s="3621" t="s">
        <v>1723</v>
      </c>
      <c r="C41" s="3621"/>
      <c r="D41" s="3621"/>
      <c r="E41" s="3621"/>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588"/>
      <c r="T41" s="1730" t="str">
        <f>IF(T40="一通",L41,IF(T40="二通",M41,IF(T40="三通",N41,IF(T40="四通",O41,IF(T40="五通",P41,IF(T40="六通",Q41,R41))))))</f>
        <v>、、、、、、</v>
      </c>
      <c r="U41" s="1691"/>
    </row>
    <row r="42" spans="1:21">
      <c r="A42" s="1732"/>
      <c r="B42" s="1763" t="s">
        <v>1899</v>
      </c>
      <c r="C42" s="1763" t="s">
        <v>1900</v>
      </c>
      <c r="D42" s="1763" t="s">
        <v>1901</v>
      </c>
      <c r="E42" s="1696" t="s">
        <v>1902</v>
      </c>
      <c r="F42" s="1733"/>
      <c r="G42" s="1691"/>
      <c r="H42" s="1691"/>
      <c r="I42" s="1704"/>
      <c r="J42" s="1691"/>
      <c r="K42" s="1771"/>
      <c r="L42" s="1720"/>
      <c r="M42" s="1720"/>
      <c r="N42" s="1691"/>
      <c r="O42" s="1692"/>
      <c r="P42" s="1691"/>
      <c r="Q42" s="1691"/>
      <c r="R42" s="1691"/>
      <c r="S42" s="1691"/>
      <c r="T42" s="1691"/>
      <c r="U42" s="1691"/>
    </row>
    <row r="43" spans="1:21">
      <c r="A43" s="1734" t="s">
        <v>1708</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1709</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6" customFormat="1" ht="21" thickBot="1">
      <c r="A45" s="3097" t="s">
        <v>2899</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2010</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2011</v>
      </c>
      <c r="B48" s="1683" t="s">
        <v>2012</v>
      </c>
      <c r="C48" s="1683" t="s">
        <v>2013</v>
      </c>
      <c r="D48" s="1683" t="s">
        <v>2014</v>
      </c>
      <c r="E48" s="1683" t="s">
        <v>2015</v>
      </c>
      <c r="F48" s="1683" t="s">
        <v>2016</v>
      </c>
      <c r="G48" s="1683" t="s">
        <v>2017</v>
      </c>
      <c r="H48" s="1683" t="s">
        <v>2018</v>
      </c>
      <c r="I48" s="1683" t="s">
        <v>2019</v>
      </c>
      <c r="J48" s="1769" t="s">
        <v>2020</v>
      </c>
      <c r="K48" s="1763" t="s">
        <v>2021</v>
      </c>
      <c r="L48" s="1763" t="s">
        <v>2022</v>
      </c>
      <c r="M48" s="1763" t="s">
        <v>2023</v>
      </c>
      <c r="N48" s="1683" t="s">
        <v>2024</v>
      </c>
      <c r="O48" s="1683" t="s">
        <v>2025</v>
      </c>
      <c r="P48" s="1683" t="s">
        <v>2026</v>
      </c>
      <c r="Q48" s="1696" t="s">
        <v>2027</v>
      </c>
      <c r="R48" s="1696" t="s">
        <v>2028</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B22" sqref="B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2337</v>
      </c>
      <c r="BA2" s="2359" t="s">
        <v>2336</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483">
        <f>'企业可研（2017年8月版）'!D3</f>
        <v>96912.82</v>
      </c>
      <c r="B3" s="21">
        <f>IF(C3="否",G5-AT5,G5)</f>
        <v>287739</v>
      </c>
      <c r="C3" s="22" t="s">
        <v>1680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287739</v>
      </c>
      <c r="H5" s="26">
        <f t="shared" ref="H5:AT5" si="0">SUM(H13:H641)</f>
        <v>279106</v>
      </c>
      <c r="I5" s="26">
        <f t="shared" si="0"/>
        <v>157403</v>
      </c>
      <c r="J5" s="26">
        <f t="shared" si="0"/>
        <v>0</v>
      </c>
      <c r="K5" s="26">
        <f t="shared" si="0"/>
        <v>55628</v>
      </c>
      <c r="L5" s="26">
        <f t="shared" si="0"/>
        <v>0</v>
      </c>
      <c r="M5" s="26">
        <f t="shared" si="0"/>
        <v>66075</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8633</v>
      </c>
      <c r="AD5" s="26">
        <f t="shared" si="0"/>
        <v>0</v>
      </c>
      <c r="AE5" s="26">
        <f t="shared" si="0"/>
        <v>0</v>
      </c>
      <c r="AF5" s="26">
        <f t="shared" si="0"/>
        <v>0</v>
      </c>
      <c r="AG5" s="26">
        <f t="shared" si="0"/>
        <v>0</v>
      </c>
      <c r="AH5" s="26">
        <f t="shared" si="0"/>
        <v>0</v>
      </c>
      <c r="AI5" s="26">
        <f t="shared" si="0"/>
        <v>0</v>
      </c>
      <c r="AJ5" s="26">
        <f t="shared" si="0"/>
        <v>0</v>
      </c>
      <c r="AK5" s="26">
        <f t="shared" si="0"/>
        <v>0</v>
      </c>
      <c r="AL5" s="26">
        <f t="shared" si="0"/>
        <v>8633</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168</v>
      </c>
      <c r="AW5" s="987"/>
      <c r="AX5" s="987"/>
      <c r="AY5" s="27" t="s">
        <v>3</v>
      </c>
      <c r="AZ5" s="28">
        <f t="shared" ref="AZ5:BT5" si="1">SUM(AZ13:AZ641)</f>
        <v>287739</v>
      </c>
      <c r="BA5" s="28">
        <f t="shared" si="1"/>
        <v>279106</v>
      </c>
      <c r="BB5" s="28">
        <f t="shared" si="1"/>
        <v>157403</v>
      </c>
      <c r="BC5" s="28">
        <f t="shared" si="1"/>
        <v>55628</v>
      </c>
      <c r="BD5" s="28">
        <f t="shared" si="1"/>
        <v>66075</v>
      </c>
      <c r="BE5" s="28">
        <f t="shared" si="1"/>
        <v>0</v>
      </c>
      <c r="BF5" s="28">
        <f t="shared" si="1"/>
        <v>0</v>
      </c>
      <c r="BG5" s="28">
        <f t="shared" si="1"/>
        <v>0</v>
      </c>
      <c r="BH5" s="28">
        <f t="shared" si="1"/>
        <v>0</v>
      </c>
      <c r="BI5" s="28">
        <f t="shared" si="1"/>
        <v>0</v>
      </c>
      <c r="BJ5" s="28">
        <f t="shared" si="1"/>
        <v>0</v>
      </c>
      <c r="BK5" s="28">
        <f t="shared" si="1"/>
        <v>0</v>
      </c>
      <c r="BL5" s="28">
        <f t="shared" si="1"/>
        <v>8633</v>
      </c>
      <c r="BM5" s="28">
        <f t="shared" si="1"/>
        <v>0</v>
      </c>
      <c r="BN5" s="28">
        <f t="shared" si="1"/>
        <v>0</v>
      </c>
      <c r="BO5" s="28">
        <f t="shared" si="1"/>
        <v>0</v>
      </c>
      <c r="BP5" s="28">
        <f t="shared" si="1"/>
        <v>0</v>
      </c>
      <c r="BQ5" s="28">
        <f t="shared" si="1"/>
        <v>8633</v>
      </c>
      <c r="BR5" s="28">
        <f t="shared" si="1"/>
        <v>0</v>
      </c>
      <c r="BS5" s="28">
        <f t="shared" si="1"/>
        <v>0</v>
      </c>
      <c r="BT5" s="29">
        <f t="shared" si="1"/>
        <v>0</v>
      </c>
    </row>
    <row r="6" spans="1:72" s="36" customFormat="1" ht="12.75">
      <c r="A6" s="25" t="s">
        <v>169</v>
      </c>
      <c r="B6" s="30"/>
      <c r="C6" s="30"/>
      <c r="D6" s="31"/>
      <c r="E6" s="26">
        <f>H6+AC6+AT6</f>
        <v>96912.81</v>
      </c>
      <c r="F6" s="26" t="s">
        <v>1</v>
      </c>
      <c r="G6" s="26" t="s">
        <v>2</v>
      </c>
      <c r="H6" s="32">
        <f>SUMIF(I$12:AB$12,"总值",I6:AB6)</f>
        <v>94005.15</v>
      </c>
      <c r="I6" s="26">
        <f t="shared" ref="I6:AB6" si="2">ROUND($A$3*I5/$B$3,2)</f>
        <v>53014.6</v>
      </c>
      <c r="J6" s="26">
        <f t="shared" si="2"/>
        <v>0</v>
      </c>
      <c r="K6" s="26">
        <f t="shared" si="2"/>
        <v>18735.96</v>
      </c>
      <c r="L6" s="26">
        <f t="shared" si="2"/>
        <v>0</v>
      </c>
      <c r="M6" s="26">
        <f t="shared" si="2"/>
        <v>22254.59</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2907.66</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2907.66</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96912.82</v>
      </c>
      <c r="AZ6" s="26" t="s">
        <v>3</v>
      </c>
      <c r="BA6" s="26">
        <f>ROUND($AY$6*BA5/$AZ$5,2)</f>
        <v>94005.16</v>
      </c>
      <c r="BB6" s="26">
        <f>ROUND($AY$6*BB5/$AZ$5,2)</f>
        <v>53014.6</v>
      </c>
      <c r="BC6" s="26">
        <f t="shared" ref="BC6:BH6" si="4">ROUND($AY$6*BC5/$AZ$5,2)</f>
        <v>18735.96</v>
      </c>
      <c r="BD6" s="26">
        <f t="shared" si="4"/>
        <v>22254.59</v>
      </c>
      <c r="BE6" s="26">
        <f t="shared" si="4"/>
        <v>0</v>
      </c>
      <c r="BF6" s="26">
        <f t="shared" si="4"/>
        <v>0</v>
      </c>
      <c r="BG6" s="26">
        <f t="shared" si="4"/>
        <v>0</v>
      </c>
      <c r="BH6" s="26">
        <f t="shared" si="4"/>
        <v>0</v>
      </c>
      <c r="BI6" s="26">
        <f t="shared" ref="BI6:BT6" si="5">ROUND($AY$6*BI5/$AZ$5,2)</f>
        <v>0</v>
      </c>
      <c r="BJ6" s="26">
        <f t="shared" si="5"/>
        <v>0</v>
      </c>
      <c r="BK6" s="26">
        <f t="shared" si="5"/>
        <v>0</v>
      </c>
      <c r="BL6" s="26">
        <f t="shared" si="5"/>
        <v>2907.66</v>
      </c>
      <c r="BM6" s="26">
        <f t="shared" si="5"/>
        <v>0</v>
      </c>
      <c r="BN6" s="26">
        <f t="shared" si="5"/>
        <v>0</v>
      </c>
      <c r="BO6" s="26">
        <f t="shared" si="5"/>
        <v>0</v>
      </c>
      <c r="BP6" s="26">
        <f t="shared" si="5"/>
        <v>0</v>
      </c>
      <c r="BQ6" s="26">
        <f t="shared" si="5"/>
        <v>2907.66</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5"/>
      <c r="AT8" s="2326" t="s">
        <v>856</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3042" t="s">
        <v>3190</v>
      </c>
      <c r="J9" s="50"/>
      <c r="K9" s="3042" t="s">
        <v>3190</v>
      </c>
      <c r="L9" s="50"/>
      <c r="M9" s="3042" t="s">
        <v>3193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7"/>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3042" t="s">
        <v>924</v>
      </c>
      <c r="J10" s="50"/>
      <c r="K10" s="3044" t="s">
        <v>924</v>
      </c>
      <c r="L10" s="50"/>
      <c r="M10" s="3044" t="s">
        <v>3194</v>
      </c>
      <c r="N10" s="50"/>
      <c r="O10" s="65"/>
      <c r="P10" s="50"/>
      <c r="Q10" s="65"/>
      <c r="R10" s="50"/>
      <c r="S10" s="65"/>
      <c r="T10" s="50"/>
      <c r="U10" s="65"/>
      <c r="V10" s="50"/>
      <c r="W10" s="65"/>
      <c r="X10" s="50"/>
      <c r="Y10" s="65"/>
      <c r="Z10" s="50"/>
      <c r="AA10" s="65"/>
      <c r="AB10" s="50"/>
      <c r="AC10" s="54"/>
      <c r="AD10" s="2312" t="s">
        <v>2321</v>
      </c>
      <c r="AE10" s="2334"/>
      <c r="AF10" s="2312" t="s">
        <v>2321</v>
      </c>
      <c r="AG10" s="2334"/>
      <c r="AH10" s="2312" t="s">
        <v>2322</v>
      </c>
      <c r="AI10" s="2334"/>
      <c r="AJ10" s="25" t="s">
        <v>2335</v>
      </c>
      <c r="AK10" s="2331"/>
      <c r="AL10" s="2312" t="s">
        <v>2323</v>
      </c>
      <c r="AM10" s="2313"/>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43" t="s">
        <v>3191</v>
      </c>
      <c r="J11" s="70"/>
      <c r="K11" s="3043" t="s">
        <v>3192</v>
      </c>
      <c r="L11" s="70"/>
      <c r="M11" s="3044" t="s">
        <v>3194</v>
      </c>
      <c r="N11" s="70"/>
      <c r="O11" s="69"/>
      <c r="P11" s="70"/>
      <c r="Q11" s="69"/>
      <c r="R11" s="70"/>
      <c r="S11" s="69"/>
      <c r="T11" s="70"/>
      <c r="U11" s="69"/>
      <c r="V11" s="70"/>
      <c r="W11" s="69"/>
      <c r="X11" s="70"/>
      <c r="Y11" s="69"/>
      <c r="Z11" s="70"/>
      <c r="AA11" s="69"/>
      <c r="AB11" s="70"/>
      <c r="AC11" s="54"/>
      <c r="AD11" s="2332" t="s">
        <v>2334</v>
      </c>
      <c r="AE11" s="1000"/>
      <c r="AF11" s="2332" t="s">
        <v>2334</v>
      </c>
      <c r="AG11" s="1000"/>
      <c r="AH11" s="2332" t="s">
        <v>2333</v>
      </c>
      <c r="AI11" s="2333"/>
      <c r="AJ11" s="2332" t="s">
        <v>2333</v>
      </c>
      <c r="AK11" s="2331"/>
      <c r="AL11" s="998"/>
      <c r="AM11" s="1000"/>
      <c r="AN11" s="998"/>
      <c r="AO11" s="1000"/>
      <c r="AP11" s="1186"/>
      <c r="AQ11" s="1188"/>
      <c r="AR11" s="1186"/>
      <c r="AS11" s="1188"/>
      <c r="AT11" s="1001"/>
      <c r="AU11" s="44"/>
      <c r="AV11" s="54"/>
      <c r="AW11" s="1001"/>
      <c r="AX11" s="54"/>
      <c r="AY11" s="61"/>
      <c r="AZ11" s="61"/>
      <c r="BA11" s="61"/>
      <c r="BB11" s="49" t="str">
        <f>I10</f>
        <v>住宅</v>
      </c>
      <c r="BC11" s="49" t="str">
        <f>K10</f>
        <v>住宅</v>
      </c>
      <c r="BD11" s="49" t="str">
        <f>M10</f>
        <v>车库</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普通住宅</v>
      </c>
      <c r="BC12" s="78" t="str">
        <f>K11</f>
        <v>洋房</v>
      </c>
      <c r="BD12" s="78" t="str">
        <f>M11</f>
        <v>车库</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37"/>
      <c r="B13" s="3037"/>
      <c r="C13" s="3037"/>
      <c r="D13" s="3038" t="s">
        <v>1680</v>
      </c>
      <c r="E13" s="26">
        <f t="shared" ref="E13:E20" si="6">IF($C$3="是",ROUND($A$3*G13/$B$3,2),ROUND($A$3*(G13-AT13)/$B$3,2))</f>
        <v>96912.82</v>
      </c>
      <c r="F13" s="80"/>
      <c r="G13" s="81">
        <f t="shared" ref="G13:G20" si="7">H13+AC13+AT13</f>
        <v>287739</v>
      </c>
      <c r="H13" s="32">
        <f t="shared" ref="H13:H20" si="8">SUMIF(I$12:AB$12,"总值",I13:AB13)</f>
        <v>279106</v>
      </c>
      <c r="I13" s="3499">
        <f>'企业可研（2017年8月版）'!D6</f>
        <v>157403</v>
      </c>
      <c r="J13" s="3500"/>
      <c r="K13" s="3501">
        <f>'企业可研（2017年8月版）'!D7</f>
        <v>55628</v>
      </c>
      <c r="L13" s="3041"/>
      <c r="M13" s="3501">
        <f>'企业可研（2017年8月版）'!D14</f>
        <v>66075</v>
      </c>
      <c r="N13" s="82"/>
      <c r="O13" s="82"/>
      <c r="P13" s="82"/>
      <c r="Q13" s="82"/>
      <c r="R13" s="82"/>
      <c r="S13" s="82"/>
      <c r="T13" s="82"/>
      <c r="U13" s="82"/>
      <c r="V13" s="82"/>
      <c r="W13" s="82"/>
      <c r="X13" s="82"/>
      <c r="Y13" s="82"/>
      <c r="Z13" s="82"/>
      <c r="AA13" s="82"/>
      <c r="AB13" s="82"/>
      <c r="AC13" s="26">
        <f t="shared" ref="AC13:AC20" si="9">SUMIF(AD$12:AS$12,"总值",AD13:AS13)</f>
        <v>8633</v>
      </c>
      <c r="AD13" s="3045"/>
      <c r="AE13" s="3045"/>
      <c r="AF13" s="3045"/>
      <c r="AG13" s="3045"/>
      <c r="AH13" s="3045"/>
      <c r="AI13" s="3045"/>
      <c r="AJ13" s="3045"/>
      <c r="AK13" s="3045"/>
      <c r="AL13" s="3502">
        <f>('企业可研（2017年8月版）'!D8+'企业可研（2017年8月版）'!D9+'企业可研（2017年8月版）'!D10+'企业可研（2017年8月版）'!D11+'企业可研（2017年8月版）'!D12)+('企业可研（2017年8月版）'!D13-'企业可研（2017年8月版）'!D14)</f>
        <v>8633</v>
      </c>
      <c r="AM13" s="3502"/>
      <c r="AN13" s="3501"/>
      <c r="AO13" s="3045"/>
      <c r="AP13" s="3045"/>
      <c r="AQ13" s="3045"/>
      <c r="AR13" s="3045"/>
      <c r="AS13" s="3045"/>
      <c r="AT13" s="3046"/>
      <c r="AU13" s="3047"/>
      <c r="AV13" s="17">
        <f t="shared" ref="AV13:AX20" si="10">A13</f>
        <v>0</v>
      </c>
      <c r="AW13" s="17">
        <f t="shared" si="10"/>
        <v>0</v>
      </c>
      <c r="AX13" s="17">
        <f t="shared" si="10"/>
        <v>0</v>
      </c>
      <c r="AY13" s="994">
        <f t="shared" ref="AY13:AY20" si="11">ROUND($AY$6*AZ13/$AZ$5,2)</f>
        <v>96912.82</v>
      </c>
      <c r="AZ13" s="26">
        <f t="shared" ref="AZ13:AZ20" si="12">BA13+BL13</f>
        <v>287739</v>
      </c>
      <c r="BA13" s="26">
        <f t="shared" ref="BA13:BA20" si="13">SUM(BB13:BK13)</f>
        <v>279106</v>
      </c>
      <c r="BB13" s="26">
        <f t="shared" ref="BB13:BB20" si="14">IF($D13="是",I13-J13,0)</f>
        <v>157403</v>
      </c>
      <c r="BC13" s="26">
        <f t="shared" ref="BC13:BC20" si="15">IF($D13="是",K13-L13,0)</f>
        <v>55628</v>
      </c>
      <c r="BD13" s="26">
        <f t="shared" ref="BD13:BD20" si="16">IF($D13="是",M13-N13,0)</f>
        <v>66075</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8633</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8633</v>
      </c>
      <c r="BR13" s="26">
        <f t="shared" ref="BR13:BR20" si="30">IF($D13="是",AN13-AO13,0)</f>
        <v>0</v>
      </c>
      <c r="BS13" s="26">
        <f t="shared" ref="BS13:BS20" si="31">IF($D13="是",AP13-AQ13,0)</f>
        <v>0</v>
      </c>
      <c r="BT13" s="35">
        <f t="shared" ref="BT13:BT20" si="32">IF($D13="是",AR13-AS13,0)</f>
        <v>0</v>
      </c>
    </row>
    <row r="14" spans="1:72" s="18" customFormat="1" ht="12.75">
      <c r="A14" s="3037"/>
      <c r="B14" s="3037"/>
      <c r="C14" s="3039"/>
      <c r="D14" s="3038"/>
      <c r="E14" s="26">
        <f t="shared" si="6"/>
        <v>0</v>
      </c>
      <c r="F14" s="80"/>
      <c r="G14" s="81">
        <f t="shared" si="7"/>
        <v>0</v>
      </c>
      <c r="H14" s="32">
        <f t="shared" si="8"/>
        <v>0</v>
      </c>
      <c r="I14" s="3041"/>
      <c r="J14" s="3041"/>
      <c r="K14" s="3041"/>
      <c r="L14" s="3041"/>
      <c r="M14" s="3041"/>
      <c r="N14" s="82"/>
      <c r="O14" s="82"/>
      <c r="P14" s="82"/>
      <c r="Q14" s="82"/>
      <c r="R14" s="82"/>
      <c r="S14" s="82"/>
      <c r="T14" s="82"/>
      <c r="U14" s="82"/>
      <c r="V14" s="82"/>
      <c r="W14" s="82"/>
      <c r="X14" s="82"/>
      <c r="Y14" s="82"/>
      <c r="Z14" s="82"/>
      <c r="AA14" s="82"/>
      <c r="AB14" s="82"/>
      <c r="AC14" s="26">
        <f t="shared" si="9"/>
        <v>0</v>
      </c>
      <c r="AD14" s="3045"/>
      <c r="AE14" s="3045"/>
      <c r="AF14" s="3045"/>
      <c r="AG14" s="3045"/>
      <c r="AH14" s="3045"/>
      <c r="AI14" s="3045"/>
      <c r="AJ14" s="3045"/>
      <c r="AK14" s="3045"/>
      <c r="AL14" s="3502"/>
      <c r="AM14" s="3502"/>
      <c r="AN14" s="3502"/>
      <c r="AO14" s="3045"/>
      <c r="AP14" s="3045"/>
      <c r="AQ14" s="3045"/>
      <c r="AR14" s="3045"/>
      <c r="AS14" s="3045"/>
      <c r="AT14" s="3046"/>
      <c r="AU14" s="3047"/>
      <c r="AV14" s="17">
        <f t="shared" si="10"/>
        <v>0</v>
      </c>
      <c r="AW14" s="17">
        <f t="shared" si="10"/>
        <v>0</v>
      </c>
      <c r="AX14" s="17">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7"/>
      <c r="B15" s="3037"/>
      <c r="C15" s="3039"/>
      <c r="D15" s="3038"/>
      <c r="E15" s="26">
        <f t="shared" si="6"/>
        <v>0</v>
      </c>
      <c r="F15" s="80"/>
      <c r="G15" s="81">
        <f t="shared" si="7"/>
        <v>0</v>
      </c>
      <c r="H15" s="32">
        <f t="shared" si="8"/>
        <v>0</v>
      </c>
      <c r="I15" s="3041"/>
      <c r="J15" s="3041"/>
      <c r="K15" s="3041"/>
      <c r="L15" s="3041"/>
      <c r="M15" s="3041"/>
      <c r="N15" s="82"/>
      <c r="O15" s="82"/>
      <c r="P15" s="82"/>
      <c r="Q15" s="82"/>
      <c r="R15" s="82"/>
      <c r="S15" s="82"/>
      <c r="T15" s="82"/>
      <c r="U15" s="82"/>
      <c r="V15" s="82"/>
      <c r="W15" s="82"/>
      <c r="X15" s="82"/>
      <c r="Y15" s="82"/>
      <c r="Z15" s="82"/>
      <c r="AA15" s="82"/>
      <c r="AB15" s="82"/>
      <c r="AC15" s="26">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7"/>
      <c r="B16" s="3037"/>
      <c r="C16" s="3039"/>
      <c r="D16" s="3038"/>
      <c r="E16" s="26">
        <f t="shared" si="6"/>
        <v>0</v>
      </c>
      <c r="F16" s="80"/>
      <c r="G16" s="81">
        <f t="shared" si="7"/>
        <v>0</v>
      </c>
      <c r="H16" s="32">
        <f t="shared" si="8"/>
        <v>0</v>
      </c>
      <c r="I16" s="3041"/>
      <c r="J16" s="3041"/>
      <c r="K16" s="3041"/>
      <c r="L16" s="3041"/>
      <c r="M16" s="3041"/>
      <c r="N16" s="82"/>
      <c r="O16" s="82"/>
      <c r="P16" s="82"/>
      <c r="Q16" s="82"/>
      <c r="R16" s="82"/>
      <c r="S16" s="82"/>
      <c r="T16" s="82"/>
      <c r="U16" s="82"/>
      <c r="V16" s="82"/>
      <c r="W16" s="82"/>
      <c r="X16" s="82"/>
      <c r="Y16" s="82"/>
      <c r="Z16" s="82"/>
      <c r="AA16" s="82"/>
      <c r="AB16" s="82"/>
      <c r="AC16" s="26">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7"/>
      <c r="B17" s="3037"/>
      <c r="C17" s="3039"/>
      <c r="D17" s="3038"/>
      <c r="E17" s="26">
        <f t="shared" si="6"/>
        <v>0</v>
      </c>
      <c r="F17" s="80"/>
      <c r="G17" s="81">
        <f t="shared" si="7"/>
        <v>0</v>
      </c>
      <c r="H17" s="32">
        <f t="shared" si="8"/>
        <v>0</v>
      </c>
      <c r="I17" s="3041"/>
      <c r="J17" s="3041"/>
      <c r="K17" s="3041"/>
      <c r="L17" s="3041"/>
      <c r="M17" s="3041"/>
      <c r="N17" s="82"/>
      <c r="O17" s="82"/>
      <c r="P17" s="82"/>
      <c r="Q17" s="82"/>
      <c r="R17" s="82"/>
      <c r="S17" s="82"/>
      <c r="T17" s="82"/>
      <c r="U17" s="82"/>
      <c r="V17" s="82"/>
      <c r="W17" s="82"/>
      <c r="X17" s="82"/>
      <c r="Y17" s="82"/>
      <c r="Z17" s="82"/>
      <c r="AA17" s="82"/>
      <c r="AB17" s="82"/>
      <c r="AC17" s="26">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0"/>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29" t="s">
        <v>0</v>
      </c>
      <c r="B1" s="3629" t="s">
        <v>4</v>
      </c>
      <c r="C1" s="3629" t="s">
        <v>5</v>
      </c>
      <c r="D1" s="3630" t="s">
        <v>40</v>
      </c>
      <c r="E1" s="3630" t="s">
        <v>41</v>
      </c>
      <c r="F1" s="3630"/>
      <c r="G1" s="3630"/>
      <c r="H1" s="3630"/>
      <c r="I1" s="3630"/>
      <c r="J1" s="3630"/>
      <c r="K1" s="3630"/>
      <c r="L1" s="3630"/>
      <c r="M1" s="3630"/>
    </row>
    <row r="2" spans="1:13" ht="27" customHeight="1">
      <c r="A2" s="3629"/>
      <c r="B2" s="3629"/>
      <c r="C2" s="3629"/>
      <c r="D2" s="3630"/>
      <c r="E2" s="3630" t="s">
        <v>24</v>
      </c>
      <c r="F2" s="3630" t="s">
        <v>25</v>
      </c>
      <c r="G2" s="3630"/>
      <c r="H2" s="3630"/>
      <c r="I2" s="3630"/>
      <c r="J2" s="3630" t="s">
        <v>26</v>
      </c>
      <c r="K2" s="3630"/>
      <c r="L2" s="3630"/>
      <c r="M2" s="3630"/>
    </row>
    <row r="3" spans="1:13" ht="28.5">
      <c r="A3" s="3629"/>
      <c r="B3" s="3629"/>
      <c r="C3" s="3629"/>
      <c r="D3" s="3630"/>
      <c r="E3" s="363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0" t="s">
        <v>42</v>
      </c>
      <c r="B9" s="3630"/>
      <c r="C9" s="363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202</v>
      </c>
      <c r="B1" s="1982"/>
      <c r="C1" s="1982"/>
      <c r="D1" s="1982"/>
      <c r="E1" s="1982"/>
      <c r="F1" s="1982"/>
      <c r="G1" s="1982"/>
      <c r="H1" s="1982"/>
      <c r="I1" s="1982"/>
      <c r="J1" s="1982"/>
      <c r="K1" s="1982"/>
      <c r="L1" s="1982"/>
    </row>
    <row r="2" spans="1:16" ht="15">
      <c r="A2" s="3640" t="s">
        <v>203</v>
      </c>
      <c r="B2" s="3640"/>
      <c r="C2" s="3640"/>
      <c r="D2" s="1973" t="s">
        <v>204</v>
      </c>
      <c r="E2" s="105" t="s">
        <v>205</v>
      </c>
      <c r="F2" s="1982"/>
      <c r="G2" s="1196"/>
      <c r="H2" s="1197"/>
      <c r="I2" s="1198" t="s">
        <v>858</v>
      </c>
      <c r="J2" s="1982"/>
      <c r="K2" s="1982"/>
      <c r="L2" s="1982"/>
    </row>
    <row r="3" spans="1:16" ht="15.75" thickBot="1">
      <c r="A3" s="3641" t="s">
        <v>206</v>
      </c>
      <c r="B3" s="3641"/>
      <c r="C3" s="3641"/>
      <c r="D3" s="106">
        <f>'数据-基础表'!AY6</f>
        <v>96912.82</v>
      </c>
      <c r="E3" s="106">
        <f>'数据-基础表'!AZ5</f>
        <v>287739</v>
      </c>
      <c r="F3" s="1982"/>
      <c r="G3" s="279" t="s">
        <v>859</v>
      </c>
      <c r="H3" s="274" t="s">
        <v>860</v>
      </c>
      <c r="I3" s="1974">
        <f>ROUND('数据-基础表'!B3/'数据-基础表'!A3,2)</f>
        <v>2.97</v>
      </c>
      <c r="J3" s="1982"/>
      <c r="K3" s="1982"/>
      <c r="L3" s="1982"/>
    </row>
    <row r="4" spans="1:16" ht="15">
      <c r="A4" s="3642"/>
      <c r="B4" s="3643"/>
      <c r="C4" s="3644"/>
      <c r="D4" s="107" t="s">
        <v>204</v>
      </c>
      <c r="E4" s="108" t="s">
        <v>205</v>
      </c>
      <c r="F4" s="1982"/>
      <c r="G4" s="1199"/>
      <c r="H4" s="274" t="s">
        <v>861</v>
      </c>
      <c r="I4" s="1974">
        <f>ROUND(SUMIF('数据-基础表'!I9:AS9,"地上",'数据-基础表'!I5:AS5)/'数据-基础表'!A3,2)</f>
        <v>2.29</v>
      </c>
      <c r="J4" s="1982"/>
      <c r="K4" s="1982"/>
      <c r="L4" s="1982"/>
    </row>
    <row r="5" spans="1:16">
      <c r="A5" s="109" t="s">
        <v>207</v>
      </c>
      <c r="B5" s="3645" t="s">
        <v>230</v>
      </c>
      <c r="C5" s="3645"/>
      <c r="D5" s="110">
        <f>ROUND($D$3*E5/$E$3,2)</f>
        <v>71750.559999999998</v>
      </c>
      <c r="E5" s="111">
        <f>SUMIF('数据-基础表'!$11:$11,"住宅",'数据-基础表'!$5:$5)</f>
        <v>213031</v>
      </c>
      <c r="F5" s="1982"/>
      <c r="G5" s="279" t="s">
        <v>862</v>
      </c>
      <c r="H5" s="274" t="s">
        <v>860</v>
      </c>
      <c r="I5" s="1974">
        <f>ROUND(E31/D31,2)</f>
        <v>2.97</v>
      </c>
      <c r="J5" s="1982"/>
      <c r="K5" s="1982"/>
      <c r="L5" s="1982"/>
    </row>
    <row r="6" spans="1:16" ht="15" thickBot="1">
      <c r="A6" s="112"/>
      <c r="B6" s="3645" t="s">
        <v>208</v>
      </c>
      <c r="C6" s="3645"/>
      <c r="D6" s="110">
        <f>ROUND($D$3*E6/$E$3,2)</f>
        <v>25162.26</v>
      </c>
      <c r="E6" s="111">
        <f>E3-E5</f>
        <v>74708</v>
      </c>
      <c r="F6" s="1982"/>
      <c r="G6" s="1199"/>
      <c r="H6" s="274" t="s">
        <v>861</v>
      </c>
      <c r="I6" s="1974">
        <f>ROUND(F31/D31,2)</f>
        <v>2.29</v>
      </c>
      <c r="J6" s="1982"/>
      <c r="K6" s="1982"/>
      <c r="L6" s="1982"/>
    </row>
    <row r="7" spans="1:16" ht="15">
      <c r="A7" s="3637"/>
      <c r="B7" s="3638"/>
      <c r="C7" s="3639"/>
      <c r="D7" s="107" t="s">
        <v>204</v>
      </c>
      <c r="E7" s="113" t="s">
        <v>231</v>
      </c>
      <c r="F7" s="1982"/>
      <c r="G7" s="1154" t="s">
        <v>1647</v>
      </c>
      <c r="H7" s="1155"/>
      <c r="I7" s="1844">
        <f>I6</f>
        <v>2.29</v>
      </c>
      <c r="J7" s="1982"/>
      <c r="K7" s="1982"/>
      <c r="L7" s="1982"/>
    </row>
    <row r="8" spans="1:16">
      <c r="A8" s="109" t="s">
        <v>209</v>
      </c>
      <c r="B8" s="114" t="s">
        <v>210</v>
      </c>
      <c r="C8" s="110" t="s">
        <v>211</v>
      </c>
      <c r="D8" s="110">
        <f t="shared" ref="D8:D15" si="0">ROUND($D$3*E8/$E$3,2)</f>
        <v>71750.559999999998</v>
      </c>
      <c r="E8" s="115">
        <f>SUMIF('数据-基础表'!BB10:BK10,"地上",'数据-基础表'!BB5:BK5)</f>
        <v>213031</v>
      </c>
      <c r="F8" s="1982"/>
      <c r="G8" s="1984"/>
      <c r="H8" s="1984"/>
      <c r="I8" s="1982"/>
      <c r="J8" s="1982"/>
      <c r="K8" s="1982"/>
      <c r="L8" s="1982"/>
    </row>
    <row r="9" spans="1:16">
      <c r="A9" s="116"/>
      <c r="B9" s="117"/>
      <c r="C9" s="110" t="s">
        <v>212</v>
      </c>
      <c r="D9" s="110">
        <f t="shared" si="0"/>
        <v>2253.25</v>
      </c>
      <c r="E9" s="118">
        <f>'企业可研（2017年8月版）'!F8</f>
        <v>6690</v>
      </c>
      <c r="F9" s="1982"/>
      <c r="G9" s="1984"/>
      <c r="H9" s="1984"/>
      <c r="I9" s="1982"/>
      <c r="J9" s="1982"/>
      <c r="K9" s="1982"/>
      <c r="L9" s="1982"/>
    </row>
    <row r="10" spans="1:16">
      <c r="A10" s="116"/>
      <c r="B10" s="117"/>
      <c r="C10" s="110" t="s">
        <v>213</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29" t="s">
        <v>2331</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214</v>
      </c>
      <c r="D12" s="110">
        <f t="shared" si="0"/>
        <v>0</v>
      </c>
      <c r="E12" s="115">
        <f>SUMPRODUCT(('数据-基础表'!BB10:BK10="地下")*('数据-基础表'!BB11:BK11="仓储")*('数据-基础表'!BB5:BK5))</f>
        <v>0</v>
      </c>
      <c r="F12" s="1982"/>
      <c r="G12" s="1984"/>
      <c r="H12" s="1984"/>
      <c r="I12" s="1982"/>
      <c r="J12" s="1982"/>
      <c r="K12" s="1982"/>
      <c r="L12" s="1982"/>
    </row>
    <row r="13" spans="1:16">
      <c r="A13" s="116"/>
      <c r="B13" s="117"/>
      <c r="C13" s="2329" t="s">
        <v>2338</v>
      </c>
      <c r="D13" s="110">
        <f t="shared" si="0"/>
        <v>22254.59</v>
      </c>
      <c r="E13" s="115">
        <f>SUMPRODUCT(('数据-基础表'!BB10:BK10="地下")*('数据-基础表'!BB11:BK11="车库")*('数据-基础表'!BB5:BK5))</f>
        <v>66075</v>
      </c>
      <c r="F13" s="1982"/>
      <c r="G13" s="1984"/>
      <c r="H13" s="1984"/>
      <c r="I13" s="1982"/>
      <c r="J13" s="1982"/>
      <c r="K13" s="1982"/>
      <c r="L13" s="1982"/>
    </row>
    <row r="14" spans="1:16">
      <c r="A14" s="116"/>
      <c r="B14" s="117"/>
      <c r="C14" s="110" t="s">
        <v>232</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233</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215</v>
      </c>
      <c r="D16" s="114">
        <f>SUM(D8:D15)</f>
        <v>96258.4</v>
      </c>
      <c r="E16" s="119">
        <f>SUM(E8:E15)</f>
        <v>285796</v>
      </c>
      <c r="F16" s="1982"/>
      <c r="G16" s="1984"/>
      <c r="H16" s="966" t="s">
        <v>219</v>
      </c>
      <c r="I16" s="967"/>
      <c r="J16" s="1982"/>
      <c r="K16" s="3631" t="s">
        <v>2572</v>
      </c>
      <c r="L16" s="3632"/>
      <c r="M16" s="3632"/>
      <c r="N16" s="3632"/>
      <c r="O16" s="3632"/>
      <c r="P16" s="3633"/>
    </row>
    <row r="17" spans="1:19" ht="15">
      <c r="A17" s="120" t="s">
        <v>216</v>
      </c>
      <c r="B17" s="121" t="s">
        <v>217</v>
      </c>
      <c r="C17" s="2296" t="s">
        <v>2317</v>
      </c>
      <c r="D17" s="107" t="s">
        <v>204</v>
      </c>
      <c r="E17" s="123" t="s">
        <v>205</v>
      </c>
      <c r="F17" s="124"/>
      <c r="G17" s="1363"/>
      <c r="H17" s="968" t="s">
        <v>218</v>
      </c>
      <c r="I17" s="969" t="s">
        <v>2316</v>
      </c>
      <c r="J17" s="1982"/>
      <c r="K17" s="3634" t="s">
        <v>2573</v>
      </c>
      <c r="L17" s="3635"/>
      <c r="M17" s="3636"/>
      <c r="N17" s="3634" t="s">
        <v>2574</v>
      </c>
      <c r="O17" s="3635"/>
      <c r="P17" s="3636"/>
      <c r="R17" s="2297" t="s">
        <v>2315</v>
      </c>
      <c r="S17" s="143"/>
    </row>
    <row r="18" spans="1:19" ht="15">
      <c r="A18" s="116"/>
      <c r="B18" s="127"/>
      <c r="C18" s="128"/>
      <c r="D18" s="2665"/>
      <c r="E18" s="129" t="s">
        <v>220</v>
      </c>
      <c r="F18" s="130" t="s">
        <v>221</v>
      </c>
      <c r="G18" s="1364" t="s">
        <v>222</v>
      </c>
      <c r="H18" s="970" t="s">
        <v>223</v>
      </c>
      <c r="I18" s="971" t="s">
        <v>224</v>
      </c>
      <c r="J18" s="1982"/>
      <c r="K18" s="2627" t="s">
        <v>2575</v>
      </c>
      <c r="L18" s="2628" t="s">
        <v>2576</v>
      </c>
      <c r="M18" s="2629" t="s">
        <v>2577</v>
      </c>
      <c r="N18" s="2627" t="s">
        <v>2575</v>
      </c>
      <c r="O18" s="2628" t="s">
        <v>2576</v>
      </c>
      <c r="P18" s="2629" t="s">
        <v>2577</v>
      </c>
      <c r="R18" s="2298" t="s">
        <v>2313</v>
      </c>
      <c r="S18" s="2298" t="s">
        <v>2314</v>
      </c>
    </row>
    <row r="19" spans="1:19">
      <c r="A19" s="132"/>
      <c r="B19" s="114" t="s">
        <v>225</v>
      </c>
      <c r="C19" s="3048" t="s">
        <v>3238</v>
      </c>
      <c r="D19" s="110">
        <f t="shared" ref="D19:D26" si="1">ROUND($D$3*E19/$E$3,2)</f>
        <v>53014.6</v>
      </c>
      <c r="E19" s="133">
        <f t="shared" ref="E19:E26" si="2">SUM(F19:G19)</f>
        <v>157403</v>
      </c>
      <c r="F19" s="134">
        <f>'数据-基础表'!I5</f>
        <v>157403</v>
      </c>
      <c r="G19" s="1365"/>
      <c r="H19" s="972">
        <f>ROUND($D$3*I19/$E$3,2)</f>
        <v>1639.79</v>
      </c>
      <c r="I19" s="115">
        <f>IF($I$17="自定义",P19,M19)</f>
        <v>4868.62</v>
      </c>
      <c r="J19" s="1982"/>
      <c r="K19" s="2630">
        <f t="shared" ref="K19:K26" si="3">ROUND(E$28*E19/E$27,2)</f>
        <v>4868.62</v>
      </c>
      <c r="L19" s="274">
        <f t="shared" ref="L19:L26" si="4">ROUND(IF(COUNTIF(C19,"*住宅*")&gt;0,E$29*E19/E$32,0),2)</f>
        <v>0</v>
      </c>
      <c r="M19" s="2631">
        <f>K19+L19</f>
        <v>4868.62</v>
      </c>
      <c r="N19" s="2632"/>
      <c r="O19" s="2633"/>
      <c r="P19" s="2634">
        <f>N19+O19</f>
        <v>0</v>
      </c>
      <c r="R19" s="274">
        <f t="shared" ref="R19:S26" si="5">D19+H19</f>
        <v>54654.39</v>
      </c>
      <c r="S19" s="2299">
        <f t="shared" si="5"/>
        <v>162271.62</v>
      </c>
    </row>
    <row r="20" spans="1:19">
      <c r="A20" s="137"/>
      <c r="B20" s="114" t="s">
        <v>226</v>
      </c>
      <c r="C20" s="3048" t="s">
        <v>3240</v>
      </c>
      <c r="D20" s="110">
        <f t="shared" si="1"/>
        <v>18735.96</v>
      </c>
      <c r="E20" s="133">
        <f t="shared" si="2"/>
        <v>55628</v>
      </c>
      <c r="F20" s="134">
        <f>'数据-基础表'!K5</f>
        <v>55628</v>
      </c>
      <c r="G20" s="1365"/>
      <c r="H20" s="972">
        <f t="shared" ref="H20:H26" si="6">ROUND($D$3*I20/$E$3,2)</f>
        <v>579.52</v>
      </c>
      <c r="I20" s="115">
        <f t="shared" ref="I20:I26" si="7">IF($I$17="自定义",P20,M20)</f>
        <v>1720.62</v>
      </c>
      <c r="J20" s="1982"/>
      <c r="K20" s="2630">
        <f t="shared" si="3"/>
        <v>1720.62</v>
      </c>
      <c r="L20" s="274">
        <f t="shared" si="4"/>
        <v>0</v>
      </c>
      <c r="M20" s="2631">
        <f t="shared" ref="M20:M26" si="8">K20+L20</f>
        <v>1720.62</v>
      </c>
      <c r="N20" s="2632"/>
      <c r="O20" s="2633"/>
      <c r="P20" s="2634">
        <f t="shared" ref="P20:P26" si="9">N20+O20</f>
        <v>0</v>
      </c>
      <c r="R20" s="274">
        <f t="shared" si="5"/>
        <v>19315.48</v>
      </c>
      <c r="S20" s="2299">
        <f t="shared" si="5"/>
        <v>57348.62</v>
      </c>
    </row>
    <row r="21" spans="1:19">
      <c r="A21" s="137"/>
      <c r="B21" s="114" t="s">
        <v>226</v>
      </c>
      <c r="C21" s="3048" t="s">
        <v>3241</v>
      </c>
      <c r="D21" s="110">
        <f t="shared" si="1"/>
        <v>22254.59</v>
      </c>
      <c r="E21" s="133">
        <f t="shared" si="2"/>
        <v>66075</v>
      </c>
      <c r="F21" s="134"/>
      <c r="G21" s="1365">
        <f>'数据-基础表'!M5</f>
        <v>66075</v>
      </c>
      <c r="H21" s="972">
        <f t="shared" si="6"/>
        <v>688.35</v>
      </c>
      <c r="I21" s="115">
        <f t="shared" si="7"/>
        <v>2043.76</v>
      </c>
      <c r="J21" s="1982"/>
      <c r="K21" s="2630">
        <f t="shared" si="3"/>
        <v>2043.76</v>
      </c>
      <c r="L21" s="274">
        <f t="shared" si="4"/>
        <v>0</v>
      </c>
      <c r="M21" s="2631">
        <f t="shared" si="8"/>
        <v>2043.76</v>
      </c>
      <c r="N21" s="2632"/>
      <c r="O21" s="2633"/>
      <c r="P21" s="2634">
        <f t="shared" si="9"/>
        <v>0</v>
      </c>
      <c r="R21" s="274">
        <f t="shared" si="5"/>
        <v>22942.94</v>
      </c>
      <c r="S21" s="2299">
        <f t="shared" si="5"/>
        <v>68118.759999999995</v>
      </c>
    </row>
    <row r="22" spans="1:19">
      <c r="A22" s="137"/>
      <c r="B22" s="114" t="s">
        <v>226</v>
      </c>
      <c r="C22" s="3048"/>
      <c r="D22" s="110">
        <f t="shared" si="1"/>
        <v>0</v>
      </c>
      <c r="E22" s="133">
        <f t="shared" si="2"/>
        <v>0</v>
      </c>
      <c r="F22" s="139"/>
      <c r="G22" s="1366"/>
      <c r="H22" s="972">
        <f t="shared" si="6"/>
        <v>0</v>
      </c>
      <c r="I22" s="115">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7"/>
      <c r="B23" s="114" t="s">
        <v>226</v>
      </c>
      <c r="C23" s="138"/>
      <c r="D23" s="110">
        <f>ROUND($D$3*E23/$E$3,2)</f>
        <v>0</v>
      </c>
      <c r="E23" s="133">
        <f>SUM(F23:G23)</f>
        <v>0</v>
      </c>
      <c r="F23" s="139"/>
      <c r="G23" s="1366"/>
      <c r="H23" s="972">
        <f>ROUND($D$3*I23/$E$3,2)</f>
        <v>0</v>
      </c>
      <c r="I23" s="115">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7"/>
      <c r="B24" s="114" t="s">
        <v>226</v>
      </c>
      <c r="C24" s="138"/>
      <c r="D24" s="110">
        <f>ROUND($D$3*E24/$E$3,2)</f>
        <v>0</v>
      </c>
      <c r="E24" s="133">
        <f>SUM(F24:G24)</f>
        <v>0</v>
      </c>
      <c r="F24" s="139"/>
      <c r="G24" s="1366"/>
      <c r="H24" s="972">
        <f>ROUND($D$3*I24/$E$3,2)</f>
        <v>0</v>
      </c>
      <c r="I24" s="115">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7"/>
      <c r="B25" s="114" t="s">
        <v>226</v>
      </c>
      <c r="C25" s="138"/>
      <c r="D25" s="110">
        <f t="shared" si="1"/>
        <v>0</v>
      </c>
      <c r="E25" s="133">
        <f t="shared" si="2"/>
        <v>0</v>
      </c>
      <c r="F25" s="139"/>
      <c r="G25" s="1366"/>
      <c r="H25" s="109">
        <f t="shared" si="6"/>
        <v>0</v>
      </c>
      <c r="I25" s="115">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7"/>
      <c r="B26" s="114" t="s">
        <v>226</v>
      </c>
      <c r="C26" s="141"/>
      <c r="D26" s="110">
        <f t="shared" si="1"/>
        <v>0</v>
      </c>
      <c r="E26" s="133">
        <f t="shared" si="2"/>
        <v>0</v>
      </c>
      <c r="F26" s="139"/>
      <c r="G26" s="1366"/>
      <c r="H26" s="109">
        <f t="shared" si="6"/>
        <v>0</v>
      </c>
      <c r="I26" s="115">
        <f t="shared" si="7"/>
        <v>0</v>
      </c>
      <c r="J26" s="1982"/>
      <c r="K26" s="2635">
        <f t="shared" si="3"/>
        <v>0</v>
      </c>
      <c r="L26" s="279">
        <f t="shared" si="4"/>
        <v>0</v>
      </c>
      <c r="M26" s="145">
        <f t="shared" si="8"/>
        <v>0</v>
      </c>
      <c r="N26" s="2636"/>
      <c r="O26" s="2637"/>
      <c r="P26" s="2638">
        <f t="shared" si="9"/>
        <v>0</v>
      </c>
      <c r="R26" s="274">
        <f t="shared" si="5"/>
        <v>0</v>
      </c>
      <c r="S26" s="2299">
        <f t="shared" si="5"/>
        <v>0</v>
      </c>
    </row>
    <row r="27" spans="1:19" ht="29.25" thickBot="1">
      <c r="A27" s="137"/>
      <c r="B27" s="110"/>
      <c r="C27" s="126" t="s">
        <v>215</v>
      </c>
      <c r="D27" s="133">
        <f>SUM(D19:D26)</f>
        <v>94005.15</v>
      </c>
      <c r="E27" s="142">
        <f>IF(SUM(E19:E26)='数据-基础表'!BA5,SUM(E19:E26),IF(F27="地上面积有误","面积有误","地下面积有误"))</f>
        <v>279106</v>
      </c>
      <c r="F27" s="133">
        <f>IF(SUM(F19:F26)=E8,SUM(F19:F26),"地上面积有误")</f>
        <v>213031</v>
      </c>
      <c r="G27" s="111">
        <f>SUM(G19:G26)</f>
        <v>66075</v>
      </c>
      <c r="H27" s="973">
        <f>SUM(H19:H26)</f>
        <v>2907.66</v>
      </c>
      <c r="I27" s="974">
        <f>SUM(I19:I26)</f>
        <v>8633</v>
      </c>
      <c r="J27" s="1982"/>
      <c r="K27" s="2639">
        <f>SUM(K19:K26)</f>
        <v>8633</v>
      </c>
      <c r="L27" s="2640">
        <f>SUM(L19:L26)</f>
        <v>0</v>
      </c>
      <c r="M27" s="2641">
        <f>SUM(M19:M26)</f>
        <v>8633</v>
      </c>
      <c r="N27" s="2639">
        <f t="shared" ref="N27:O27" si="10">SUM(N19:N26)</f>
        <v>0</v>
      </c>
      <c r="O27" s="2640">
        <f t="shared" si="10"/>
        <v>0</v>
      </c>
      <c r="P27" s="2642">
        <f>SUM(P19:P26)</f>
        <v>0</v>
      </c>
      <c r="R27" s="2303" t="str">
        <f>IF(SUM(R19:R26)=$D$3,SUM(R19:R26),SUM(R19:R26)&amp;"误差"&amp;ROUND(SUM(R19:R26)-$D$3,2))</f>
        <v>96912.81误差-0.01</v>
      </c>
      <c r="S27" s="274">
        <f>IF(SUM(S19:S26)=$E$3,SUM(S19:S26),SUM(S19:S26)&amp;"误差"&amp;ROUND(SUM(S19:S26)-E3,2))</f>
        <v>287739</v>
      </c>
    </row>
    <row r="28" spans="1:19">
      <c r="A28" s="137"/>
      <c r="B28" s="114" t="s">
        <v>227</v>
      </c>
      <c r="C28" s="135" t="s">
        <v>228</v>
      </c>
      <c r="D28" s="110">
        <f>ROUND($D$3*E28/$E$3,2)</f>
        <v>2907.66</v>
      </c>
      <c r="E28" s="133">
        <f>SUM(F28:G28)</f>
        <v>8633</v>
      </c>
      <c r="F28" s="143">
        <f>'数据-基础表'!BQ5+'数据-基础表'!BS5</f>
        <v>8633</v>
      </c>
      <c r="G28" s="144">
        <f>'数据-基础表'!BR5+'数据-基础表'!BT5</f>
        <v>0</v>
      </c>
      <c r="H28" s="1982"/>
      <c r="I28" s="1982"/>
      <c r="J28" s="1982"/>
      <c r="K28" s="1982"/>
      <c r="L28" s="1982"/>
    </row>
    <row r="29" spans="1:19">
      <c r="A29" s="137"/>
      <c r="B29" s="114" t="s">
        <v>227</v>
      </c>
      <c r="C29" s="2311" t="s">
        <v>2324</v>
      </c>
      <c r="D29" s="110">
        <f>ROUND($D$3*E29/$E$3,2)</f>
        <v>0</v>
      </c>
      <c r="E29" s="133">
        <f>SUM(F29:G29)</f>
        <v>0</v>
      </c>
      <c r="F29" s="143">
        <f>'数据-基础表'!BM5+'数据-基础表'!BO5</f>
        <v>0</v>
      </c>
      <c r="G29" s="145">
        <f>'数据-基础表'!BN5+'数据-基础表'!BP5</f>
        <v>0</v>
      </c>
      <c r="H29" s="1982"/>
      <c r="I29" s="1982"/>
      <c r="J29" s="1982"/>
      <c r="K29" s="1982"/>
      <c r="L29" s="1982"/>
    </row>
    <row r="30" spans="1:19">
      <c r="A30" s="137"/>
      <c r="B30" s="110"/>
      <c r="C30" s="146" t="s">
        <v>215</v>
      </c>
      <c r="D30" s="133">
        <f>SUM(D28:D29)</f>
        <v>2907.66</v>
      </c>
      <c r="E30" s="133">
        <f>SUM(E28:E29)</f>
        <v>8633</v>
      </c>
      <c r="F30" s="133">
        <f>SUM(F28:F29)</f>
        <v>8633</v>
      </c>
      <c r="G30" s="111">
        <f>SUM(G28:G29)</f>
        <v>0</v>
      </c>
      <c r="H30" s="1982"/>
      <c r="I30" s="1982"/>
      <c r="J30" s="1982"/>
      <c r="K30" s="1982"/>
      <c r="L30" s="1982"/>
    </row>
    <row r="31" spans="1:19" ht="32.25" customHeight="1" thickBot="1">
      <c r="A31" s="1367"/>
      <c r="B31" s="1368" t="s">
        <v>229</v>
      </c>
      <c r="C31" s="2328" t="s">
        <v>2326</v>
      </c>
      <c r="D31" s="1369">
        <f>D27+D30</f>
        <v>96912.81</v>
      </c>
      <c r="E31" s="1369">
        <f>E27+E30</f>
        <v>287739</v>
      </c>
      <c r="F31" s="1370">
        <f>F27+F30</f>
        <v>221664</v>
      </c>
      <c r="G31" s="1371">
        <f>G27+G30</f>
        <v>66075</v>
      </c>
      <c r="H31" s="1982"/>
      <c r="I31" s="1982"/>
      <c r="J31" s="1982"/>
      <c r="K31" s="1982"/>
      <c r="L31" s="1982"/>
    </row>
    <row r="32" spans="1:19">
      <c r="A32" s="1982"/>
      <c r="B32" s="2361" t="s">
        <v>2325</v>
      </c>
      <c r="C32" s="2670"/>
      <c r="D32" s="1199"/>
      <c r="E32" s="1199">
        <f>SUMIF(C19:C26,"*住宅*",E19:E26)</f>
        <v>213031</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22" sqref="Q22"/>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7"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8" t="s">
        <v>235</v>
      </c>
      <c r="B2" s="2336">
        <f>项目基本情况!D3</f>
        <v>43171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865</v>
      </c>
      <c r="B4" s="151"/>
      <c r="C4" s="152"/>
      <c r="D4" s="1206"/>
      <c r="E4" s="1207" t="s">
        <v>866</v>
      </c>
      <c r="F4" s="152"/>
      <c r="G4" s="152"/>
      <c r="H4" s="152"/>
      <c r="I4" s="152"/>
      <c r="J4" s="153"/>
      <c r="K4" s="1208"/>
      <c r="L4" s="1209"/>
      <c r="M4" s="152"/>
      <c r="N4" s="1207" t="s">
        <v>867</v>
      </c>
      <c r="O4" s="152"/>
      <c r="P4" s="152"/>
      <c r="Q4" s="152"/>
      <c r="R4" s="152"/>
      <c r="S4" s="153"/>
      <c r="T4" s="975"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7" t="s">
        <v>2834</v>
      </c>
      <c r="O5" s="162" t="s">
        <v>246</v>
      </c>
      <c r="P5" s="164" t="s">
        <v>247</v>
      </c>
      <c r="Q5" s="165" t="s">
        <v>248</v>
      </c>
      <c r="R5" s="166" t="s">
        <v>249</v>
      </c>
      <c r="S5" s="2643" t="s">
        <v>2578</v>
      </c>
      <c r="T5" s="167" t="s">
        <v>250</v>
      </c>
      <c r="U5" s="168" t="s">
        <v>251</v>
      </c>
      <c r="V5" s="158" t="s">
        <v>252</v>
      </c>
      <c r="W5" s="158" t="s">
        <v>253</v>
      </c>
      <c r="X5" s="1816"/>
      <c r="Y5" s="169" t="s">
        <v>254</v>
      </c>
      <c r="Z5" s="170" t="s">
        <v>255</v>
      </c>
      <c r="AA5" s="158" t="s">
        <v>252</v>
      </c>
      <c r="AB5" s="158" t="s">
        <v>253</v>
      </c>
      <c r="AC5" s="1817"/>
      <c r="AD5" s="171" t="s">
        <v>254</v>
      </c>
      <c r="AE5" s="1" t="s">
        <v>871</v>
      </c>
      <c r="AF5" s="158" t="s">
        <v>256</v>
      </c>
      <c r="AG5" s="169" t="s">
        <v>257</v>
      </c>
      <c r="AH5" s="1817" t="s">
        <v>2327</v>
      </c>
      <c r="AI5" s="170" t="s">
        <v>2296</v>
      </c>
      <c r="AJ5" s="170" t="s">
        <v>258</v>
      </c>
      <c r="AK5" s="158" t="s">
        <v>259</v>
      </c>
      <c r="AL5" s="158" t="s">
        <v>260</v>
      </c>
      <c r="AM5" s="171" t="s">
        <v>261</v>
      </c>
      <c r="AN5" s="2413" t="s">
        <v>2377</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高层住宅</v>
      </c>
      <c r="B6" s="2335" t="str">
        <f>IF(A6=0,"","经营性")</f>
        <v>经营性</v>
      </c>
      <c r="C6" s="172" t="s">
        <v>924</v>
      </c>
      <c r="D6" s="2306">
        <f>SUMIF(项目基本情况!D$15:I$15,C6,项目基本情况!D$18:I$18)</f>
        <v>70</v>
      </c>
      <c r="E6" s="2307">
        <f>IF(B6="","",SUMIF(项目基本情况!D$15:I$15,C6,项目基本情况!D$17:I$17))</f>
        <v>66033</v>
      </c>
      <c r="F6" s="173">
        <f>SUMIF(项目基本情况!D$15:I$15,C6,项目基本情况!D$19:I$19)</f>
        <v>62.63</v>
      </c>
      <c r="G6" s="174">
        <f>IF(ISERROR(ROUND(POWER(1+H6,D6-F6)*(POWER(1+H6,F6)-1)/(POWER(1+H6,D6)-1),3)),0,ROUND(POWER(1+H6,D6-F6)*(POWER(1+H6,F6)-1)/(POWER(1+H6,D6)-1),3))</f>
        <v>0.98199999999999998</v>
      </c>
      <c r="H6" s="3049">
        <v>4.4999999999999998E-2</v>
      </c>
      <c r="I6" s="3049">
        <v>0.05</v>
      </c>
      <c r="J6" s="175">
        <v>8.5000000000000006E-2</v>
      </c>
      <c r="K6" s="178">
        <f>SUMIF('数据-汇总表'!C$19:C$33,'数据-取费表'!A6,'数据-汇总表'!E$19:E$33)</f>
        <v>157403</v>
      </c>
      <c r="L6" s="3050">
        <v>1800</v>
      </c>
      <c r="M6" s="176">
        <f t="shared" ref="M6:M14" si="0">ROUND(K6*L6/10000,0)</f>
        <v>28333</v>
      </c>
      <c r="N6" s="3051">
        <v>0</v>
      </c>
      <c r="O6" s="176">
        <f>IF($N$5="成新度","——",ROUND(M6*N6,0))</f>
        <v>0</v>
      </c>
      <c r="P6" s="177">
        <f>IF($N$5="成新度","——",M6-O6)</f>
        <v>28333</v>
      </c>
      <c r="Q6" s="3052">
        <v>0.1</v>
      </c>
      <c r="R6" s="178">
        <f>SUMIF('数据-汇总表'!C$19:C$33,A6,'数据-汇总表'!R$19:R$33)</f>
        <v>54654.39</v>
      </c>
      <c r="S6" s="131">
        <f>IF('数据-汇总表'!$I$17="按面积比例",SUMIF('数据-汇总表'!C$19:C$33,A6,'数据-汇总表'!K$19:K$33),SUMIF('数据-汇总表'!C$19:C$33,A6,'数据-汇总表'!N$19:N$33))</f>
        <v>4868.62</v>
      </c>
      <c r="T6" s="2232">
        <f>IF($T$4="按面积比例",IF(ISERROR(ROUND($M$14*S6/S$16,0)),"0",ROUND($M$14*S6/S$16,0)),"需自行计算录入")</f>
        <v>779</v>
      </c>
      <c r="U6" s="179"/>
      <c r="V6" s="180"/>
      <c r="W6" s="180"/>
      <c r="X6" s="2319"/>
      <c r="Y6" s="181"/>
      <c r="Z6" s="182"/>
      <c r="AA6" s="175"/>
      <c r="AB6" s="175"/>
      <c r="AC6" s="2322"/>
      <c r="AD6" s="183"/>
      <c r="AE6" s="970">
        <f ca="1">IF(AN6="",0,SUMIF(INDIRECT("'"&amp;AN6&amp;"'"&amp;"!E:E"),$AE$5,INDIRECT("'"&amp;AN6&amp;"'"&amp;"!F:F")))</f>
        <v>0</v>
      </c>
      <c r="AF6" s="140"/>
      <c r="AG6" s="1211">
        <f>IF(AF6="",0,AE6-AF6)</f>
        <v>0</v>
      </c>
      <c r="AH6" s="140"/>
      <c r="AI6" s="186"/>
      <c r="AJ6" s="187"/>
      <c r="AK6" s="188"/>
      <c r="AL6" s="189"/>
      <c r="AM6" s="3063"/>
      <c r="AN6" s="2414"/>
      <c r="AO6" s="1998"/>
      <c r="AP6" s="1202">
        <f>ROUND(1-1/(1+H6)^F6,3)</f>
        <v>0.93700000000000006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洋房住宅</v>
      </c>
      <c r="B7" s="2335" t="str">
        <f t="shared" ref="B7:B13" si="1">IF(A7=0,"","经营性")</f>
        <v>经营性</v>
      </c>
      <c r="C7" s="172" t="s">
        <v>924</v>
      </c>
      <c r="D7" s="2306">
        <f>SUMIF(项目基本情况!D$15:I$15,C7,项目基本情况!D$18:I$18)</f>
        <v>70</v>
      </c>
      <c r="E7" s="2307">
        <f>IF(B7="","",SUMIF(项目基本情况!D$15:I$15,C7,项目基本情况!D$17:I$17))</f>
        <v>66033</v>
      </c>
      <c r="F7" s="173">
        <f>SUMIF(项目基本情况!D$15:I$15,C7,项目基本情况!D$19:I$19)</f>
        <v>62.63</v>
      </c>
      <c r="G7" s="174">
        <f t="shared" ref="G7:G11" si="2">IF(ISERROR(ROUND(POWER(1+H7,D7-F7)*(POWER(1+H7,F7)-1)/(POWER(1+H7,D7)-1),3)),0,ROUND(POWER(1+H7,D7-F7)*(POWER(1+H7,F7)-1)/(POWER(1+H7,D7)-1),3))</f>
        <v>0.98199999999999998</v>
      </c>
      <c r="H7" s="3049">
        <v>4.4999999999999998E-2</v>
      </c>
      <c r="I7" s="3049">
        <v>0.05</v>
      </c>
      <c r="J7" s="175">
        <v>8.5000000000000006E-2</v>
      </c>
      <c r="K7" s="178">
        <f>SUMIF('数据-汇总表'!C$19:C$33,'数据-取费表'!A7,'数据-汇总表'!E$19:E$33)</f>
        <v>55628</v>
      </c>
      <c r="L7" s="3050">
        <v>1600</v>
      </c>
      <c r="M7" s="176">
        <f t="shared" si="0"/>
        <v>8900</v>
      </c>
      <c r="N7" s="3051">
        <v>0</v>
      </c>
      <c r="O7" s="176">
        <f t="shared" ref="O7:O14" si="3">IF($N$5="成新度","——",ROUND(M7*N7,0))</f>
        <v>0</v>
      </c>
      <c r="P7" s="177">
        <f t="shared" ref="P7:P14" si="4">IF($N$5="成新度","——",M7-O7)</f>
        <v>8900</v>
      </c>
      <c r="Q7" s="3052">
        <v>0.1</v>
      </c>
      <c r="R7" s="178">
        <f>SUMIF('数据-汇总表'!C$19:C$33,A7,'数据-汇总表'!R$19:R$33)</f>
        <v>19315.48</v>
      </c>
      <c r="S7" s="131">
        <f>IF('数据-汇总表'!$I$17="按面积比例",SUMIF('数据-汇总表'!C$19:C$33,A7,'数据-汇总表'!K$19:K$33),SUMIF('数据-汇总表'!C$19:C$33,A7,'数据-汇总表'!N$19:N$33))</f>
        <v>1720.62</v>
      </c>
      <c r="T7" s="2232">
        <f t="shared" ref="T7:T13" si="5">IF($T$4="按面积比例",IF(ISERROR(ROUND($M$14*S7/S$16,0)),"0",ROUND($M$14*S7/S$16,0)),"需自行计算录入")</f>
        <v>275</v>
      </c>
      <c r="U7" s="179"/>
      <c r="V7" s="180"/>
      <c r="W7" s="180"/>
      <c r="X7" s="2319"/>
      <c r="Y7" s="181"/>
      <c r="Z7" s="182"/>
      <c r="AA7" s="175"/>
      <c r="AB7" s="175"/>
      <c r="AC7" s="2322"/>
      <c r="AD7" s="183"/>
      <c r="AE7" s="970">
        <f t="shared" ref="AE7:AE13" ca="1" si="6">IF(AN7="",0,SUMIF(INDIRECT("'"&amp;AN7&amp;"'"&amp;"!E:E"),$AE$5,INDIRECT("'"&amp;AN7&amp;"'"&amp;"!F:F")))</f>
        <v>0</v>
      </c>
      <c r="AF7" s="140"/>
      <c r="AG7" s="1211">
        <f t="shared" ref="AG7:AG13" si="7">IF(AF7="",0,AE7-AF7)</f>
        <v>0</v>
      </c>
      <c r="AH7" s="140"/>
      <c r="AI7" s="186"/>
      <c r="AJ7" s="187"/>
      <c r="AK7" s="188"/>
      <c r="AL7" s="189"/>
      <c r="AM7" s="2412"/>
      <c r="AN7" s="2414"/>
      <c r="AO7" s="1998"/>
      <c r="AP7" s="1202">
        <f t="shared" ref="AP7:AP13" si="8">ROUND(1-1/(1+H7)^F7,3)</f>
        <v>0.93700000000000006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地下车库</v>
      </c>
      <c r="B8" s="2335" t="str">
        <f t="shared" si="1"/>
        <v>经营性</v>
      </c>
      <c r="C8" s="172" t="s">
        <v>3194</v>
      </c>
      <c r="D8" s="2306">
        <f>SUMIF(项目基本情况!D$15:I$15,C8,项目基本情况!D$18:I$18)</f>
        <v>50</v>
      </c>
      <c r="E8" s="2307">
        <f>IF(B8="","",SUMIF(项目基本情况!D$15:I$15,C8,项目基本情况!D$17:I$17))</f>
        <v>58728</v>
      </c>
      <c r="F8" s="173">
        <f>SUMIF(项目基本情况!D$15:I$15,C8,项目基本情况!D$19:I$19)</f>
        <v>42.62</v>
      </c>
      <c r="G8" s="174">
        <f t="shared" si="2"/>
        <v>0.94499999999999995</v>
      </c>
      <c r="H8" s="3049">
        <v>0.04</v>
      </c>
      <c r="I8" s="3049">
        <v>4.4999999999999998E-2</v>
      </c>
      <c r="J8" s="175">
        <v>8.5000000000000006E-2</v>
      </c>
      <c r="K8" s="178">
        <f>SUMIF('数据-汇总表'!C$19:C$33,'数据-取费表'!A8,'数据-汇总表'!E$19:E$33)</f>
        <v>66075</v>
      </c>
      <c r="L8" s="3050">
        <v>1600</v>
      </c>
      <c r="M8" s="176">
        <f>ROUND(K8*L8/10000,0)</f>
        <v>10572</v>
      </c>
      <c r="N8" s="3051">
        <v>0</v>
      </c>
      <c r="O8" s="176">
        <f t="shared" si="3"/>
        <v>0</v>
      </c>
      <c r="P8" s="177">
        <f t="shared" si="4"/>
        <v>10572</v>
      </c>
      <c r="Q8" s="3052">
        <v>0.03</v>
      </c>
      <c r="R8" s="178">
        <f>SUMIF('数据-汇总表'!C$19:C$33,A8,'数据-汇总表'!R$19:R$33)</f>
        <v>22942.94</v>
      </c>
      <c r="S8" s="131">
        <f>IF('数据-汇总表'!$I$17="按面积比例",SUMIF('数据-汇总表'!C$19:C$33,A8,'数据-汇总表'!K$19:K$33),SUMIF('数据-汇总表'!C$19:C$33,A8,'数据-汇总表'!N$19:N$33))</f>
        <v>2043.76</v>
      </c>
      <c r="T8" s="2232">
        <f t="shared" si="5"/>
        <v>327</v>
      </c>
      <c r="U8" s="179">
        <v>600</v>
      </c>
      <c r="V8" s="180">
        <v>0.03</v>
      </c>
      <c r="W8" s="180">
        <v>0.1</v>
      </c>
      <c r="X8" s="2319"/>
      <c r="Y8" s="181">
        <v>1</v>
      </c>
      <c r="Z8" s="182"/>
      <c r="AA8" s="175"/>
      <c r="AB8" s="175"/>
      <c r="AC8" s="2322"/>
      <c r="AD8" s="183"/>
      <c r="AE8" s="970">
        <f t="shared" ca="1" si="6"/>
        <v>41.12</v>
      </c>
      <c r="AF8" s="140"/>
      <c r="AG8" s="1211">
        <f t="shared" si="7"/>
        <v>0</v>
      </c>
      <c r="AH8" s="3478">
        <v>1690</v>
      </c>
      <c r="AI8" s="186">
        <v>12</v>
      </c>
      <c r="AJ8" s="187"/>
      <c r="AK8" s="188">
        <v>1.4999999999999999E-2</v>
      </c>
      <c r="AL8" s="189">
        <v>1.5E-3</v>
      </c>
      <c r="AM8" s="2412">
        <v>0.01</v>
      </c>
      <c r="AN8" s="2414" t="s">
        <v>3364</v>
      </c>
      <c r="AO8" s="1998"/>
      <c r="AP8" s="1202">
        <f t="shared" si="8"/>
        <v>0.81200000000000006</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hidden="1">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412"/>
      <c r="AN9" s="2414"/>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hidden="1">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hidden="1">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hidden="1">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hidden="1">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2318</v>
      </c>
      <c r="B14" s="2304" t="s">
        <v>1681</v>
      </c>
      <c r="C14" s="2305" t="s">
        <v>2318</v>
      </c>
      <c r="D14" s="2306"/>
      <c r="E14" s="2307"/>
      <c r="F14" s="173"/>
      <c r="G14" s="174"/>
      <c r="H14" s="2308"/>
      <c r="I14" s="2308"/>
      <c r="J14" s="2308"/>
      <c r="K14" s="178">
        <f>SUMIF('数据-汇总表'!C$19:C$33,'数据-取费表'!A14,'数据-汇总表'!E$19:E$33)</f>
        <v>8633</v>
      </c>
      <c r="L14" s="192">
        <v>1600</v>
      </c>
      <c r="M14" s="176">
        <f t="shared" si="0"/>
        <v>1381</v>
      </c>
      <c r="N14" s="193">
        <v>0</v>
      </c>
      <c r="O14" s="176">
        <f t="shared" si="3"/>
        <v>0</v>
      </c>
      <c r="P14" s="177">
        <f t="shared" si="4"/>
        <v>1381</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2320</v>
      </c>
      <c r="B15" s="2304" t="s">
        <v>1681</v>
      </c>
      <c r="C15" s="2305" t="s">
        <v>2319</v>
      </c>
      <c r="D15" s="2306"/>
      <c r="E15" s="2307"/>
      <c r="F15" s="173"/>
      <c r="G15" s="174"/>
      <c r="H15" s="2308"/>
      <c r="I15" s="2308"/>
      <c r="J15" s="2308"/>
      <c r="K15" s="178">
        <f>SUMIF('数据-汇总表'!C$19:C$33,'数据-取费表'!A15,'数据-汇总表'!E$19:E$33)</f>
        <v>0</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7" t="s">
        <v>262</v>
      </c>
      <c r="B16" s="198"/>
      <c r="C16" s="199"/>
      <c r="D16" s="200"/>
      <c r="E16" s="198"/>
      <c r="F16" s="198"/>
      <c r="G16" s="201">
        <f>ROUND(SUMPRODUCT(G6:G13,K6:K13)/SUMPRODUCT((G6:G13&gt;0)*(K6:K13)),3)</f>
        <v>0.97299999999999998</v>
      </c>
      <c r="H16" s="202">
        <f>ROUND(SUMPRODUCT(H6:H13,K6:K13)/SUMPRODUCT((H6:H13&gt;0)*(K6:K13)),3)</f>
        <v>4.3999999999999997E-2</v>
      </c>
      <c r="I16" s="203"/>
      <c r="J16" s="203"/>
      <c r="K16" s="204">
        <f>SUM(K6:K15)</f>
        <v>287739</v>
      </c>
      <c r="L16" s="205">
        <f>ROUND(M16*10000/SUM(K6:K14),0)</f>
        <v>1709</v>
      </c>
      <c r="M16" s="205">
        <f>SUM(M6:M14)</f>
        <v>49186</v>
      </c>
      <c r="N16" s="206">
        <f>ROUND(SUMPRODUCT(M6:M14,N6:N14)/M16,3)</f>
        <v>0</v>
      </c>
      <c r="O16" s="205">
        <f>SUM(O6:O14)</f>
        <v>0</v>
      </c>
      <c r="P16" s="205">
        <f>SUM(P6:P14)</f>
        <v>49186</v>
      </c>
      <c r="Q16" s="207">
        <f>ROUND(SUMPRODUCT(Q6:Q13,K6:K13)/SUMPRODUCT((Q6:Q13&gt;0)*(K6:K13)),2)</f>
        <v>0.08</v>
      </c>
      <c r="R16" s="2309">
        <f>SUM(R6:R13)</f>
        <v>96912.81</v>
      </c>
      <c r="S16" s="208">
        <f>SUM(S6:S13)</f>
        <v>8633</v>
      </c>
      <c r="T16" s="209">
        <f>IF(SUMIF(T6:T13,"&lt;9E307")=M14,SUMIF(T6:T13,"&lt;9E307"),"有误，请检查")</f>
        <v>1381</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0.90700000000000003</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264</v>
      </c>
      <c r="B19" s="217">
        <v>0</v>
      </c>
      <c r="C19" s="2362" t="s">
        <v>2340</v>
      </c>
      <c r="D19" s="1991"/>
      <c r="E19" s="1990"/>
      <c r="F19" s="1990"/>
      <c r="G19" s="1990"/>
      <c r="H19" s="1990"/>
      <c r="I19" s="1990"/>
      <c r="J19" s="1990"/>
      <c r="K19" s="3647" t="s">
        <v>3246</v>
      </c>
      <c r="L19" s="3648" t="s">
        <v>3247</v>
      </c>
      <c r="M19" s="3649"/>
      <c r="N19" s="3650"/>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265</v>
      </c>
      <c r="B20" s="219">
        <v>1.5</v>
      </c>
      <c r="C20" s="2362" t="s">
        <v>2339</v>
      </c>
      <c r="D20" s="1991"/>
      <c r="E20" s="1990"/>
      <c r="F20" s="1990"/>
      <c r="G20" s="1990"/>
      <c r="H20" s="1990"/>
      <c r="I20" s="1990"/>
      <c r="J20" s="1990"/>
      <c r="K20" s="3647"/>
      <c r="L20" s="3504" t="s">
        <v>3248</v>
      </c>
      <c r="M20" s="3505" t="s">
        <v>3249</v>
      </c>
      <c r="N20" s="3506" t="s">
        <v>3205</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266</v>
      </c>
      <c r="B21" s="219">
        <v>0</v>
      </c>
      <c r="C21" s="1990"/>
      <c r="D21" s="1991"/>
      <c r="E21" s="1990"/>
      <c r="F21" s="1990"/>
      <c r="G21" s="1990"/>
      <c r="H21" s="1990"/>
      <c r="I21" s="1990"/>
      <c r="J21" s="1990"/>
      <c r="K21" s="3507" t="s">
        <v>3250</v>
      </c>
      <c r="L21" s="3508">
        <v>1300</v>
      </c>
      <c r="M21" s="3509">
        <v>1551</v>
      </c>
      <c r="N21" s="3510">
        <v>1808</v>
      </c>
      <c r="O21" s="1987"/>
      <c r="P21" s="1987"/>
      <c r="Q21" s="1987">
        <v>45000</v>
      </c>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267</v>
      </c>
      <c r="B22" s="221">
        <f>B19+B20</f>
        <v>1.5</v>
      </c>
      <c r="C22" s="1990"/>
      <c r="D22" s="1991"/>
      <c r="E22" s="1990"/>
      <c r="F22" s="1990"/>
      <c r="G22" s="1990"/>
      <c r="H22" s="1990"/>
      <c r="I22" s="1990"/>
      <c r="J22" s="1990"/>
      <c r="K22" s="1989"/>
      <c r="L22" s="1989"/>
      <c r="M22" s="1987"/>
      <c r="N22" s="1987"/>
      <c r="O22" s="1987"/>
      <c r="P22" s="1987"/>
      <c r="Q22" s="1987">
        <f>Q21*0.8</f>
        <v>36000</v>
      </c>
      <c r="R22" s="1987">
        <f>(Q21+Q22)/2</f>
        <v>40500</v>
      </c>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1.5</v>
      </c>
      <c r="C24" s="1990"/>
      <c r="D24" s="1991"/>
      <c r="E24" s="1990"/>
      <c r="F24" s="1990"/>
      <c r="G24" s="1990"/>
      <c r="H24" s="1990"/>
      <c r="I24" s="1990"/>
      <c r="J24" s="1990"/>
      <c r="K24" s="3646" t="s">
        <v>2379</v>
      </c>
      <c r="L24" s="3646" t="s">
        <v>3281</v>
      </c>
      <c r="M24" s="3646" t="s">
        <v>3195</v>
      </c>
      <c r="N24" s="3646" t="s">
        <v>3282</v>
      </c>
      <c r="O24" s="3646" t="s">
        <v>3283</v>
      </c>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3646"/>
      <c r="L25" s="3646"/>
      <c r="M25" s="3646"/>
      <c r="N25" s="3646"/>
      <c r="O25" s="3646"/>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270</v>
      </c>
      <c r="B26" s="224" t="s">
        <v>271</v>
      </c>
      <c r="C26" s="1993" t="s">
        <v>272</v>
      </c>
      <c r="D26" s="1991"/>
      <c r="E26" s="1990"/>
      <c r="F26" s="1990"/>
      <c r="G26" s="1990"/>
      <c r="H26" s="1990"/>
      <c r="I26" s="1990"/>
      <c r="J26" s="1990"/>
      <c r="K26" s="3526">
        <v>3</v>
      </c>
      <c r="L26" s="3527" t="s">
        <v>3284</v>
      </c>
      <c r="M26" s="3528" t="s">
        <v>3201</v>
      </c>
      <c r="N26" s="3533">
        <v>287739</v>
      </c>
      <c r="O26" s="3534">
        <v>2104.82740191632</v>
      </c>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5" t="s">
        <v>2342</v>
      </c>
      <c r="B27" s="226">
        <v>105</v>
      </c>
      <c r="C27" s="3098" t="s">
        <v>3243</v>
      </c>
      <c r="D27" s="1994"/>
      <c r="E27" s="1992"/>
      <c r="F27" s="1992"/>
      <c r="G27" s="1990"/>
      <c r="H27" s="1990"/>
      <c r="I27" s="1990"/>
      <c r="J27" s="1990"/>
      <c r="K27" s="3529">
        <v>3.1</v>
      </c>
      <c r="L27" s="3530" t="s">
        <v>3285</v>
      </c>
      <c r="M27" s="3528" t="s">
        <v>3201</v>
      </c>
      <c r="N27" s="3533">
        <v>287739</v>
      </c>
      <c r="O27" s="3533">
        <v>1692.68086703575</v>
      </c>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2343</v>
      </c>
      <c r="B28" s="228">
        <v>105</v>
      </c>
      <c r="C28" s="2365" t="s">
        <v>3242</v>
      </c>
      <c r="D28" s="1994"/>
      <c r="E28" s="1992"/>
      <c r="F28" s="1992"/>
      <c r="G28" s="1990"/>
      <c r="H28" s="1990"/>
      <c r="I28" s="1990"/>
      <c r="J28" s="1990"/>
      <c r="K28" s="3528"/>
      <c r="L28" s="3531" t="s">
        <v>3205</v>
      </c>
      <c r="M28" s="3528" t="s">
        <v>3201</v>
      </c>
      <c r="N28" s="3533">
        <v>157403</v>
      </c>
      <c r="O28" s="3533">
        <v>1700</v>
      </c>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2341</v>
      </c>
      <c r="B29" s="231">
        <v>0</v>
      </c>
      <c r="C29" s="1550" t="s">
        <v>2344</v>
      </c>
      <c r="D29" s="1994"/>
      <c r="E29" s="1992"/>
      <c r="F29" s="1992"/>
      <c r="G29" s="1990"/>
      <c r="H29" s="1990"/>
      <c r="I29" s="1990"/>
      <c r="J29" s="1990"/>
      <c r="K29" s="3528"/>
      <c r="L29" s="3531" t="s">
        <v>3192</v>
      </c>
      <c r="M29" s="3528" t="s">
        <v>3201</v>
      </c>
      <c r="N29" s="3533">
        <v>55628</v>
      </c>
      <c r="O29" s="3533">
        <v>1600</v>
      </c>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273</v>
      </c>
      <c r="B30" s="976">
        <v>150</v>
      </c>
      <c r="C30" s="2364"/>
      <c r="D30" s="1994"/>
      <c r="E30" s="1992"/>
      <c r="F30" s="1992"/>
      <c r="G30" s="1990"/>
      <c r="H30" s="1990"/>
      <c r="I30" s="1990"/>
      <c r="J30" s="1990"/>
      <c r="K30" s="3528"/>
      <c r="L30" s="3530" t="s">
        <v>3286</v>
      </c>
      <c r="M30" s="3532" t="s">
        <v>3201</v>
      </c>
      <c r="N30" s="3533">
        <v>6690</v>
      </c>
      <c r="O30" s="3533">
        <v>1200</v>
      </c>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274</v>
      </c>
      <c r="B31" s="229">
        <f>B30-B32</f>
        <v>150</v>
      </c>
      <c r="C31" s="2365"/>
      <c r="D31" s="1994"/>
      <c r="E31" s="1992"/>
      <c r="F31" s="1992"/>
      <c r="G31" s="1990"/>
      <c r="H31" s="1990"/>
      <c r="I31" s="1990"/>
      <c r="J31" s="1990"/>
      <c r="K31" s="3528"/>
      <c r="L31" s="3530" t="s">
        <v>3287</v>
      </c>
      <c r="M31" s="3528" t="s">
        <v>3201</v>
      </c>
      <c r="N31" s="3533">
        <v>68018</v>
      </c>
      <c r="O31" s="3533">
        <v>1800</v>
      </c>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275</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5" t="s">
        <v>278</v>
      </c>
      <c r="B33" s="1376">
        <v>0.03</v>
      </c>
      <c r="C33" s="2363" t="s">
        <v>2900</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0.03</v>
      </c>
      <c r="C34" s="2363" t="s">
        <v>2901</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f>B30</f>
        <v>150</v>
      </c>
      <c r="C35" s="2363" t="s">
        <v>2902</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2903</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0.01</v>
      </c>
      <c r="C37" s="2363" t="s">
        <v>2904</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1.4999999999999999E-2</v>
      </c>
      <c r="C38" s="2363" t="s">
        <v>2904</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2461</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2462</v>
      </c>
      <c r="B40" s="2503">
        <f ca="1">存贷款利率!E2</f>
        <v>4.7500000000000001E-2</v>
      </c>
      <c r="C40" s="2363" t="s">
        <v>2345</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9">
        <v>0.05</v>
      </c>
      <c r="C42" s="312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7.0000000000000007E-2</v>
      </c>
      <c r="C44" s="2363" t="s">
        <v>2905</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2906</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2907</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98" t="s">
        <v>2908</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9" t="s">
        <v>2909</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9" t="s">
        <v>2910</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6</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926</v>
      </c>
      <c r="C53" s="3100" t="s">
        <v>2911</v>
      </c>
      <c r="D53" s="3101" t="s">
        <v>3244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2912</v>
      </c>
      <c r="B54" s="185">
        <v>16</v>
      </c>
      <c r="C54" s="1992">
        <v>30</v>
      </c>
      <c r="D54" s="3102" t="s">
        <v>3245</v>
      </c>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2913</v>
      </c>
      <c r="B55" s="185">
        <v>10</v>
      </c>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2914</v>
      </c>
      <c r="B56" s="185">
        <v>8</v>
      </c>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2915</v>
      </c>
      <c r="B57" s="185">
        <v>6</v>
      </c>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2916</v>
      </c>
      <c r="B58" s="185">
        <v>4</v>
      </c>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2917</v>
      </c>
      <c r="B59" s="185">
        <v>3</v>
      </c>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2918</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2919</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2920</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2921</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mergeCells count="7">
    <mergeCell ref="O24:O25"/>
    <mergeCell ref="K19:K20"/>
    <mergeCell ref="L19:N19"/>
    <mergeCell ref="K24:K25"/>
    <mergeCell ref="L24:L25"/>
    <mergeCell ref="M24:M25"/>
    <mergeCell ref="N24:N25"/>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32',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26" sqref="H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51" t="s">
        <v>1665</v>
      </c>
      <c r="B1" s="3652"/>
      <c r="C1" s="3652"/>
      <c r="D1" s="3652"/>
      <c r="E1" s="3652"/>
      <c r="F1" s="3652"/>
      <c r="G1" s="3652"/>
      <c r="H1" s="2000"/>
      <c r="I1" s="2001"/>
      <c r="J1" s="2002"/>
      <c r="K1" s="2000"/>
      <c r="L1" s="2001"/>
      <c r="M1" s="2002"/>
      <c r="N1" s="2000"/>
      <c r="O1" s="2001"/>
      <c r="P1" s="2002"/>
      <c r="Q1" s="2003"/>
      <c r="R1" s="2004"/>
    </row>
    <row r="2" spans="1:18" ht="14.25" thickBot="1">
      <c r="A2" s="1219"/>
      <c r="B2" s="1220"/>
      <c r="C2" s="1221" t="s">
        <v>1666</v>
      </c>
      <c r="D2" s="1222"/>
      <c r="E2" s="1223"/>
      <c r="F2" s="1224"/>
      <c r="G2" s="1221" t="s">
        <v>1667</v>
      </c>
      <c r="H2" s="2006"/>
      <c r="I2" s="2006"/>
      <c r="J2" s="2006"/>
      <c r="K2" s="2006"/>
      <c r="L2" s="2006"/>
      <c r="M2" s="2006"/>
      <c r="N2" s="2006"/>
      <c r="O2" s="2006"/>
      <c r="P2" s="2006"/>
      <c r="Q2" s="2006"/>
      <c r="R2" s="2006"/>
    </row>
    <row r="3" spans="1:18" ht="27">
      <c r="A3" s="1225" t="s">
        <v>1668</v>
      </c>
      <c r="B3" s="1226" t="s">
        <v>1655</v>
      </c>
      <c r="C3" s="3105"/>
      <c r="D3" s="2007"/>
      <c r="E3" s="1227" t="s">
        <v>1668</v>
      </c>
      <c r="F3" s="1228" t="s">
        <v>1656</v>
      </c>
      <c r="G3" s="3109"/>
      <c r="H3" s="2006"/>
      <c r="I3" s="2006"/>
      <c r="J3" s="2006"/>
      <c r="K3" s="2006"/>
      <c r="L3" s="2006"/>
      <c r="M3" s="2006"/>
      <c r="N3" s="2006"/>
      <c r="O3" s="2006"/>
      <c r="P3" s="2006"/>
      <c r="Q3" s="2006"/>
      <c r="R3" s="2006"/>
    </row>
    <row r="4" spans="1:18" ht="14.25">
      <c r="A4" s="1227"/>
      <c r="B4" s="1229" t="s">
        <v>1669</v>
      </c>
      <c r="C4" s="3106"/>
      <c r="D4" s="2007"/>
      <c r="E4" s="1230"/>
      <c r="F4" s="1231" t="s">
        <v>1670</v>
      </c>
      <c r="G4" s="3107"/>
      <c r="H4" s="2006"/>
      <c r="I4" s="2006"/>
      <c r="J4" s="2006"/>
      <c r="K4" s="2006"/>
      <c r="L4" s="2006"/>
      <c r="M4" s="2006"/>
      <c r="N4" s="2006"/>
      <c r="O4" s="2006"/>
      <c r="P4" s="2006"/>
      <c r="Q4" s="2006"/>
      <c r="R4" s="2006"/>
    </row>
    <row r="5" spans="1:18" ht="14.25">
      <c r="A5" s="1227"/>
      <c r="B5" s="1229" t="s">
        <v>1671</v>
      </c>
      <c r="C5" s="3106"/>
      <c r="D5" s="2007"/>
      <c r="E5" s="1230"/>
      <c r="F5" s="1229" t="s">
        <v>2552</v>
      </c>
      <c r="G5" s="3107"/>
      <c r="H5" s="2006"/>
      <c r="I5" s="2006"/>
      <c r="J5" s="2006"/>
      <c r="K5" s="2006"/>
      <c r="L5" s="2006"/>
      <c r="M5" s="2006"/>
      <c r="N5" s="2006"/>
      <c r="O5" s="2006"/>
      <c r="P5" s="2006"/>
      <c r="Q5" s="2006"/>
      <c r="R5" s="2006"/>
    </row>
    <row r="6" spans="1:18" ht="14.25">
      <c r="A6" s="1227"/>
      <c r="B6" s="1229" t="s">
        <v>1657</v>
      </c>
      <c r="C6" s="3107"/>
      <c r="D6" s="2007"/>
      <c r="E6" s="1230"/>
      <c r="F6" s="1229" t="s">
        <v>2553</v>
      </c>
      <c r="G6" s="3107"/>
      <c r="H6" s="2006"/>
      <c r="I6" s="2006"/>
      <c r="J6" s="2006"/>
      <c r="K6" s="2006"/>
      <c r="L6" s="2006"/>
      <c r="M6" s="2006"/>
      <c r="N6" s="2006"/>
      <c r="O6" s="2006"/>
      <c r="P6" s="2006"/>
      <c r="Q6" s="2006"/>
      <c r="R6" s="2006"/>
    </row>
    <row r="7" spans="1:18" ht="15" thickBot="1">
      <c r="A7" s="1227"/>
      <c r="B7" s="1229" t="s">
        <v>2552</v>
      </c>
      <c r="C7" s="3107"/>
      <c r="D7" s="2008"/>
      <c r="E7" s="1232"/>
      <c r="F7" s="1233" t="s">
        <v>1672</v>
      </c>
      <c r="G7" s="3110"/>
      <c r="H7" s="2006"/>
      <c r="I7" s="2006"/>
      <c r="J7" s="2006"/>
      <c r="K7" s="2006"/>
      <c r="L7" s="2006"/>
      <c r="M7" s="2006"/>
      <c r="N7" s="2006"/>
      <c r="O7" s="2006"/>
      <c r="P7" s="2006"/>
      <c r="Q7" s="2006"/>
      <c r="R7" s="2006"/>
    </row>
    <row r="8" spans="1:18" ht="14.25">
      <c r="A8" s="1227"/>
      <c r="B8" s="1229" t="s">
        <v>2553</v>
      </c>
      <c r="C8" s="3107"/>
      <c r="D8" s="2008"/>
      <c r="E8" s="2008"/>
      <c r="F8" s="1551"/>
      <c r="G8" s="1551"/>
      <c r="H8" s="2006"/>
      <c r="I8" s="2006"/>
      <c r="J8" s="2006"/>
      <c r="K8" s="2006"/>
      <c r="L8" s="2006"/>
      <c r="M8" s="2006"/>
      <c r="N8" s="2006"/>
      <c r="O8" s="2006"/>
      <c r="P8" s="2006"/>
      <c r="Q8" s="2006"/>
      <c r="R8" s="2006"/>
    </row>
    <row r="9" spans="1:18" ht="14.25">
      <c r="A9" s="1227"/>
      <c r="B9" s="1229" t="s">
        <v>1658</v>
      </c>
      <c r="C9" s="3106"/>
      <c r="D9" s="2007"/>
      <c r="E9" s="2008"/>
      <c r="F9" s="1551"/>
      <c r="G9" s="1551"/>
      <c r="H9" s="2006"/>
      <c r="I9" s="2006"/>
      <c r="J9" s="2006"/>
      <c r="K9" s="2006"/>
      <c r="L9" s="2006"/>
      <c r="M9" s="2006"/>
      <c r="N9" s="2006"/>
      <c r="O9" s="2006"/>
      <c r="P9" s="2006"/>
      <c r="Q9" s="2006"/>
      <c r="R9" s="2006"/>
    </row>
    <row r="10" spans="1:18" s="2014" customFormat="1" ht="15" thickBot="1">
      <c r="A10" s="1234"/>
      <c r="B10" s="1235" t="s">
        <v>1673</v>
      </c>
      <c r="C10" s="3108"/>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1674</v>
      </c>
      <c r="B13" s="2600"/>
      <c r="C13" s="2600"/>
      <c r="D13" s="1222"/>
      <c r="E13" s="2600"/>
      <c r="F13" s="2600"/>
      <c r="G13" s="2600"/>
    </row>
    <row r="14" spans="1:18" ht="14.25" thickBot="1">
      <c r="A14" s="1236"/>
      <c r="B14" s="1237"/>
      <c r="C14" s="1238" t="s">
        <v>1666</v>
      </c>
      <c r="D14" s="2007"/>
      <c r="E14" s="1239"/>
      <c r="F14" s="1239"/>
      <c r="G14" s="1221" t="s">
        <v>1667</v>
      </c>
    </row>
    <row r="15" spans="1:18" ht="27">
      <c r="A15" s="2610" t="s">
        <v>1659</v>
      </c>
      <c r="B15" s="1240" t="s">
        <v>1655</v>
      </c>
      <c r="C15" s="1241">
        <f>C3</f>
        <v>0</v>
      </c>
      <c r="D15" s="2007"/>
      <c r="E15" s="2607" t="s">
        <v>1660</v>
      </c>
      <c r="F15" s="1240" t="s">
        <v>1675</v>
      </c>
      <c r="G15" s="1242">
        <f>G3</f>
        <v>0</v>
      </c>
    </row>
    <row r="16" spans="1:18">
      <c r="A16" s="2611"/>
      <c r="B16" s="1243" t="s">
        <v>1669</v>
      </c>
      <c r="C16" s="1244">
        <f>C4</f>
        <v>0</v>
      </c>
      <c r="D16" s="2007"/>
      <c r="E16" s="2608"/>
      <c r="F16" s="1245" t="s">
        <v>1670</v>
      </c>
      <c r="G16" s="1003">
        <f>G4</f>
        <v>0</v>
      </c>
    </row>
    <row r="17" spans="1:7" ht="14.25">
      <c r="A17" s="2611"/>
      <c r="B17" s="1243" t="s">
        <v>1671</v>
      </c>
      <c r="C17" s="1244">
        <f>C5</f>
        <v>0</v>
      </c>
      <c r="D17" s="2008"/>
      <c r="E17" s="2608"/>
      <c r="F17" s="1245" t="s">
        <v>1676</v>
      </c>
      <c r="G17" s="2817"/>
    </row>
    <row r="18" spans="1:7">
      <c r="A18" s="2611"/>
      <c r="B18" s="1245" t="s">
        <v>1657</v>
      </c>
      <c r="C18" s="1003">
        <f>C6</f>
        <v>0</v>
      </c>
      <c r="D18" s="2008"/>
      <c r="E18" s="2608"/>
      <c r="F18" s="1245" t="s">
        <v>1672</v>
      </c>
      <c r="G18" s="1003">
        <f>G7</f>
        <v>0</v>
      </c>
    </row>
    <row r="19" spans="1:7" ht="14.25">
      <c r="A19" s="2611"/>
      <c r="B19" s="1245" t="s">
        <v>1661</v>
      </c>
      <c r="C19" s="2817"/>
      <c r="D19" s="2007"/>
      <c r="E19" s="2608"/>
      <c r="F19" s="1229" t="s">
        <v>2552</v>
      </c>
      <c r="G19" s="1003">
        <f>G5</f>
        <v>0</v>
      </c>
    </row>
    <row r="20" spans="1:7">
      <c r="A20" s="2611"/>
      <c r="B20" s="1245" t="s">
        <v>1662</v>
      </c>
      <c r="C20" s="1244">
        <f>C9</f>
        <v>0</v>
      </c>
      <c r="D20" s="2008"/>
      <c r="E20" s="2608"/>
      <c r="F20" s="1229" t="s">
        <v>2553</v>
      </c>
      <c r="G20" s="1003">
        <f>G6</f>
        <v>0</v>
      </c>
    </row>
    <row r="21" spans="1:7" ht="14.25">
      <c r="A21" s="2611"/>
      <c r="B21" s="1229" t="s">
        <v>2552</v>
      </c>
      <c r="C21" s="1003">
        <f>C7</f>
        <v>0</v>
      </c>
      <c r="D21" s="2007"/>
      <c r="E21" s="2608"/>
      <c r="F21" s="1245" t="s">
        <v>1663</v>
      </c>
      <c r="G21" s="3111"/>
    </row>
    <row r="22" spans="1:7" ht="14.25">
      <c r="A22" s="2611"/>
      <c r="B22" s="1229" t="s">
        <v>2553</v>
      </c>
      <c r="C22" s="1003">
        <f>C8</f>
        <v>0</v>
      </c>
      <c r="D22" s="2007"/>
      <c r="E22" s="2608"/>
      <c r="F22" s="1245" t="s">
        <v>1673</v>
      </c>
      <c r="G22" s="2817"/>
    </row>
    <row r="23" spans="1:7" ht="15" thickBot="1">
      <c r="A23" s="2611"/>
      <c r="B23" s="1245" t="s">
        <v>1663</v>
      </c>
      <c r="C23" s="3111"/>
      <c r="E23" s="2609"/>
      <c r="F23" s="1246" t="s">
        <v>1677</v>
      </c>
      <c r="G23" s="3112"/>
    </row>
    <row r="24" spans="1:7" ht="14.25" thickBot="1">
      <c r="A24" s="2612"/>
      <c r="B24" s="1246" t="s">
        <v>1664</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2850</v>
      </c>
      <c r="B1" s="3069">
        <f>SUM(B14:B23)</f>
        <v>287739</v>
      </c>
      <c r="C1" s="3070"/>
      <c r="D1" s="3070"/>
      <c r="E1" s="3070"/>
      <c r="F1" s="3070"/>
    </row>
    <row r="2" spans="1:9" ht="16.5">
      <c r="A2" s="3069" t="s">
        <v>2851</v>
      </c>
      <c r="B2" s="3069">
        <f>SUM(C14:C23)</f>
        <v>96912.82</v>
      </c>
      <c r="C2" s="3070"/>
      <c r="D2" s="3070"/>
      <c r="E2" s="3070"/>
      <c r="F2" s="3070"/>
    </row>
    <row r="3" spans="1:9" ht="16.5">
      <c r="A3" s="3069" t="s">
        <v>2852</v>
      </c>
      <c r="B3" s="3071">
        <f>项目基本情况!D3</f>
        <v>43171</v>
      </c>
      <c r="C3" s="3070"/>
      <c r="D3" s="3070"/>
      <c r="E3" s="3070"/>
      <c r="F3" s="3070"/>
    </row>
    <row r="4" spans="1:9" ht="33">
      <c r="A4" s="3069" t="s">
        <v>2853</v>
      </c>
      <c r="B4" s="3069" t="s">
        <v>2854</v>
      </c>
      <c r="C4" s="3069" t="s">
        <v>2855</v>
      </c>
      <c r="D4" s="3069" t="s">
        <v>2856</v>
      </c>
      <c r="E4" s="3070"/>
      <c r="F4" s="3070"/>
    </row>
    <row r="5" spans="1:9" ht="16.5">
      <c r="A5" s="3069" t="s">
        <v>2857</v>
      </c>
      <c r="B5" s="3069">
        <f ca="1">SUM(D14:D23)</f>
        <v>135095</v>
      </c>
      <c r="C5" s="3069">
        <f ca="1">ROUND(B5*10000/$B$1,0)</f>
        <v>4695</v>
      </c>
      <c r="D5" s="3069">
        <f ca="1">ROUND(B5*10000/$B$2,0)</f>
        <v>13940</v>
      </c>
      <c r="E5" s="3070"/>
      <c r="F5" s="3070"/>
    </row>
    <row r="6" spans="1:9" ht="16.5">
      <c r="A6" s="3069" t="s">
        <v>2858</v>
      </c>
      <c r="B6" s="3069">
        <f ca="1">SUM(G14:G23)</f>
        <v>135095</v>
      </c>
      <c r="C6" s="3069">
        <f t="shared" ref="C6:C8" ca="1" si="0">ROUND(B6*10000/$B$1,0)</f>
        <v>4695</v>
      </c>
      <c r="D6" s="3069">
        <f t="shared" ref="D6:D8" ca="1" si="1">ROUND(B6*10000/$B$2,0)</f>
        <v>13940</v>
      </c>
      <c r="E6" s="3070"/>
      <c r="F6" s="3070"/>
    </row>
    <row r="7" spans="1:9" ht="16.5">
      <c r="A7" s="3069" t="s">
        <v>2859</v>
      </c>
      <c r="B7" s="3069">
        <f>SUM(H14:H23)</f>
        <v>0</v>
      </c>
      <c r="C7" s="3069">
        <f t="shared" si="0"/>
        <v>0</v>
      </c>
      <c r="D7" s="3069">
        <f t="shared" si="1"/>
        <v>0</v>
      </c>
      <c r="E7" s="3070"/>
      <c r="F7" s="3070"/>
    </row>
    <row r="8" spans="1:9" ht="16.5">
      <c r="A8" s="3069" t="s">
        <v>2860</v>
      </c>
      <c r="B8" s="3069">
        <f>SUM(I14:I23)</f>
        <v>0</v>
      </c>
      <c r="C8" s="3069">
        <f t="shared" si="0"/>
        <v>0</v>
      </c>
      <c r="D8" s="3069">
        <f t="shared" si="1"/>
        <v>0</v>
      </c>
      <c r="E8" s="3070"/>
      <c r="F8" s="3070"/>
    </row>
    <row r="9" spans="1:9" ht="16.5">
      <c r="A9" s="3069" t="s">
        <v>2861</v>
      </c>
      <c r="B9" s="3072"/>
      <c r="C9" s="3070"/>
      <c r="D9" s="3070"/>
      <c r="E9" s="3070"/>
      <c r="F9" s="3070"/>
    </row>
    <row r="10" spans="1:9" ht="16.5">
      <c r="A10" s="3069" t="s">
        <v>2862</v>
      </c>
      <c r="B10" s="3072"/>
      <c r="C10" s="3070"/>
      <c r="D10" s="3070"/>
      <c r="E10" s="3070"/>
      <c r="F10" s="3070"/>
    </row>
    <row r="11" spans="1:9" ht="16.5">
      <c r="A11" s="3069" t="s">
        <v>2879</v>
      </c>
      <c r="B11" s="3072"/>
      <c r="C11" s="3070"/>
      <c r="D11" s="3070"/>
      <c r="E11" s="3070"/>
      <c r="F11" s="3070"/>
    </row>
    <row r="12" spans="1:9" ht="16.5">
      <c r="A12" s="3070"/>
      <c r="B12" s="3070"/>
      <c r="C12" s="3070"/>
      <c r="D12" s="3070"/>
      <c r="E12" s="3070"/>
      <c r="F12" s="3070"/>
    </row>
    <row r="13" spans="1:9" ht="33">
      <c r="A13" s="3075" t="s">
        <v>2878</v>
      </c>
      <c r="B13" s="3073" t="s">
        <v>2850</v>
      </c>
      <c r="C13" s="3073" t="s">
        <v>2851</v>
      </c>
      <c r="D13" s="3073" t="s">
        <v>2863</v>
      </c>
      <c r="E13" s="3069" t="s">
        <v>2877</v>
      </c>
      <c r="F13" s="3069" t="s">
        <v>2856</v>
      </c>
      <c r="G13" s="3073" t="s">
        <v>2864</v>
      </c>
      <c r="H13" s="3073" t="s">
        <v>2865</v>
      </c>
      <c r="I13" s="3073" t="s">
        <v>2866</v>
      </c>
    </row>
    <row r="14" spans="1:9" ht="16.5">
      <c r="A14" s="3076" t="s">
        <v>2876</v>
      </c>
      <c r="B14" s="3073">
        <f>'结果表-正常'!L38</f>
        <v>287739</v>
      </c>
      <c r="C14" s="3073">
        <f>'结果表-正常'!K38</f>
        <v>96912.82</v>
      </c>
      <c r="D14" s="3073">
        <f ca="1">'结果表-正常'!C42</f>
        <v>135095</v>
      </c>
      <c r="E14" s="3073">
        <f ca="1">ROUND(D14*10000/B14,0)</f>
        <v>4695</v>
      </c>
      <c r="F14" s="3073">
        <f ca="1">ROUND(D14*10000/C14,0)</f>
        <v>13940</v>
      </c>
      <c r="G14" s="3073">
        <f ca="1">'结果表-正常'!C44</f>
        <v>135095</v>
      </c>
      <c r="H14" s="3073" t="str">
        <f>'结果表-正常'!C45</f>
        <v>——</v>
      </c>
      <c r="I14" s="3073" t="str">
        <f>'结果表-正常'!C46</f>
        <v>——</v>
      </c>
    </row>
    <row r="15" spans="1:9" ht="16.5">
      <c r="A15" s="3076" t="s">
        <v>2867</v>
      </c>
      <c r="B15" s="3077"/>
      <c r="C15" s="3077"/>
      <c r="D15" s="3077"/>
      <c r="E15" s="3073" t="e">
        <f t="shared" ref="E15:E23" si="2">ROUND(D15*10000/B15,0)</f>
        <v>#DIV/0!</v>
      </c>
      <c r="F15" s="3073" t="e">
        <f t="shared" ref="F15:F23" si="3">ROUND(D15*10000/C15,0)</f>
        <v>#DIV/0!</v>
      </c>
      <c r="G15" s="3074"/>
      <c r="H15" s="3074"/>
      <c r="I15" s="3077"/>
    </row>
    <row r="16" spans="1:9" ht="16.5">
      <c r="A16" s="3076" t="s">
        <v>2868</v>
      </c>
      <c r="B16" s="3077"/>
      <c r="C16" s="3077"/>
      <c r="D16" s="3077"/>
      <c r="E16" s="3073" t="e">
        <f t="shared" si="2"/>
        <v>#DIV/0!</v>
      </c>
      <c r="F16" s="3073" t="e">
        <f t="shared" si="3"/>
        <v>#DIV/0!</v>
      </c>
      <c r="G16" s="3074"/>
      <c r="H16" s="3074"/>
      <c r="I16" s="3077"/>
    </row>
    <row r="17" spans="1:9" ht="16.5">
      <c r="A17" s="3076" t="s">
        <v>2869</v>
      </c>
      <c r="B17" s="3077"/>
      <c r="C17" s="3077"/>
      <c r="D17" s="3077"/>
      <c r="E17" s="3073" t="e">
        <f t="shared" si="2"/>
        <v>#DIV/0!</v>
      </c>
      <c r="F17" s="3073" t="e">
        <f t="shared" si="3"/>
        <v>#DIV/0!</v>
      </c>
      <c r="G17" s="3074"/>
      <c r="H17" s="3074"/>
      <c r="I17" s="3077"/>
    </row>
    <row r="18" spans="1:9" ht="16.5">
      <c r="A18" s="3076" t="s">
        <v>2870</v>
      </c>
      <c r="B18" s="3077"/>
      <c r="C18" s="3077"/>
      <c r="D18" s="3077"/>
      <c r="E18" s="3073" t="e">
        <f t="shared" si="2"/>
        <v>#DIV/0!</v>
      </c>
      <c r="F18" s="3073" t="e">
        <f t="shared" si="3"/>
        <v>#DIV/0!</v>
      </c>
      <c r="G18" s="3077"/>
      <c r="H18" s="3077"/>
      <c r="I18" s="3077"/>
    </row>
    <row r="19" spans="1:9" ht="16.5">
      <c r="A19" s="3076" t="s">
        <v>2871</v>
      </c>
      <c r="B19" s="3077"/>
      <c r="C19" s="3077"/>
      <c r="D19" s="3077"/>
      <c r="E19" s="3073" t="e">
        <f t="shared" si="2"/>
        <v>#DIV/0!</v>
      </c>
      <c r="F19" s="3073" t="e">
        <f t="shared" si="3"/>
        <v>#DIV/0!</v>
      </c>
      <c r="G19" s="3077"/>
      <c r="H19" s="3077"/>
      <c r="I19" s="3077"/>
    </row>
    <row r="20" spans="1:9" ht="16.5">
      <c r="A20" s="3076" t="s">
        <v>2872</v>
      </c>
      <c r="B20" s="3077"/>
      <c r="C20" s="3077"/>
      <c r="D20" s="3077"/>
      <c r="E20" s="3073" t="e">
        <f t="shared" si="2"/>
        <v>#DIV/0!</v>
      </c>
      <c r="F20" s="3073" t="e">
        <f t="shared" si="3"/>
        <v>#DIV/0!</v>
      </c>
      <c r="G20" s="3077"/>
      <c r="H20" s="3077"/>
      <c r="I20" s="3077"/>
    </row>
    <row r="21" spans="1:9" ht="16.5">
      <c r="A21" s="3076" t="s">
        <v>2873</v>
      </c>
      <c r="B21" s="3077"/>
      <c r="C21" s="3077"/>
      <c r="D21" s="3077"/>
      <c r="E21" s="3073" t="e">
        <f t="shared" si="2"/>
        <v>#DIV/0!</v>
      </c>
      <c r="F21" s="3073" t="e">
        <f t="shared" si="3"/>
        <v>#DIV/0!</v>
      </c>
      <c r="G21" s="3077"/>
      <c r="H21" s="3077"/>
      <c r="I21" s="3077"/>
    </row>
    <row r="22" spans="1:9" ht="16.5">
      <c r="A22" s="3076" t="s">
        <v>2874</v>
      </c>
      <c r="B22" s="3077"/>
      <c r="C22" s="3077"/>
      <c r="D22" s="3077"/>
      <c r="E22" s="3073" t="e">
        <f t="shared" si="2"/>
        <v>#DIV/0!</v>
      </c>
      <c r="F22" s="3073" t="e">
        <f t="shared" si="3"/>
        <v>#DIV/0!</v>
      </c>
      <c r="G22" s="3077"/>
      <c r="H22" s="3077"/>
      <c r="I22" s="3077"/>
    </row>
    <row r="23" spans="1:9" ht="16.5">
      <c r="A23" s="3076" t="s">
        <v>2875</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50" sqref="G5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2059</v>
      </c>
      <c r="B1" s="1775"/>
      <c r="C1" s="1803" t="s">
        <v>2060</v>
      </c>
      <c r="D1" s="1804"/>
      <c r="E1" s="1803" t="s">
        <v>2061</v>
      </c>
      <c r="F1" s="1805" t="s">
        <v>3288</v>
      </c>
      <c r="G1" s="310"/>
      <c r="H1" s="310"/>
      <c r="I1" s="310"/>
      <c r="J1" s="2027"/>
      <c r="K1" s="2027"/>
      <c r="L1" s="2027"/>
      <c r="M1" s="2027"/>
      <c r="N1" s="2027"/>
      <c r="O1" s="2027"/>
      <c r="P1" s="2027"/>
      <c r="Q1" s="2027"/>
      <c r="R1" s="2027"/>
      <c r="S1" s="2027"/>
      <c r="T1" s="2027"/>
      <c r="U1" s="2027"/>
      <c r="V1" s="2027"/>
    </row>
    <row r="2" spans="1:22" ht="21.75" customHeight="1" thickBot="1">
      <c r="A2" s="3698" t="str">
        <f>项目基本情况!K2</f>
        <v>出让国有建设用地使用权</v>
      </c>
      <c r="B2" s="3699"/>
      <c r="C2" s="3700"/>
      <c r="D2" s="3700"/>
      <c r="E2" s="3700"/>
      <c r="F2" s="3700"/>
      <c r="G2" s="3699"/>
      <c r="H2" s="3699"/>
      <c r="I2" s="3701"/>
      <c r="J2" s="2028"/>
      <c r="K2" s="2027"/>
      <c r="L2" s="2027"/>
      <c r="M2" s="2027"/>
      <c r="N2" s="2027"/>
      <c r="O2" s="2027"/>
      <c r="P2" s="2027"/>
      <c r="Q2" s="2027"/>
      <c r="R2" s="2027"/>
      <c r="S2" s="2027"/>
      <c r="T2" s="2027"/>
      <c r="U2" s="2027"/>
      <c r="V2" s="2027"/>
    </row>
    <row r="3" spans="1:22" ht="14.25">
      <c r="A3" s="3709" t="s">
        <v>298</v>
      </c>
      <c r="B3" s="3710"/>
      <c r="C3" s="3710"/>
      <c r="D3" s="3710"/>
      <c r="E3" s="3710"/>
      <c r="F3" s="3710"/>
      <c r="G3" s="3710"/>
      <c r="H3" s="3710"/>
      <c r="I3" s="3710"/>
      <c r="J3" s="2028"/>
      <c r="K3" s="2027"/>
      <c r="L3" s="2027"/>
      <c r="M3" s="2027"/>
      <c r="N3" s="2027"/>
      <c r="O3" s="2027"/>
      <c r="P3" s="2027"/>
      <c r="Q3" s="2027"/>
      <c r="R3" s="2027"/>
      <c r="S3" s="2027"/>
      <c r="T3" s="2027"/>
      <c r="U3" s="2027"/>
      <c r="V3" s="2027"/>
    </row>
    <row r="4" spans="1:22" ht="14.25">
      <c r="A4" s="257" t="s">
        <v>299</v>
      </c>
      <c r="B4" s="258" t="s">
        <v>300</v>
      </c>
      <c r="C4" s="259" t="s">
        <v>3251</v>
      </c>
      <c r="D4" s="259" t="s">
        <v>3265</v>
      </c>
      <c r="E4" s="3673" t="s">
        <v>301</v>
      </c>
      <c r="F4" s="3715"/>
      <c r="G4" s="3715"/>
      <c r="H4" s="3715"/>
      <c r="I4" s="3674"/>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4.25" hidden="1">
      <c r="A5" s="3702" t="s">
        <v>302</v>
      </c>
      <c r="B5" s="3703">
        <v>25</v>
      </c>
      <c r="C5" s="3711"/>
      <c r="D5" s="3714"/>
      <c r="E5" s="260" t="s">
        <v>303</v>
      </c>
      <c r="F5" s="261"/>
      <c r="G5" s="261"/>
      <c r="H5" s="261"/>
      <c r="I5" s="262"/>
      <c r="J5" s="2028"/>
      <c r="K5" s="2027"/>
      <c r="L5" s="2027"/>
      <c r="M5" s="2027"/>
      <c r="N5" s="2027"/>
      <c r="O5" s="2027"/>
      <c r="P5" s="2027"/>
      <c r="Q5" s="2027"/>
      <c r="R5" s="2027"/>
      <c r="S5" s="2027"/>
      <c r="T5" s="2027"/>
      <c r="U5" s="2027"/>
      <c r="V5" s="2027"/>
    </row>
    <row r="6" spans="1:22" ht="14.25" hidden="1">
      <c r="A6" s="3702"/>
      <c r="B6" s="3703"/>
      <c r="C6" s="3712"/>
      <c r="D6" s="3714"/>
      <c r="E6" s="260" t="s">
        <v>304</v>
      </c>
      <c r="F6" s="261"/>
      <c r="G6" s="261"/>
      <c r="H6" s="261"/>
      <c r="I6" s="262"/>
      <c r="J6" s="2028"/>
      <c r="K6" s="2027"/>
      <c r="L6" s="2027"/>
      <c r="M6" s="2027"/>
      <c r="N6" s="2027"/>
      <c r="O6" s="2027"/>
      <c r="P6" s="2027"/>
      <c r="Q6" s="2027"/>
      <c r="R6" s="2027"/>
      <c r="S6" s="2027"/>
      <c r="T6" s="2027"/>
      <c r="U6" s="2027"/>
      <c r="V6" s="2027"/>
    </row>
    <row r="7" spans="1:22" ht="14.25" hidden="1">
      <c r="A7" s="3702"/>
      <c r="B7" s="3703"/>
      <c r="C7" s="3713"/>
      <c r="D7" s="3714"/>
      <c r="E7" s="260" t="s">
        <v>305</v>
      </c>
      <c r="F7" s="261"/>
      <c r="G7" s="261"/>
      <c r="H7" s="261"/>
      <c r="I7" s="262"/>
      <c r="J7" s="2028"/>
      <c r="K7" s="2027"/>
      <c r="L7" s="2027"/>
      <c r="M7" s="2027"/>
      <c r="N7" s="2027"/>
      <c r="O7" s="2027"/>
      <c r="P7" s="2027"/>
      <c r="Q7" s="2027"/>
      <c r="R7" s="2027"/>
      <c r="S7" s="2027"/>
      <c r="T7" s="2027"/>
      <c r="U7" s="2027"/>
      <c r="V7" s="2027"/>
    </row>
    <row r="8" spans="1:22" ht="14.25" hidden="1">
      <c r="A8" s="3702" t="s">
        <v>306</v>
      </c>
      <c r="B8" s="3703">
        <v>15</v>
      </c>
      <c r="C8" s="3711"/>
      <c r="D8" s="3714"/>
      <c r="E8" s="260" t="s">
        <v>307</v>
      </c>
      <c r="F8" s="261"/>
      <c r="G8" s="261"/>
      <c r="H8" s="261"/>
      <c r="I8" s="262"/>
      <c r="J8" s="2028"/>
      <c r="K8" s="2027"/>
      <c r="L8" s="2027"/>
      <c r="M8" s="2027"/>
      <c r="N8" s="2027"/>
      <c r="O8" s="2027"/>
      <c r="P8" s="2027"/>
      <c r="Q8" s="2027"/>
      <c r="R8" s="2027"/>
      <c r="S8" s="2027"/>
      <c r="T8" s="2027"/>
      <c r="U8" s="2027"/>
      <c r="V8" s="2027"/>
    </row>
    <row r="9" spans="1:22" ht="14.25" hidden="1">
      <c r="A9" s="3702"/>
      <c r="B9" s="3703"/>
      <c r="C9" s="3713"/>
      <c r="D9" s="3714"/>
      <c r="E9" s="260" t="s">
        <v>308</v>
      </c>
      <c r="F9" s="261"/>
      <c r="G9" s="261"/>
      <c r="H9" s="261"/>
      <c r="I9" s="262"/>
      <c r="J9" s="2028"/>
      <c r="K9" s="2027"/>
      <c r="L9" s="2027"/>
      <c r="M9" s="2027"/>
      <c r="N9" s="2027"/>
      <c r="O9" s="2027"/>
      <c r="P9" s="2027"/>
      <c r="Q9" s="2027"/>
      <c r="R9" s="2027"/>
      <c r="S9" s="2027"/>
      <c r="T9" s="2027"/>
      <c r="U9" s="2027"/>
      <c r="V9" s="2027"/>
    </row>
    <row r="10" spans="1:22" ht="14.25" hidden="1">
      <c r="A10" s="3702" t="s">
        <v>309</v>
      </c>
      <c r="B10" s="3703">
        <v>15</v>
      </c>
      <c r="C10" s="3711"/>
      <c r="D10" s="3714"/>
      <c r="E10" s="260" t="s">
        <v>310</v>
      </c>
      <c r="F10" s="261"/>
      <c r="G10" s="261"/>
      <c r="H10" s="261"/>
      <c r="I10" s="262"/>
      <c r="J10" s="2028"/>
      <c r="K10" s="2027"/>
      <c r="L10" s="2027"/>
      <c r="M10" s="2027"/>
      <c r="N10" s="2027"/>
      <c r="O10" s="2027"/>
      <c r="P10" s="2027"/>
      <c r="Q10" s="2027"/>
      <c r="R10" s="2027"/>
      <c r="S10" s="2027"/>
      <c r="T10" s="2027"/>
      <c r="U10" s="2027"/>
      <c r="V10" s="2027"/>
    </row>
    <row r="11" spans="1:22" ht="14.25" hidden="1">
      <c r="A11" s="3702"/>
      <c r="B11" s="3703"/>
      <c r="C11" s="3713"/>
      <c r="D11" s="3714"/>
      <c r="E11" s="260" t="s">
        <v>311</v>
      </c>
      <c r="F11" s="261"/>
      <c r="G11" s="261"/>
      <c r="H11" s="261"/>
      <c r="I11" s="262"/>
      <c r="J11" s="2028"/>
      <c r="K11" s="2027"/>
      <c r="L11" s="2027"/>
      <c r="M11" s="2027"/>
      <c r="N11" s="2027"/>
      <c r="O11" s="2027"/>
      <c r="P11" s="2027"/>
      <c r="Q11" s="2027"/>
      <c r="R11" s="2027"/>
      <c r="S11" s="2027"/>
      <c r="T11" s="2027"/>
      <c r="U11" s="2027"/>
      <c r="V11" s="2027"/>
    </row>
    <row r="12" spans="1:22" ht="14.25" hidden="1">
      <c r="A12" s="3702" t="s">
        <v>312</v>
      </c>
      <c r="B12" s="3703">
        <v>15</v>
      </c>
      <c r="C12" s="3711"/>
      <c r="D12" s="3714"/>
      <c r="E12" s="260" t="s">
        <v>313</v>
      </c>
      <c r="F12" s="261"/>
      <c r="G12" s="261"/>
      <c r="H12" s="261"/>
      <c r="I12" s="262"/>
      <c r="J12" s="2028"/>
      <c r="K12" s="2027"/>
      <c r="L12" s="2027"/>
      <c r="M12" s="2027"/>
      <c r="N12" s="2027"/>
      <c r="O12" s="2027"/>
      <c r="P12" s="2027"/>
      <c r="Q12" s="2027"/>
      <c r="R12" s="2027"/>
      <c r="S12" s="2027"/>
      <c r="T12" s="2027"/>
      <c r="U12" s="2027"/>
      <c r="V12" s="2027"/>
    </row>
    <row r="13" spans="1:22" ht="14.25" hidden="1">
      <c r="A13" s="3702"/>
      <c r="B13" s="3703"/>
      <c r="C13" s="3713"/>
      <c r="D13" s="3714"/>
      <c r="E13" s="260" t="s">
        <v>314</v>
      </c>
      <c r="F13" s="261"/>
      <c r="G13" s="261"/>
      <c r="H13" s="261"/>
      <c r="I13" s="262"/>
      <c r="J13" s="2028"/>
      <c r="K13" s="2027"/>
      <c r="L13" s="2027"/>
      <c r="M13" s="2027"/>
      <c r="N13" s="2027"/>
      <c r="O13" s="2027"/>
      <c r="P13" s="2027"/>
      <c r="Q13" s="2027"/>
      <c r="R13" s="2027"/>
      <c r="S13" s="2027"/>
      <c r="T13" s="2027"/>
      <c r="U13" s="2027"/>
      <c r="V13" s="2027"/>
    </row>
    <row r="14" spans="1:22" ht="14.25" hidden="1">
      <c r="A14" s="3702" t="s">
        <v>315</v>
      </c>
      <c r="B14" s="3703">
        <v>30</v>
      </c>
      <c r="C14" s="3711">
        <v>50</v>
      </c>
      <c r="D14" s="3714">
        <f>100-C14</f>
        <v>50</v>
      </c>
      <c r="E14" s="260" t="s">
        <v>316</v>
      </c>
      <c r="F14" s="261"/>
      <c r="G14" s="261"/>
      <c r="H14" s="261"/>
      <c r="I14" s="262"/>
      <c r="J14" s="2028"/>
      <c r="K14" s="2027"/>
      <c r="L14" s="2027"/>
      <c r="M14" s="2027"/>
      <c r="N14" s="2027"/>
      <c r="O14" s="2027"/>
      <c r="P14" s="2027"/>
      <c r="Q14" s="2027"/>
      <c r="R14" s="2027"/>
      <c r="S14" s="2027"/>
      <c r="T14" s="2027"/>
      <c r="U14" s="2027"/>
      <c r="V14" s="2027"/>
    </row>
    <row r="15" spans="1:22" ht="14.25" hidden="1">
      <c r="A15" s="3702"/>
      <c r="B15" s="3703"/>
      <c r="C15" s="3712"/>
      <c r="D15" s="3714"/>
      <c r="E15" s="260" t="s">
        <v>317</v>
      </c>
      <c r="F15" s="261"/>
      <c r="G15" s="261"/>
      <c r="H15" s="261"/>
      <c r="I15" s="262"/>
      <c r="J15" s="2028"/>
      <c r="K15" s="2027"/>
      <c r="L15" s="2027"/>
      <c r="M15" s="2027"/>
      <c r="N15" s="2027"/>
      <c r="O15" s="2027"/>
      <c r="P15" s="2027"/>
      <c r="Q15" s="2027"/>
      <c r="R15" s="2027"/>
      <c r="S15" s="2027"/>
      <c r="T15" s="2027"/>
      <c r="U15" s="2027"/>
      <c r="V15" s="2027"/>
    </row>
    <row r="16" spans="1:22" ht="14.25">
      <c r="A16" s="3702"/>
      <c r="B16" s="3703"/>
      <c r="C16" s="3713"/>
      <c r="D16" s="3714"/>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3"/>
      <c r="C17" s="264">
        <f>SUM(C5:C16)</f>
        <v>50</v>
      </c>
      <c r="D17" s="264">
        <f>SUM(D5:D16)</f>
        <v>50</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4"/>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SUMIF(INDIRECT("'"&amp;C4&amp;"'"&amp;"!A:A"),'结果表-正常'!B19,INDIRECT("'"&amp;C4&amp;"'"&amp;"!B:B"))</f>
        <v>142575</v>
      </c>
      <c r="D19" s="270">
        <f ca="1">SUMIF(INDIRECT("'"&amp;D4&amp;"'"&amp;"!A:A"),'结果表-正常'!B19,INDIRECT("'"&amp;D4&amp;"'"&amp;"!B:B"))</f>
        <v>127614</v>
      </c>
      <c r="E19" s="267" t="s">
        <v>323</v>
      </c>
      <c r="F19" s="268" t="s">
        <v>322</v>
      </c>
      <c r="G19" s="271">
        <f ca="1">ROUND(C19*$C$18+D19*$D$18,0)</f>
        <v>135095</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SUMIF(INDIRECT("'"&amp;C4&amp;"'"&amp;"!A:A"),'结果表-正常'!B20,INDIRECT("'"&amp;C4&amp;"'"&amp;"!B:B"))</f>
        <v>4955</v>
      </c>
      <c r="D20" s="276">
        <f ca="1">SUMIF(INDIRECT("'"&amp;D4&amp;"'"&amp;"!A:A"),'结果表-正常'!B20,INDIRECT("'"&amp;D4&amp;"'"&amp;"!B:B"))</f>
        <v>4435</v>
      </c>
      <c r="E20" s="273"/>
      <c r="F20" s="274" t="s">
        <v>325</v>
      </c>
      <c r="G20" s="277">
        <f ca="1">ROUND(C20*$C$18+D20*$D$18,0)</f>
        <v>4695</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SUMIF(INDIRECT("'"&amp;C4&amp;"'"&amp;"!A:A"),'结果表-正常'!B21,INDIRECT("'"&amp;C4&amp;"'"&amp;"!B:B"))</f>
        <v>14712</v>
      </c>
      <c r="D21" s="150">
        <f ca="1">SUMIF(INDIRECT("'"&amp;D4&amp;"'"&amp;"!A:A"),'结果表-正常'!B21,INDIRECT("'"&amp;D4&amp;"'"&amp;"!B:B"))</f>
        <v>13168</v>
      </c>
      <c r="E21" s="273"/>
      <c r="F21" s="279" t="s">
        <v>327</v>
      </c>
      <c r="G21" s="281">
        <f ca="1">ROUND(C21*$C$18+D21*$D$18,0)</f>
        <v>13940</v>
      </c>
      <c r="H21" s="1249" t="s">
        <v>326</v>
      </c>
      <c r="I21" s="310"/>
      <c r="J21" s="2027"/>
      <c r="K21" s="2027"/>
      <c r="L21" s="2027"/>
      <c r="M21" s="2027"/>
      <c r="N21" s="2027"/>
      <c r="O21" s="2027"/>
      <c r="P21" s="2027"/>
      <c r="Q21" s="2027"/>
      <c r="R21" s="2027"/>
      <c r="S21" s="2027"/>
      <c r="T21" s="2027"/>
      <c r="U21" s="2027"/>
      <c r="V21" s="2027"/>
    </row>
    <row r="22" spans="1:26" ht="15.75" thickBot="1">
      <c r="A22" s="125" t="s">
        <v>328</v>
      </c>
      <c r="B22" s="1250"/>
      <c r="C22" s="1251"/>
      <c r="D22" s="282">
        <f ca="1">IF(C19&lt;D19,D19/C19-1,C19/D19-1)</f>
        <v>0.11723635337815597</v>
      </c>
      <c r="E22" s="283"/>
      <c r="F22" s="284"/>
      <c r="G22" s="285">
        <f ca="1">ROUND(G19/('数据-汇总表'!D3/666.67),0)</f>
        <v>929</v>
      </c>
      <c r="H22" s="286" t="s">
        <v>329</v>
      </c>
      <c r="I22" s="310"/>
      <c r="J22" s="2027"/>
      <c r="K22" s="2027"/>
      <c r="L22" s="2027"/>
      <c r="M22" s="2027"/>
      <c r="N22" s="2027"/>
      <c r="O22" s="2027"/>
      <c r="P22" s="2027"/>
      <c r="Q22" s="2027"/>
      <c r="R22" s="2027"/>
      <c r="S22" s="2027"/>
      <c r="T22" s="2027"/>
      <c r="U22" s="2027"/>
      <c r="V22" s="2027"/>
    </row>
    <row r="23" spans="1:26" ht="13.5" hidden="1"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hidden="1" thickBot="1">
      <c r="A24" s="3675"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hidden="1">
      <c r="A25" s="3717"/>
      <c r="B25" s="1319" t="s">
        <v>331</v>
      </c>
      <c r="C25" s="289">
        <f>IF(B30=0,0,C30)</f>
        <v>0</v>
      </c>
      <c r="D25" s="290"/>
      <c r="E25" s="310"/>
      <c r="F25" s="310"/>
      <c r="G25" s="310"/>
      <c r="H25" s="310"/>
      <c r="I25" s="310"/>
      <c r="J25" s="2027"/>
      <c r="K25" s="1253" t="str">
        <f ca="1">项目基本情况!B16&amp;"国有建设用地使用权价格："&amp;O38&amp;"万元"</f>
        <v>出让国有建设用地使用权价格：135095万元</v>
      </c>
      <c r="L25" s="1254"/>
      <c r="M25" s="1254"/>
      <c r="N25" s="1254"/>
      <c r="O25" s="1255"/>
      <c r="P25" s="2027"/>
      <c r="Q25" s="2027"/>
      <c r="R25" s="2027"/>
      <c r="S25" s="2027"/>
      <c r="T25" s="2027"/>
      <c r="U25" s="2027"/>
      <c r="V25" s="2027"/>
    </row>
    <row r="26" spans="1:26" s="1252" customFormat="1" ht="18" hidden="1">
      <c r="A26" s="292" t="s">
        <v>332</v>
      </c>
      <c r="B26" s="293" t="s">
        <v>333</v>
      </c>
      <c r="C26" s="293" t="s">
        <v>334</v>
      </c>
      <c r="D26" s="294" t="s">
        <v>335</v>
      </c>
      <c r="E26" s="310"/>
      <c r="F26" s="310"/>
      <c r="G26" s="310"/>
      <c r="H26" s="310"/>
      <c r="I26" s="310"/>
      <c r="J26" s="2027"/>
      <c r="K26" s="1256" t="str">
        <f ca="1">"大写金额：人民币"&amp;NUMBERSTRING(INT(O38*10000),2)&amp;"元整"</f>
        <v>大写金额：人民币壹拾叁亿伍仟零玖拾伍万元整</v>
      </c>
      <c r="L26" s="1250"/>
      <c r="M26" s="1250"/>
      <c r="N26" s="1250"/>
      <c r="O26" s="1249"/>
      <c r="P26" s="2027"/>
      <c r="Q26" s="2027"/>
      <c r="R26" s="2027"/>
      <c r="S26" s="2027"/>
      <c r="T26" s="2027"/>
      <c r="U26" s="2027"/>
      <c r="V26" s="2027"/>
      <c r="W26" s="291"/>
      <c r="X26" s="291"/>
      <c r="Y26" s="291"/>
      <c r="Z26" s="291"/>
    </row>
    <row r="27" spans="1:26" ht="18" hidden="1">
      <c r="A27" s="292"/>
      <c r="B27" s="293"/>
      <c r="C27" s="293"/>
      <c r="D27" s="294"/>
      <c r="E27" s="310"/>
      <c r="F27" s="310"/>
      <c r="G27" s="310"/>
      <c r="H27" s="310"/>
      <c r="I27" s="310"/>
      <c r="J27" s="2027"/>
      <c r="K27" s="1256" t="str">
        <f ca="1">"单位面积地价："&amp;M38&amp;"元/平方米"</f>
        <v>单位面积地价：13940元/平方米</v>
      </c>
      <c r="L27" s="1250"/>
      <c r="M27" s="1250"/>
      <c r="N27" s="1250"/>
      <c r="O27" s="1249"/>
      <c r="P27" s="2027"/>
      <c r="Q27" s="2027"/>
      <c r="R27" s="2027"/>
      <c r="S27" s="2027"/>
      <c r="T27" s="2027"/>
      <c r="U27" s="2027"/>
      <c r="V27" s="2027"/>
    </row>
    <row r="28" spans="1:26" ht="18.75" hidden="1" customHeight="1">
      <c r="A28" s="292"/>
      <c r="B28" s="293"/>
      <c r="C28" s="293"/>
      <c r="D28" s="294"/>
      <c r="E28" s="310"/>
      <c r="F28" s="310"/>
      <c r="G28" s="310"/>
      <c r="H28" s="310"/>
      <c r="I28" s="310"/>
      <c r="J28" s="2027"/>
      <c r="K28" s="1256" t="str">
        <f ca="1">"楼面地价："&amp;N38&amp;"元/平方米"</f>
        <v>楼面地价：4695元/平方米</v>
      </c>
      <c r="L28" s="1250"/>
      <c r="M28" s="1250"/>
      <c r="N28" s="1250"/>
      <c r="O28" s="1249"/>
      <c r="P28" s="2027"/>
      <c r="V28" s="2027"/>
    </row>
    <row r="29" spans="1:26" ht="18" hidden="1">
      <c r="A29" s="292"/>
      <c r="B29" s="293"/>
      <c r="C29" s="293"/>
      <c r="D29" s="294"/>
      <c r="E29" s="310"/>
      <c r="F29" s="310"/>
      <c r="G29" s="310"/>
      <c r="H29" s="310"/>
      <c r="I29" s="310"/>
      <c r="J29" s="2027"/>
      <c r="K29" s="1256" t="str">
        <f ca="1">IF(OR(项目基本情况!E8="抵押价格",项目基本情况!E8="已注销及未注销"),"抵押价格："&amp;O39&amp;"万元","——")</f>
        <v>抵押价格：135095万元</v>
      </c>
      <c r="L29" s="1250"/>
      <c r="M29" s="1250"/>
      <c r="N29" s="1250"/>
      <c r="O29" s="1249"/>
      <c r="P29" s="2027"/>
      <c r="V29" s="2027"/>
    </row>
    <row r="30" spans="1:26" ht="18.75" hidden="1" thickBot="1">
      <c r="A30" s="3160" t="s">
        <v>336</v>
      </c>
      <c r="B30" s="308"/>
      <c r="C30" s="308"/>
      <c r="D30" s="309"/>
      <c r="E30" s="3161" t="s">
        <v>2969</v>
      </c>
      <c r="F30" s="310"/>
      <c r="G30" s="310"/>
      <c r="H30" s="310"/>
      <c r="I30" s="310"/>
      <c r="J30" s="2027"/>
      <c r="K30" s="1256" t="str">
        <f ca="1">IF(K29="——","——","大写金额：人民币"&amp;NUMBERSTRING(INT(O39*10000),2)&amp;"元整")</f>
        <v>大写金额：人民币壹拾叁亿伍仟零玖拾伍万元整</v>
      </c>
      <c r="L30" s="1250"/>
      <c r="M30" s="1250"/>
      <c r="N30" s="1250"/>
      <c r="O30" s="1249"/>
      <c r="P30" s="2027"/>
      <c r="V30" s="2027"/>
    </row>
    <row r="31" spans="1:26" ht="24" hidden="1"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337</v>
      </c>
      <c r="B32" s="1379" t="s">
        <v>1690</v>
      </c>
      <c r="C32" s="1380">
        <f ca="1">G19-C24</f>
        <v>135095</v>
      </c>
      <c r="D32" s="1381" t="s">
        <v>1691</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340</v>
      </c>
      <c r="B33" s="1382" t="s">
        <v>1692</v>
      </c>
      <c r="C33" s="263">
        <f ca="1">ROUND(C32*10000/'数据-汇总表'!E3,0)</f>
        <v>4695</v>
      </c>
      <c r="D33" s="1383" t="s">
        <v>1693</v>
      </c>
      <c r="E33" s="3675" t="s">
        <v>338</v>
      </c>
      <c r="F33" s="295" t="s">
        <v>339</v>
      </c>
      <c r="G33" s="296"/>
      <c r="H33" s="978"/>
      <c r="I33" s="1257"/>
      <c r="J33" s="2027"/>
      <c r="K33" s="1256" t="str">
        <f>IF(项目基本情况!E9="——","——","抵押净值："&amp;C46&amp;"万元")</f>
        <v>抵押净值：——万元</v>
      </c>
      <c r="L33" s="1250"/>
      <c r="M33" s="1250"/>
      <c r="N33" s="1250"/>
      <c r="O33" s="1249"/>
      <c r="P33" s="2027"/>
      <c r="V33" s="2027"/>
    </row>
    <row r="34" spans="1:26" s="1252" customFormat="1" ht="18.75" thickBot="1">
      <c r="A34" s="299"/>
      <c r="B34" s="1384" t="s">
        <v>1694</v>
      </c>
      <c r="C34" s="263">
        <f ca="1">ROUND(C32*10000/'数据-汇总表'!D3,0)</f>
        <v>13940</v>
      </c>
      <c r="D34" s="1385" t="s">
        <v>1693</v>
      </c>
      <c r="E34" s="3676"/>
      <c r="F34" s="126" t="s">
        <v>341</v>
      </c>
      <c r="G34" s="298"/>
      <c r="H34" s="104"/>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929</v>
      </c>
      <c r="D35" s="1388" t="s">
        <v>1695</v>
      </c>
      <c r="E35" s="3677"/>
      <c r="F35" s="300" t="s">
        <v>342</v>
      </c>
      <c r="G35" s="980"/>
      <c r="H35" s="979" t="s">
        <v>343</v>
      </c>
      <c r="I35" s="310"/>
      <c r="J35" s="2027"/>
      <c r="K35" s="3681" t="s">
        <v>350</v>
      </c>
      <c r="L35" s="3681" t="s">
        <v>351</v>
      </c>
      <c r="M35" s="1262" t="s">
        <v>352</v>
      </c>
      <c r="N35" s="3681" t="s">
        <v>353</v>
      </c>
      <c r="O35" s="3681" t="s">
        <v>354</v>
      </c>
      <c r="P35" s="2027"/>
      <c r="V35" s="2027"/>
    </row>
    <row r="36" spans="1:26" ht="16.5" hidden="1" customHeight="1">
      <c r="A36" s="302" t="s">
        <v>344</v>
      </c>
      <c r="B36" s="303" t="s">
        <v>333</v>
      </c>
      <c r="C36" s="304" t="s">
        <v>345</v>
      </c>
      <c r="D36" s="304" t="s">
        <v>346</v>
      </c>
      <c r="E36" s="305" t="s">
        <v>347</v>
      </c>
      <c r="F36" s="310"/>
      <c r="G36" s="310"/>
      <c r="H36" s="310"/>
      <c r="I36" s="310"/>
      <c r="J36" s="2029"/>
      <c r="K36" s="3682"/>
      <c r="L36" s="3682"/>
      <c r="M36" s="1264" t="s">
        <v>355</v>
      </c>
      <c r="N36" s="3682"/>
      <c r="O36" s="3682"/>
      <c r="P36" s="2027"/>
      <c r="V36" s="2027"/>
    </row>
    <row r="37" spans="1:26" ht="16.5" hidden="1" customHeight="1" thickBot="1">
      <c r="A37" s="1258" t="s">
        <v>348</v>
      </c>
      <c r="B37" s="306"/>
      <c r="C37" s="293"/>
      <c r="D37" s="293"/>
      <c r="E37" s="294"/>
      <c r="F37" s="310"/>
      <c r="G37" s="310"/>
      <c r="H37" s="310"/>
      <c r="I37" s="310"/>
      <c r="J37" s="2029"/>
      <c r="K37" s="3683"/>
      <c r="L37" s="3683"/>
      <c r="M37" s="1265"/>
      <c r="N37" s="3683"/>
      <c r="O37" s="3683"/>
      <c r="P37" s="2027"/>
      <c r="V37" s="2027"/>
    </row>
    <row r="38" spans="1:26" ht="16.5" hidden="1" customHeight="1" thickBot="1">
      <c r="A38" s="1258" t="s">
        <v>349</v>
      </c>
      <c r="B38" s="306"/>
      <c r="C38" s="293"/>
      <c r="D38" s="293"/>
      <c r="E38" s="294"/>
      <c r="F38" s="310"/>
      <c r="G38" s="310"/>
      <c r="H38" s="310"/>
      <c r="I38" s="310"/>
      <c r="J38" s="2029"/>
      <c r="K38" s="1266">
        <f>'数据-汇总表'!D3</f>
        <v>96912.82</v>
      </c>
      <c r="L38" s="1267">
        <f>'数据-汇总表'!E3</f>
        <v>287739</v>
      </c>
      <c r="M38" s="1267">
        <f ca="1">C34</f>
        <v>13940</v>
      </c>
      <c r="N38" s="1267">
        <f ca="1">C33</f>
        <v>4695</v>
      </c>
      <c r="O38" s="1268">
        <f ca="1">C32</f>
        <v>135095</v>
      </c>
      <c r="P38" s="2027"/>
      <c r="V38" s="2027"/>
    </row>
    <row r="39" spans="1:26" ht="16.5" hidden="1" customHeight="1" thickBot="1">
      <c r="A39" s="1263"/>
      <c r="B39" s="307"/>
      <c r="C39" s="308"/>
      <c r="D39" s="308"/>
      <c r="E39" s="309"/>
      <c r="F39" s="310"/>
      <c r="G39" s="310"/>
      <c r="H39" s="310"/>
      <c r="I39" s="310"/>
      <c r="J39" s="2029"/>
      <c r="K39" s="3658" t="str">
        <f>MID(A44,3,LEN(A44)-2)</f>
        <v>抵押价格</v>
      </c>
      <c r="L39" s="3659"/>
      <c r="M39" s="3659"/>
      <c r="N39" s="3660"/>
      <c r="O39" s="1390">
        <f ca="1">C44</f>
        <v>135095</v>
      </c>
      <c r="P39" s="2027"/>
      <c r="V39" s="2027"/>
    </row>
    <row r="40" spans="1:26" ht="19.5" thickBot="1">
      <c r="A40" s="103" t="s">
        <v>874</v>
      </c>
      <c r="B40" s="310"/>
      <c r="C40" s="310"/>
      <c r="D40" s="310"/>
      <c r="E40" s="310"/>
      <c r="F40" s="310"/>
      <c r="G40" s="310"/>
      <c r="H40" s="310"/>
      <c r="I40" s="310"/>
      <c r="J40" s="2029"/>
      <c r="K40" s="3658" t="str">
        <f t="shared" ref="K40:K41" si="0">MID(A45,3,LEN(A45)-2)</f>
        <v/>
      </c>
      <c r="L40" s="3659"/>
      <c r="M40" s="3659"/>
      <c r="N40" s="3660"/>
      <c r="O40" s="1390" t="str">
        <f>C45</f>
        <v>——</v>
      </c>
      <c r="P40" s="2027"/>
      <c r="V40" s="2027"/>
    </row>
    <row r="41" spans="1:26" ht="16.5" thickBot="1">
      <c r="A41" s="311" t="s">
        <v>356</v>
      </c>
      <c r="B41" s="312"/>
      <c r="C41" s="313" t="s">
        <v>357</v>
      </c>
      <c r="D41" s="314" t="s">
        <v>358</v>
      </c>
      <c r="E41" s="314" t="s">
        <v>359</v>
      </c>
      <c r="F41" s="315" t="s">
        <v>360</v>
      </c>
      <c r="G41" s="310"/>
      <c r="H41" s="310"/>
      <c r="I41" s="310"/>
      <c r="J41" s="2029"/>
      <c r="K41" s="3658" t="str">
        <f t="shared" si="0"/>
        <v/>
      </c>
      <c r="L41" s="3659"/>
      <c r="M41" s="3659"/>
      <c r="N41" s="3660"/>
      <c r="O41" s="1390" t="str">
        <f>C46</f>
        <v>——</v>
      </c>
      <c r="P41" s="2027"/>
      <c r="V41" s="2027"/>
    </row>
    <row r="42" spans="1:26" ht="29.25">
      <c r="A42" s="3718" t="s">
        <v>2071</v>
      </c>
      <c r="B42" s="3719"/>
      <c r="C42" s="263">
        <f ca="1">C32</f>
        <v>135095</v>
      </c>
      <c r="D42" s="316">
        <f ca="1">C33</f>
        <v>4695</v>
      </c>
      <c r="E42" s="316">
        <f ca="1">C34</f>
        <v>13940</v>
      </c>
      <c r="F42" s="317">
        <f ca="1">C35</f>
        <v>929</v>
      </c>
      <c r="G42" s="310"/>
      <c r="H42" s="310"/>
      <c r="I42" s="318"/>
      <c r="J42" s="2029"/>
      <c r="K42" s="1269" t="s">
        <v>361</v>
      </c>
      <c r="L42" s="2046" t="s">
        <v>362</v>
      </c>
      <c r="M42" s="1270" t="s">
        <v>363</v>
      </c>
      <c r="N42" s="2047" t="s">
        <v>364</v>
      </c>
      <c r="O42" s="2048" t="s">
        <v>365</v>
      </c>
      <c r="P42" s="2027"/>
      <c r="V42" s="2027"/>
    </row>
    <row r="43" spans="1:26" ht="30">
      <c r="A43" s="3728" t="s">
        <v>2736</v>
      </c>
      <c r="B43" s="3729"/>
      <c r="C43" s="263">
        <f>IF(H33="正常操作",G33+G34+G35,G34+G35)</f>
        <v>0</v>
      </c>
      <c r="D43" s="316" t="s">
        <v>43</v>
      </c>
      <c r="E43" s="316" t="s">
        <v>44</v>
      </c>
      <c r="F43" s="317" t="s">
        <v>44</v>
      </c>
      <c r="G43" s="2890" t="s">
        <v>953</v>
      </c>
      <c r="H43" s="310"/>
      <c r="I43" s="318"/>
      <c r="J43" s="2029"/>
      <c r="K43" s="1271" t="str">
        <f>C4</f>
        <v>剩余法-待开发</v>
      </c>
      <c r="L43" s="1272">
        <f ca="1">IF(L42="估价结果/万元",C19,C20)</f>
        <v>142575</v>
      </c>
      <c r="M43" s="1273">
        <f>C18</f>
        <v>0.5</v>
      </c>
      <c r="N43" s="1274">
        <f ca="1">IF(N42="测算结果/万元",G19,G20)</f>
        <v>135095</v>
      </c>
      <c r="O43" s="1275">
        <f ca="1">IF(O42="最终结果/万元",C32,C33)</f>
        <v>135095</v>
      </c>
      <c r="P43" s="2027"/>
      <c r="V43" s="2027"/>
    </row>
    <row r="44" spans="1:26" ht="30.75" thickBot="1">
      <c r="A44" s="3718" t="str">
        <f>IF(OR(项目基本情况!E8="抵押价格",项目基本情况!E8="已注销及未注销"),"3.抵押价格","——")</f>
        <v>3.抵押价格</v>
      </c>
      <c r="B44" s="3719"/>
      <c r="C44" s="263">
        <f ca="1">IF(A44="——","——",C42-C43)</f>
        <v>135095</v>
      </c>
      <c r="D44" s="316">
        <f ca="1">ROUND(C44*10000/'数据-汇总表'!E3,0)</f>
        <v>4695</v>
      </c>
      <c r="E44" s="316">
        <f ca="1">ROUND(C44*10000/'数据-汇总表'!D3,0)</f>
        <v>13940</v>
      </c>
      <c r="F44" s="317">
        <f ca="1">ROUND(C44/('数据-汇总表'!D3/666.67),0)</f>
        <v>929</v>
      </c>
      <c r="G44" s="310"/>
      <c r="H44" s="310"/>
      <c r="I44" s="318"/>
      <c r="J44" s="2029"/>
      <c r="K44" s="1276" t="str">
        <f>D4</f>
        <v>比较法-住宅、综合</v>
      </c>
      <c r="L44" s="1277">
        <f ca="1">IF(L42="估价结果/万元",D19,D20)</f>
        <v>127614</v>
      </c>
      <c r="M44" s="1278">
        <f>D18</f>
        <v>0.5</v>
      </c>
      <c r="N44" s="1279"/>
      <c r="O44" s="1280"/>
      <c r="P44" s="2027"/>
      <c r="V44" s="2027"/>
    </row>
    <row r="45" spans="1:26" ht="15">
      <c r="A45" s="3723" t="str">
        <f>IF(项目基本情况!E8="已注销及未注销","4.抵押担保权已注销时的抵押价格",IF(项目基本情况!E8="已注销","3.抵押担保权已注销时的抵押价格","——"))</f>
        <v>——</v>
      </c>
      <c r="B45" s="3724"/>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720" t="str">
        <f>IF(项目基本情况!E9="抵押净值",IF(A45="——","4.抵押净值","5.抵押净值"),"——")</f>
        <v>——</v>
      </c>
      <c r="B46" s="3721"/>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t="s">
        <v>3370</v>
      </c>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t="s">
        <v>3368</v>
      </c>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t="s">
        <v>3369</v>
      </c>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686" t="s">
        <v>374</v>
      </c>
      <c r="B63" s="3687"/>
      <c r="C63" s="3688"/>
      <c r="D63" s="340">
        <f ca="1">ROUND(C42*F63,0)</f>
        <v>81057</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725" t="s">
        <v>378</v>
      </c>
      <c r="B64" s="3726"/>
      <c r="C64" s="3726"/>
      <c r="D64" s="3726"/>
      <c r="E64" s="3726"/>
      <c r="F64" s="3726"/>
      <c r="G64" s="3727"/>
      <c r="H64" s="1286"/>
      <c r="I64" s="946"/>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2"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5.5">
      <c r="A66" s="3722" t="s">
        <v>386</v>
      </c>
      <c r="B66" s="3693"/>
      <c r="C66" s="3693"/>
      <c r="D66" s="260">
        <f ca="1">IF(H66="情况1",0,IF(H66="情况2",D70,IF(H66="情况3",D71,IF(H66="情况4",D72))))</f>
        <v>4323</v>
      </c>
      <c r="E66" s="991" t="str">
        <f>IF(H66="情况4","(销售额-原购置价)×税（费）率","销售额×税（费）率")</f>
        <v>销售额×税（费）率</v>
      </c>
      <c r="F66" s="349">
        <f>IF(H66="情况1","免征",'数据-取费表'!B41)</f>
        <v>5.6000000000000001E-2</v>
      </c>
      <c r="G66" s="350" t="s">
        <v>387</v>
      </c>
      <c r="H66" s="190" t="s">
        <v>388</v>
      </c>
      <c r="I66" s="1286"/>
      <c r="J66" s="2033"/>
      <c r="K66" s="1289">
        <v>1</v>
      </c>
      <c r="L66" s="3662" t="s">
        <v>385</v>
      </c>
      <c r="M66" s="3663"/>
      <c r="N66" s="2481"/>
      <c r="O66" s="2482"/>
      <c r="P66" s="2483"/>
      <c r="Q66" s="2027"/>
      <c r="R66" s="2027"/>
      <c r="S66" s="2027"/>
      <c r="T66" s="2027"/>
      <c r="U66" s="2027"/>
      <c r="V66" s="2027"/>
    </row>
    <row r="67" spans="1:22" ht="25.5" customHeight="1">
      <c r="A67" s="351" t="s">
        <v>390</v>
      </c>
      <c r="B67" s="3705" t="s">
        <v>391</v>
      </c>
      <c r="C67" s="3705"/>
      <c r="D67" s="352">
        <v>0</v>
      </c>
      <c r="E67" s="40" t="s">
        <v>392</v>
      </c>
      <c r="F67" s="61" t="s">
        <v>21</v>
      </c>
      <c r="G67" s="3689"/>
      <c r="H67" s="310"/>
      <c r="I67" s="1290"/>
      <c r="J67" s="2034"/>
      <c r="K67" s="1975">
        <v>2</v>
      </c>
      <c r="L67" s="3661" t="s">
        <v>389</v>
      </c>
      <c r="M67" s="3661"/>
      <c r="N67" s="1323">
        <f>'数据-取费表'!B2</f>
        <v>43171</v>
      </c>
      <c r="O67" s="1323"/>
      <c r="P67" s="1323"/>
      <c r="Q67" s="2027"/>
      <c r="R67" s="2027"/>
      <c r="S67" s="2027"/>
      <c r="T67" s="2027"/>
      <c r="U67" s="2027"/>
      <c r="V67" s="2027"/>
    </row>
    <row r="68" spans="1:22" ht="25.5" customHeight="1">
      <c r="A68" s="353"/>
      <c r="B68" s="3705" t="s">
        <v>394</v>
      </c>
      <c r="C68" s="3705"/>
      <c r="D68" s="354"/>
      <c r="E68" s="76"/>
      <c r="F68" s="355"/>
      <c r="G68" s="3690"/>
      <c r="H68" s="310"/>
      <c r="I68" s="1290"/>
      <c r="J68" s="2034"/>
      <c r="K68" s="1975">
        <v>3</v>
      </c>
      <c r="L68" s="3661" t="s">
        <v>393</v>
      </c>
      <c r="M68" s="3661"/>
      <c r="N68" s="1291">
        <f ca="1">C42</f>
        <v>135095</v>
      </c>
      <c r="O68" s="1291"/>
      <c r="P68" s="1291"/>
      <c r="Q68" s="2027"/>
      <c r="R68" s="2027"/>
      <c r="S68" s="2027"/>
      <c r="T68" s="2027"/>
      <c r="U68" s="2027"/>
      <c r="V68" s="2027"/>
    </row>
    <row r="69" spans="1:22" ht="12" customHeight="1">
      <c r="A69" s="356"/>
      <c r="B69" s="3705" t="s">
        <v>395</v>
      </c>
      <c r="C69" s="3705"/>
      <c r="D69" s="357"/>
      <c r="E69" s="72"/>
      <c r="F69" s="355"/>
      <c r="G69" s="3691"/>
      <c r="H69" s="310"/>
      <c r="I69" s="1290"/>
      <c r="J69" s="2034"/>
      <c r="K69" s="1292">
        <v>4</v>
      </c>
      <c r="L69" s="3667" t="s">
        <v>2889</v>
      </c>
      <c r="M69" s="3668"/>
      <c r="N69" s="1293">
        <f ca="1">C44</f>
        <v>135095</v>
      </c>
      <c r="O69" s="1293"/>
      <c r="P69" s="1293"/>
      <c r="Q69" s="2027"/>
      <c r="R69" s="2027"/>
      <c r="S69" s="2027"/>
      <c r="T69" s="2027"/>
      <c r="U69" s="2027"/>
      <c r="V69" s="2027"/>
    </row>
    <row r="70" spans="1:22" ht="24" customHeight="1">
      <c r="A70" s="358" t="s">
        <v>396</v>
      </c>
      <c r="B70" s="3705" t="s">
        <v>397</v>
      </c>
      <c r="C70" s="3705"/>
      <c r="D70" s="357">
        <f ca="1">ROUND(D63*'数据-取费表'!B41/(1+'数据-取费表'!C42),0)</f>
        <v>4323</v>
      </c>
      <c r="E70" s="17" t="s">
        <v>398</v>
      </c>
      <c r="F70" s="359">
        <f>'数据-取费表'!B41</f>
        <v>5.6000000000000001E-2</v>
      </c>
      <c r="G70" s="360"/>
      <c r="H70" s="310"/>
      <c r="I70" s="1290"/>
      <c r="J70" s="2034"/>
      <c r="K70" s="3086"/>
      <c r="L70" s="3087"/>
      <c r="M70" s="3087"/>
      <c r="N70" s="3088" t="s">
        <v>2894</v>
      </c>
      <c r="O70" s="3087"/>
      <c r="P70" s="3089"/>
      <c r="Q70" s="2027"/>
      <c r="R70" s="2027"/>
      <c r="S70" s="2027"/>
      <c r="T70" s="2027"/>
      <c r="U70" s="2027"/>
      <c r="V70" s="2027"/>
    </row>
    <row r="71" spans="1:22" ht="12" customHeight="1">
      <c r="A71" s="358" t="s">
        <v>404</v>
      </c>
      <c r="B71" s="3704" t="s">
        <v>405</v>
      </c>
      <c r="C71" s="3716"/>
      <c r="D71" s="357">
        <f ca="1">ROUND(D63*'数据-取费表'!B41/(1+'数据-取费表'!C42),0)</f>
        <v>4323</v>
      </c>
      <c r="E71" s="17" t="s">
        <v>398</v>
      </c>
      <c r="F71" s="359">
        <f>'数据-取费表'!B41</f>
        <v>5.6000000000000001E-2</v>
      </c>
      <c r="G71" s="360"/>
      <c r="H71" s="310"/>
      <c r="I71" s="1290"/>
      <c r="J71" s="2034"/>
      <c r="K71" s="3085" t="s">
        <v>399</v>
      </c>
      <c r="L71" s="3669" t="s">
        <v>400</v>
      </c>
      <c r="M71" s="3669"/>
      <c r="N71" s="3085" t="s">
        <v>401</v>
      </c>
      <c r="O71" s="3085" t="s">
        <v>402</v>
      </c>
      <c r="P71" s="3085" t="s">
        <v>403</v>
      </c>
      <c r="Q71" s="2027"/>
      <c r="R71" s="2027"/>
      <c r="S71" s="2027"/>
      <c r="T71" s="2027"/>
      <c r="U71" s="2027"/>
      <c r="V71" s="2027"/>
    </row>
    <row r="72" spans="1:22" ht="12" customHeight="1">
      <c r="A72" s="358" t="s">
        <v>407</v>
      </c>
      <c r="B72" s="3704" t="s">
        <v>408</v>
      </c>
      <c r="C72" s="3716"/>
      <c r="D72" s="357">
        <f ca="1">C86</f>
        <v>4211</v>
      </c>
      <c r="E72" s="72" t="s">
        <v>409</v>
      </c>
      <c r="F72" s="359">
        <f>'数据-取费表'!B41</f>
        <v>5.6000000000000001E-2</v>
      </c>
      <c r="G72" s="360"/>
      <c r="H72" s="1296"/>
      <c r="I72" s="1290"/>
      <c r="J72" s="2034"/>
      <c r="K72" s="1975">
        <v>1</v>
      </c>
      <c r="L72" s="3666" t="s">
        <v>406</v>
      </c>
      <c r="M72" s="3666"/>
      <c r="N72" s="1294">
        <f ca="1">D66</f>
        <v>4323</v>
      </c>
      <c r="O72" s="1858" t="str">
        <f>E66</f>
        <v>销售额×税（费）率</v>
      </c>
      <c r="P72" s="1295">
        <f>F66</f>
        <v>5.6000000000000001E-2</v>
      </c>
      <c r="Q72" s="2027"/>
      <c r="R72" s="2027"/>
      <c r="S72" s="2027"/>
      <c r="T72" s="2027"/>
      <c r="U72" s="2027"/>
      <c r="V72" s="2027"/>
    </row>
    <row r="73" spans="1:22" ht="24" customHeight="1">
      <c r="A73" s="3692" t="s">
        <v>411</v>
      </c>
      <c r="B73" s="3693"/>
      <c r="C73" s="3693"/>
      <c r="D73" s="361">
        <f>IF(H73="个人住宅",0,ROUND(D63*I73,0))</f>
        <v>0</v>
      </c>
      <c r="E73" s="17" t="s">
        <v>412</v>
      </c>
      <c r="F73" s="359" t="str">
        <f>IF(H73="正常",I73,"免征")</f>
        <v>免征</v>
      </c>
      <c r="G73" s="360"/>
      <c r="H73" s="190" t="s">
        <v>2460</v>
      </c>
      <c r="I73" s="359">
        <f>'数据-取费表'!B49</f>
        <v>5.0000000000000001E-4</v>
      </c>
      <c r="J73" s="2034"/>
      <c r="K73" s="1975">
        <v>2</v>
      </c>
      <c r="L73" s="3666" t="s">
        <v>410</v>
      </c>
      <c r="M73" s="3666"/>
      <c r="N73" s="1294">
        <f t="shared" ref="N73:P74" si="1">D73</f>
        <v>0</v>
      </c>
      <c r="O73" s="1858" t="str">
        <f t="shared" si="1"/>
        <v>销售额×税（费）率</v>
      </c>
      <c r="P73" s="1295" t="str">
        <f t="shared" si="1"/>
        <v>免征</v>
      </c>
      <c r="Q73" s="2027"/>
      <c r="R73" s="2027"/>
      <c r="S73" s="2027"/>
      <c r="T73" s="2027"/>
      <c r="U73" s="2027"/>
      <c r="V73" s="2027"/>
    </row>
    <row r="74" spans="1:22" ht="24.75">
      <c r="A74" s="3692" t="s">
        <v>415</v>
      </c>
      <c r="B74" s="3693"/>
      <c r="C74" s="3693"/>
      <c r="D74" s="361">
        <f ca="1">IF(H74="个人住宅",D75,D76)</f>
        <v>45223</v>
      </c>
      <c r="E74" s="17" t="s">
        <v>416</v>
      </c>
      <c r="F74" s="359" t="str">
        <f>IF(H74="正常",F76,"免征")</f>
        <v>——</v>
      </c>
      <c r="G74" s="981" t="s">
        <v>417</v>
      </c>
      <c r="H74" s="362" t="s">
        <v>413</v>
      </c>
      <c r="I74" s="41"/>
      <c r="J74" s="2034"/>
      <c r="K74" s="1975">
        <v>3</v>
      </c>
      <c r="L74" s="3666" t="s">
        <v>414</v>
      </c>
      <c r="M74" s="3666"/>
      <c r="N74" s="1294">
        <f t="shared" ca="1" si="1"/>
        <v>45223</v>
      </c>
      <c r="O74" s="1858" t="str">
        <f t="shared" si="1"/>
        <v>增值额×税（费）率</v>
      </c>
      <c r="P74" s="1297" t="str">
        <f t="shared" si="1"/>
        <v>——</v>
      </c>
      <c r="Q74" s="2027"/>
      <c r="R74" s="2027"/>
      <c r="S74" s="2027"/>
      <c r="T74" s="2027"/>
      <c r="U74" s="2027"/>
      <c r="V74" s="2027"/>
    </row>
    <row r="75" spans="1:22" ht="24">
      <c r="A75" s="358" t="s">
        <v>418</v>
      </c>
      <c r="B75" s="3673" t="s">
        <v>419</v>
      </c>
      <c r="C75" s="3674"/>
      <c r="D75" s="363">
        <v>0</v>
      </c>
      <c r="E75" s="40" t="s">
        <v>420</v>
      </c>
      <c r="F75" s="364"/>
      <c r="G75" s="360"/>
      <c r="H75" s="41"/>
      <c r="I75" s="41"/>
      <c r="J75" s="2034"/>
      <c r="K75" s="3078">
        <f>IF(H77="非个人房产","",4)</f>
        <v>4</v>
      </c>
      <c r="L75" s="3666" t="str">
        <f>IF(H77="非个人房产","——","个人所得税")</f>
        <v>个人所得税</v>
      </c>
      <c r="M75" s="3666"/>
      <c r="N75" s="1298">
        <f ca="1">D77</f>
        <v>811</v>
      </c>
      <c r="O75" s="1871" t="str">
        <f>E77</f>
        <v>销售额×税（费）率</v>
      </c>
      <c r="P75" s="1299">
        <f>F77</f>
        <v>0.01</v>
      </c>
      <c r="Q75" s="2027"/>
      <c r="R75" s="2027"/>
      <c r="S75" s="2027"/>
      <c r="T75" s="2027"/>
      <c r="U75" s="2027"/>
      <c r="V75" s="2027"/>
    </row>
    <row r="76" spans="1:22" ht="24.75">
      <c r="A76" s="358" t="s">
        <v>396</v>
      </c>
      <c r="B76" s="3673" t="s">
        <v>422</v>
      </c>
      <c r="C76" s="3715"/>
      <c r="D76" s="361">
        <f ca="1">IF(H76="转让取得",C99,C115)</f>
        <v>45223</v>
      </c>
      <c r="E76" s="17" t="s">
        <v>423</v>
      </c>
      <c r="F76" s="52" t="s">
        <v>21</v>
      </c>
      <c r="G76" s="360"/>
      <c r="H76" s="362" t="s">
        <v>424</v>
      </c>
      <c r="I76" s="41"/>
      <c r="J76" s="2034"/>
      <c r="K76" s="3078" t="str">
        <f>IF(项目基本情况!K6="上海银行",IF(K75="",4,K75+1),"")</f>
        <v/>
      </c>
      <c r="L76" s="3654" t="str">
        <f>IF(项目基本情况!K6="上海银行","其他处置费用","")</f>
        <v/>
      </c>
      <c r="M76" s="3655"/>
      <c r="N76" s="1294" t="str">
        <f>IF(项目基本情况!K6="上海银行",N89,"")</f>
        <v/>
      </c>
      <c r="O76" s="3656" t="str">
        <f>IF(项目基本情况!K6="上海银行","包含处置中涉及的律师、诉讼、拍卖、评估等费用","")</f>
        <v/>
      </c>
      <c r="P76" s="3657"/>
      <c r="Q76" s="2027"/>
      <c r="R76" s="2027"/>
      <c r="S76" s="2027"/>
      <c r="T76" s="2027"/>
      <c r="U76" s="2027"/>
      <c r="V76" s="2027"/>
    </row>
    <row r="77" spans="1:22" ht="26.25" thickBot="1">
      <c r="A77" s="3684" t="s">
        <v>426</v>
      </c>
      <c r="B77" s="3685"/>
      <c r="C77" s="3685"/>
      <c r="D77" s="365">
        <f ca="1">IF(H77="非个人房产","——",IF(H77="个人住宅",0,ROUND(D63*I77,0)))</f>
        <v>811</v>
      </c>
      <c r="E77" s="366" t="str">
        <f>IF(H77="非个人房产","——","销售额×税（费）率")</f>
        <v>销售额×税（费）率</v>
      </c>
      <c r="F77" s="367">
        <f>IF(H77="非个人房产","——",IF(H77="个人住宅","免征",I77))</f>
        <v>0.01</v>
      </c>
      <c r="G77" s="982" t="s">
        <v>417</v>
      </c>
      <c r="H77" s="362" t="s">
        <v>2890</v>
      </c>
      <c r="I77" s="368">
        <v>0.01</v>
      </c>
      <c r="J77" s="2034"/>
      <c r="K77" s="3680">
        <f>IF(AND(K75="",K76=""),4,IF(项目基本情况!K6="上海银行",K76+1,K75+1))</f>
        <v>5</v>
      </c>
      <c r="L77" s="3666" t="s">
        <v>2891</v>
      </c>
      <c r="M77" s="3084" t="s">
        <v>421</v>
      </c>
      <c r="N77" s="1300"/>
      <c r="O77" s="1301">
        <f ca="1">SUMIF(N72:N76,"&lt;9e307")</f>
        <v>50357</v>
      </c>
      <c r="P77" s="1302"/>
      <c r="Q77" s="3082">
        <f ca="1">O77/N69</f>
        <v>0.37275250749472594</v>
      </c>
      <c r="R77" s="2027"/>
      <c r="S77" s="2027"/>
      <c r="T77" s="2027"/>
      <c r="U77" s="2027"/>
      <c r="V77" s="2027"/>
    </row>
    <row r="78" spans="1:22" ht="12" customHeight="1">
      <c r="A78" s="1303"/>
      <c r="B78" s="310"/>
      <c r="C78" s="310"/>
      <c r="D78" s="310"/>
      <c r="E78" s="41"/>
      <c r="F78" s="41"/>
      <c r="G78" s="41"/>
      <c r="H78" s="1001"/>
      <c r="I78" s="310"/>
      <c r="J78" s="2034"/>
      <c r="K78" s="3680"/>
      <c r="L78" s="3666"/>
      <c r="M78" s="3084" t="s">
        <v>425</v>
      </c>
      <c r="N78" s="1300"/>
      <c r="O78" s="1301" t="str">
        <f ca="1">NUMBERSTRING(INT(O77*10000),2)&amp;"元整"</f>
        <v>伍亿零叁佰伍拾柒万元整</v>
      </c>
      <c r="P78" s="1302"/>
      <c r="Q78" s="2027"/>
      <c r="R78" s="2027"/>
      <c r="S78" s="2027"/>
      <c r="T78" s="2027"/>
      <c r="U78" s="2027"/>
      <c r="V78" s="2027"/>
    </row>
    <row r="79" spans="1:22" ht="13.5" thickBot="1">
      <c r="A79" s="3670" t="s">
        <v>427</v>
      </c>
      <c r="B79" s="3670"/>
      <c r="C79" s="3670"/>
      <c r="D79" s="3670"/>
      <c r="E79" s="3670"/>
      <c r="F79" s="41"/>
      <c r="G79" s="41"/>
      <c r="H79" s="1001"/>
      <c r="I79" s="310"/>
      <c r="J79" s="2034"/>
      <c r="K79" s="3664">
        <f>K77+1</f>
        <v>6</v>
      </c>
      <c r="L79" s="3666" t="s">
        <v>2892</v>
      </c>
      <c r="M79" s="3084" t="s">
        <v>421</v>
      </c>
      <c r="N79" s="1300"/>
      <c r="O79" s="1301">
        <f ca="1">N69-O77</f>
        <v>84738</v>
      </c>
      <c r="P79" s="1302"/>
      <c r="Q79" s="2027"/>
      <c r="R79" s="2027"/>
      <c r="S79" s="2027"/>
      <c r="T79" s="2027"/>
      <c r="U79" s="2027"/>
      <c r="V79" s="2027"/>
    </row>
    <row r="80" spans="1:22" ht="25.5">
      <c r="A80" s="3671" t="s">
        <v>428</v>
      </c>
      <c r="B80" s="3672"/>
      <c r="C80" s="992"/>
      <c r="D80" s="992" t="s">
        <v>429</v>
      </c>
      <c r="E80" s="369" t="s">
        <v>430</v>
      </c>
      <c r="F80" s="41"/>
      <c r="G80" s="41"/>
      <c r="H80" s="1001"/>
      <c r="I80" s="310"/>
      <c r="J80" s="2027"/>
      <c r="K80" s="3665"/>
      <c r="L80" s="3666"/>
      <c r="M80" s="3084" t="s">
        <v>425</v>
      </c>
      <c r="N80" s="1300"/>
      <c r="O80" s="1301" t="str">
        <f ca="1">NUMBERSTRING(INT(O79*10000),2)&amp;"元整"</f>
        <v>捌亿肆仟柒佰叁拾捌万元整</v>
      </c>
      <c r="P80" s="1302"/>
      <c r="Q80" s="2027"/>
      <c r="R80" s="2027"/>
      <c r="S80" s="2027"/>
      <c r="T80" s="2027"/>
      <c r="U80" s="2027"/>
      <c r="V80" s="2027"/>
    </row>
    <row r="81" spans="1:26" ht="13.5" thickBot="1">
      <c r="A81" s="380" t="s">
        <v>1825</v>
      </c>
      <c r="B81" s="370" t="s">
        <v>431</v>
      </c>
      <c r="C81" s="371">
        <f ca="1">ROUND((C82+C83)/(1+'数据-取费表'!C42),0)</f>
        <v>77197</v>
      </c>
      <c r="D81" s="372"/>
      <c r="E81" s="373"/>
      <c r="F81" s="41"/>
      <c r="G81" s="41"/>
      <c r="H81" s="1001"/>
      <c r="I81" s="310"/>
      <c r="J81" s="2027"/>
      <c r="K81" s="3078">
        <f>K79+1</f>
        <v>7</v>
      </c>
      <c r="L81" s="3678" t="s">
        <v>2893</v>
      </c>
      <c r="M81" s="3679"/>
      <c r="N81" s="1304"/>
      <c r="O81" s="1305">
        <f ca="1">ROUND(O79*10000/'数据-汇总表'!E3,0)</f>
        <v>2945</v>
      </c>
      <c r="P81" s="1306"/>
      <c r="Q81" s="2027"/>
      <c r="R81" s="2027"/>
      <c r="S81" s="2027"/>
      <c r="T81" s="2027"/>
      <c r="U81" s="2027"/>
      <c r="V81" s="2027"/>
    </row>
    <row r="82" spans="1:26" ht="13.5" thickTop="1">
      <c r="A82" s="374" t="s">
        <v>1826</v>
      </c>
      <c r="B82" s="375" t="s">
        <v>432</v>
      </c>
      <c r="C82" s="376">
        <f ca="1">D63</f>
        <v>81057</v>
      </c>
      <c r="D82" s="377" t="s">
        <v>19</v>
      </c>
      <c r="E82" s="378"/>
      <c r="F82" s="41"/>
      <c r="G82" s="41"/>
      <c r="H82" s="1001"/>
      <c r="I82" s="310"/>
      <c r="J82" s="2027"/>
      <c r="K82" s="2027"/>
      <c r="L82" s="2027"/>
      <c r="M82" s="2027"/>
      <c r="N82" s="2027"/>
      <c r="O82" s="2027"/>
      <c r="P82" s="2027"/>
      <c r="Q82" s="2027"/>
      <c r="R82" s="2027"/>
      <c r="S82" s="2027"/>
      <c r="T82" s="2027"/>
      <c r="U82" s="2027"/>
      <c r="V82" s="2027"/>
    </row>
    <row r="83" spans="1:26" ht="12.75">
      <c r="A83" s="374" t="s">
        <v>1827</v>
      </c>
      <c r="B83" s="375" t="s">
        <v>433</v>
      </c>
      <c r="C83" s="379">
        <v>0</v>
      </c>
      <c r="D83" s="377"/>
      <c r="E83" s="378"/>
      <c r="F83" s="41"/>
      <c r="G83" s="41"/>
      <c r="H83" s="1001"/>
      <c r="I83" s="310"/>
      <c r="J83" s="2027"/>
      <c r="K83" s="3653" t="s">
        <v>2880</v>
      </c>
      <c r="L83" s="3090" t="s">
        <v>2881</v>
      </c>
      <c r="M83" s="3080">
        <f ca="1">IF(N69&gt;10000,N69*0.5%,IF(AND(N69&gt;1000,N69&lt;=10000),N69*1%,IF(AND(N69&gt;100,N69&lt;=1000),N69*3%,IF(AND(N69&gt;10,N69&lt;=100),N69*5%,N69*8%))))</f>
        <v>675.47500000000002</v>
      </c>
      <c r="N83" s="52">
        <f ca="1">ROUND(M83,1)</f>
        <v>675.5</v>
      </c>
      <c r="O83" s="3083"/>
      <c r="P83" s="2027"/>
      <c r="Q83" s="2027"/>
      <c r="R83" s="2027"/>
      <c r="S83" s="2027"/>
      <c r="T83" s="2027"/>
      <c r="U83" s="2027"/>
      <c r="V83" s="2027"/>
    </row>
    <row r="84" spans="1:26" ht="12.75">
      <c r="A84" s="380" t="s">
        <v>1828</v>
      </c>
      <c r="B84" s="381" t="s">
        <v>434</v>
      </c>
      <c r="C84" s="382">
        <v>2000</v>
      </c>
      <c r="D84" s="383" t="s">
        <v>19</v>
      </c>
      <c r="E84" s="3125" t="s">
        <v>2940</v>
      </c>
      <c r="F84" s="41"/>
      <c r="G84" s="41"/>
      <c r="H84" s="1001"/>
      <c r="I84" s="310"/>
      <c r="J84" s="2027"/>
      <c r="K84" s="3653"/>
      <c r="L84" s="3090" t="s">
        <v>2882</v>
      </c>
      <c r="M84" s="3080">
        <f ca="1">IF(N69&gt;2000,N69*0.5%,IF(AND(N69&gt;1000,N69&lt;=2000),N69*0.6%,IF(AND(N69&gt;500,N69&lt;=1000),N69*0.7%,IF(AND(N69&gt;200,N69&lt;=500),N69*0.8%,IF(AND(N69&gt;100,N69&lt;=200),N69*0.9%,IF(AND(N69&gt;50,N69&lt;=100),N69*1%,IF(AND(N69&gt;20,N69&lt;=50),N69*1.5%,IF(AND(N69&gt;10,N69&lt;=20),N69*2%,IF(AND(N69&gt;1,N69&lt;=10),N69*2.5%)))))))))</f>
        <v>675.47500000000002</v>
      </c>
      <c r="N84" s="52">
        <f t="shared" ref="N84:N85" ca="1" si="2">ROUND(M84,1)</f>
        <v>675.5</v>
      </c>
      <c r="O84" s="2027" t="s">
        <v>2883</v>
      </c>
      <c r="P84" s="2027"/>
      <c r="Q84" s="2027"/>
      <c r="R84" s="2027"/>
      <c r="S84" s="2027"/>
      <c r="T84" s="2027"/>
      <c r="U84" s="2027"/>
      <c r="V84" s="2027"/>
    </row>
    <row r="85" spans="1:26" ht="12.75">
      <c r="A85" s="380" t="s">
        <v>1829</v>
      </c>
      <c r="B85" s="381" t="s">
        <v>435</v>
      </c>
      <c r="C85" s="384">
        <f ca="1">C81-C84</f>
        <v>75197</v>
      </c>
      <c r="D85" s="377" t="s">
        <v>19</v>
      </c>
      <c r="E85" s="378"/>
      <c r="F85" s="41"/>
      <c r="G85" s="41"/>
      <c r="H85" s="1001"/>
      <c r="I85" s="310"/>
      <c r="J85" s="2027"/>
      <c r="K85" s="3653"/>
      <c r="L85" s="3090" t="s">
        <v>2884</v>
      </c>
      <c r="M85" s="3080">
        <f ca="1">IF(N69&gt;1000,N69*0.1%,IF(AND(N69&gt;500,N69&lt;=1000),N69*0.5%,IF(AND(N69&gt;50,N69&lt;=500),N69*1%,IF(AND(N69&gt;1,N69&lt;=50),N69*1.5%))))</f>
        <v>135.095</v>
      </c>
      <c r="N85" s="52">
        <f t="shared" ca="1" si="2"/>
        <v>135.1</v>
      </c>
      <c r="O85" s="2027" t="s">
        <v>2883</v>
      </c>
      <c r="P85" s="2027"/>
      <c r="Q85" s="2027"/>
      <c r="R85" s="2027"/>
      <c r="S85" s="2027"/>
      <c r="T85" s="2027"/>
      <c r="U85" s="2027"/>
      <c r="V85" s="2027"/>
    </row>
    <row r="86" spans="1:26" ht="13.5" thickBot="1">
      <c r="A86" s="385" t="s">
        <v>1830</v>
      </c>
      <c r="B86" s="386" t="s">
        <v>436</v>
      </c>
      <c r="C86" s="387">
        <f ca="1">IF(C85&lt;=0,0,ROUND(C85*D86,0))</f>
        <v>4211</v>
      </c>
      <c r="D86" s="388">
        <f>'数据-取费表'!B41</f>
        <v>5.6000000000000001E-2</v>
      </c>
      <c r="E86" s="389"/>
      <c r="F86" s="41"/>
      <c r="G86" s="41"/>
      <c r="H86" s="1001"/>
      <c r="I86" s="310"/>
      <c r="J86" s="2027"/>
      <c r="K86" s="3653"/>
      <c r="L86" s="3090" t="s">
        <v>2885</v>
      </c>
      <c r="M86" s="3080">
        <f ca="1">N69*0.5%</f>
        <v>675.47500000000002</v>
      </c>
      <c r="N86" s="52">
        <f ca="1">IF(M86&gt;0.5,0.5,ROUND(M86,0))</f>
        <v>0.5</v>
      </c>
      <c r="O86" s="2027" t="s">
        <v>2886</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653"/>
      <c r="L87" s="3090" t="s">
        <v>2887</v>
      </c>
      <c r="M87" s="3080">
        <f ca="1">IF(N69&gt;=10000,(8.25+(N69-10000)*0.01%),IF(AND(N69&gt;=8000,N69&lt;10000),(7.85+(N69-8000)*0.02%),IF(AND(N69&gt;=5000,N69&lt;8000),(6.65+(N69-5000)*0.04%),IF(AND(N69&gt;=2000,N69&lt;5000),(4.25+(PN69-2000)*0.08%),IF(AND(N69&gt;=1000,N69&lt;2000),(2.75+(N69-1000)*0.15%),IF(AND(N69&gt;=100,N69&lt;1000),(0.5+(N69-100)*0.25%),IF(AND(N69&gt;0,N69&lt;100),N69*0.5%)))))))</f>
        <v>20.759500000000003</v>
      </c>
      <c r="N87" s="52">
        <f ca="1">ROUND(M87*0.9,1)</f>
        <v>18.7</v>
      </c>
      <c r="O87" s="3083"/>
      <c r="P87" s="310"/>
      <c r="Q87" s="2027"/>
      <c r="R87" s="2027"/>
      <c r="S87" s="2027"/>
      <c r="T87" s="2027"/>
      <c r="U87" s="2027"/>
      <c r="V87" s="2027"/>
      <c r="W87" s="291"/>
      <c r="X87" s="291"/>
      <c r="Y87" s="291"/>
      <c r="Z87" s="291"/>
    </row>
    <row r="88" spans="1:26" s="1312" customFormat="1" ht="15" thickBot="1">
      <c r="A88" s="3707" t="s">
        <v>437</v>
      </c>
      <c r="B88" s="3708"/>
      <c r="C88" s="3708"/>
      <c r="D88" s="3708"/>
      <c r="E88" s="3708"/>
      <c r="F88" s="3708"/>
      <c r="G88" s="3708"/>
      <c r="H88" s="3708"/>
      <c r="I88" s="1313"/>
      <c r="J88" s="2035"/>
      <c r="K88" s="3653"/>
      <c r="L88" s="3090" t="s">
        <v>2888</v>
      </c>
      <c r="M88" s="3080">
        <f ca="1">IF(N69&gt;10000,N69*0.5%,IF(AND(N69&gt;5000,N69&lt;=10000),N69*1%,IF(AND(N69&gt;1000,N69&lt;=5000),N69*2%,IF(AND(N69&gt;200,N69&lt;=1000),N69*3%,N69*5%))))</f>
        <v>675.47500000000002</v>
      </c>
      <c r="N88" s="52">
        <f ca="1">ROUND(M88,1)</f>
        <v>675.5</v>
      </c>
      <c r="O88" s="3083"/>
      <c r="P88" s="11"/>
      <c r="Q88" s="2032"/>
      <c r="R88" s="2032"/>
      <c r="S88" s="2032"/>
      <c r="T88" s="2032"/>
      <c r="U88" s="2032"/>
      <c r="V88" s="2032"/>
      <c r="W88" s="2036"/>
      <c r="X88" s="2036"/>
      <c r="Y88" s="2036"/>
      <c r="Z88" s="2036"/>
    </row>
    <row r="89" spans="1:26" s="1312" customFormat="1" ht="14.25">
      <c r="A89" s="3671" t="s">
        <v>428</v>
      </c>
      <c r="B89" s="3672"/>
      <c r="C89" s="992"/>
      <c r="D89" s="992" t="s">
        <v>429</v>
      </c>
      <c r="E89" s="390" t="s">
        <v>438</v>
      </c>
      <c r="F89" s="391"/>
      <c r="G89" s="391"/>
      <c r="H89" s="392"/>
      <c r="I89" s="1314"/>
      <c r="J89" s="2037"/>
      <c r="K89" s="3653"/>
      <c r="L89" s="3090" t="s">
        <v>27</v>
      </c>
      <c r="M89" s="3081"/>
      <c r="N89" s="52">
        <f ca="1">ROUND(SUM(N83:N88),0)</f>
        <v>2181</v>
      </c>
      <c r="O89" s="3091">
        <f ca="1">N89/N69</f>
        <v>1.6144194825863281E-2</v>
      </c>
      <c r="P89" s="2032"/>
      <c r="Q89" s="2032"/>
      <c r="R89" s="2032"/>
      <c r="S89" s="2032"/>
      <c r="T89" s="2032"/>
      <c r="U89" s="2032"/>
      <c r="V89" s="2032"/>
      <c r="W89" s="2036"/>
      <c r="X89" s="2036"/>
      <c r="Y89" s="2036"/>
      <c r="Z89" s="2036"/>
    </row>
    <row r="90" spans="1:26" s="1312" customFormat="1" ht="14.25">
      <c r="A90" s="380" t="s">
        <v>1825</v>
      </c>
      <c r="B90" s="381" t="s">
        <v>439</v>
      </c>
      <c r="C90" s="384">
        <f ca="1">ROUND(D63/(1+'数据-取费表'!C42),0)</f>
        <v>77197</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1831</v>
      </c>
      <c r="B91" s="347" t="s">
        <v>440</v>
      </c>
      <c r="C91" s="384">
        <f ca="1">C92+C96</f>
        <v>3024</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1832</v>
      </c>
      <c r="B92" s="375" t="s">
        <v>441</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1833</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1834</v>
      </c>
      <c r="B94" s="399" t="s">
        <v>446</v>
      </c>
      <c r="C94" s="377">
        <f>IF(F93="购房发票",ROUND(C93*H93*5%,0),0)</f>
        <v>500</v>
      </c>
      <c r="D94" s="400">
        <v>0.05</v>
      </c>
      <c r="E94" s="3704" t="s">
        <v>447</v>
      </c>
      <c r="F94" s="3705"/>
      <c r="G94" s="3705"/>
      <c r="H94" s="3706"/>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1835</v>
      </c>
      <c r="B95" s="375" t="s">
        <v>448</v>
      </c>
      <c r="C95" s="377">
        <f>ROUND(IF(G95="个人买卖住房",0,IF(G95="2016年5月1日前购买",C93*D95,C93*D95/(1+'数据-取费表'!C42))),0)</f>
        <v>61</v>
      </c>
      <c r="D95" s="401">
        <f>'数据-取费表'!B48+'数据-取费表'!B49</f>
        <v>3.0499999999999999E-2</v>
      </c>
      <c r="E95" s="25" t="s">
        <v>449</v>
      </c>
      <c r="F95" s="402"/>
      <c r="G95" s="403" t="s">
        <v>2433</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1836</v>
      </c>
      <c r="B96" s="375" t="s">
        <v>450</v>
      </c>
      <c r="C96" s="404">
        <f ca="1">ROUND(D63*D96/(1+'数据-取费表'!C42),0)</f>
        <v>463</v>
      </c>
      <c r="D96" s="405">
        <f>'数据-取费表'!B43</f>
        <v>6.000000000000001E-3</v>
      </c>
      <c r="E96" s="3694" t="s">
        <v>2432</v>
      </c>
      <c r="F96" s="3695"/>
      <c r="G96" s="3695"/>
      <c r="H96" s="3696"/>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1837</v>
      </c>
      <c r="B97" s="381" t="s">
        <v>451</v>
      </c>
      <c r="C97" s="384">
        <f ca="1">C90-C91</f>
        <v>74173</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1838</v>
      </c>
      <c r="B98" s="381" t="s">
        <v>452</v>
      </c>
      <c r="C98" s="406">
        <f ca="1">IF(C97&lt;=0,0,C97/C91)</f>
        <v>24.528108465608465</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1839</v>
      </c>
      <c r="B99" s="386" t="s">
        <v>453</v>
      </c>
      <c r="C99" s="407">
        <f ca="1">ROUND(IF(C97&lt;=0,0,IF(C98&gt;=200%,C97*60%-C91*35%,IF(C98&gt;=100%,C97*50%-C91*15%,IF(C98&gt;=50%,C97*40%-C91*5%,IF(C98&lt;50%,C97*30%,0))))),0)</f>
        <v>43445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707" t="s">
        <v>454</v>
      </c>
      <c r="B101" s="3708"/>
      <c r="C101" s="3708"/>
      <c r="D101" s="3708"/>
      <c r="E101" s="3708"/>
      <c r="F101" s="3708"/>
      <c r="G101" s="3708"/>
      <c r="H101" s="3708"/>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671" t="s">
        <v>428</v>
      </c>
      <c r="B102" s="3672"/>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1825</v>
      </c>
      <c r="B103" s="381" t="s">
        <v>439</v>
      </c>
      <c r="C103" s="384">
        <f ca="1">ROUND(D63/(1+'数据-取费表'!C42),0)</f>
        <v>77197</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1831</v>
      </c>
      <c r="B104" s="347" t="s">
        <v>440</v>
      </c>
      <c r="C104" s="384">
        <f ca="1">IF(H106="仅含出让金",C105+C108+C109+C110+C111+C112,C105+C109+C110+C111+C112)</f>
        <v>1153</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1832</v>
      </c>
      <c r="B105" s="375" t="s">
        <v>455</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1833</v>
      </c>
      <c r="B106" s="375" t="s">
        <v>456</v>
      </c>
      <c r="C106" s="415">
        <v>555</v>
      </c>
      <c r="D106" s="405"/>
      <c r="E106" s="416" t="s">
        <v>457</v>
      </c>
      <c r="F106" s="984"/>
      <c r="G106" s="417" t="s">
        <v>458</v>
      </c>
      <c r="H106" s="418" t="s">
        <v>2443</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1834</v>
      </c>
      <c r="B107" s="375" t="s">
        <v>448</v>
      </c>
      <c r="C107" s="404">
        <f>ROUND(C106*D107,0)</f>
        <v>17</v>
      </c>
      <c r="D107" s="405">
        <f>'数据-取费表'!B48+'数据-取费表'!B49</f>
        <v>3.0499999999999999E-2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1836</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1840</v>
      </c>
      <c r="B109" s="375" t="s">
        <v>461</v>
      </c>
      <c r="C109" s="404">
        <f>IF(H109="——",IF(F1="现房",'剩余法-现房'!C18,'剩余法-待开发'!C18),I109)</f>
        <v>55</v>
      </c>
      <c r="D109" s="405"/>
      <c r="E109" s="3697" t="s">
        <v>462</v>
      </c>
      <c r="F109" s="3695"/>
      <c r="G109" s="3695"/>
      <c r="H109" s="1940" t="s">
        <v>2283</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1841</v>
      </c>
      <c r="B110" s="375" t="s">
        <v>463</v>
      </c>
      <c r="C110" s="404">
        <f>ROUND((C105+C108+C109)*D110,0)</f>
        <v>63</v>
      </c>
      <c r="D110" s="405">
        <v>0.1</v>
      </c>
      <c r="E110" s="3697" t="s">
        <v>464</v>
      </c>
      <c r="F110" s="3695"/>
      <c r="G110" s="3695"/>
      <c r="H110" s="3696"/>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1842</v>
      </c>
      <c r="B111" s="375" t="s">
        <v>450</v>
      </c>
      <c r="C111" s="404">
        <f ca="1">ROUND(D63*D111/(1+'数据-取费表'!C42),0)</f>
        <v>463</v>
      </c>
      <c r="D111" s="405">
        <f>'数据-取费表'!B43</f>
        <v>6.000000000000001E-3</v>
      </c>
      <c r="E111" s="3694" t="s">
        <v>2432</v>
      </c>
      <c r="F111" s="3695"/>
      <c r="G111" s="3695"/>
      <c r="H111" s="3696"/>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1843</v>
      </c>
      <c r="B112" s="375" t="s">
        <v>465</v>
      </c>
      <c r="C112" s="404">
        <f>ROUND(C108*D112,0)</f>
        <v>0</v>
      </c>
      <c r="D112" s="405">
        <v>0.2</v>
      </c>
      <c r="E112" s="3697" t="s">
        <v>2457</v>
      </c>
      <c r="F112" s="3695"/>
      <c r="G112" s="3695"/>
      <c r="H112" s="3696"/>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1837</v>
      </c>
      <c r="B113" s="381" t="s">
        <v>451</v>
      </c>
      <c r="C113" s="384">
        <f ca="1">ROUND(C103-C104,0)</f>
        <v>76044</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1838</v>
      </c>
      <c r="B114" s="381" t="s">
        <v>452</v>
      </c>
      <c r="C114" s="406">
        <f ca="1">IF(C113&lt;=0,0,C113/C104)</f>
        <v>65.953165654813532</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1839</v>
      </c>
      <c r="B115" s="386" t="s">
        <v>453</v>
      </c>
      <c r="C115" s="407">
        <f ca="1">ROUND(IF(C113&lt;=0,0,IF(C114&gt;=200%,C113*60%-C104*35%,IF(C114&gt;=100%,C113*50%-C104*15%,IF(C114&gt;=50%,C113*40%-C104*5%,IF(C114&lt;50%,C113*30%,0))))),0)</f>
        <v>45223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L13" sqref="L1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517</v>
      </c>
      <c r="B1" s="502"/>
      <c r="C1" s="503" t="s">
        <v>518</v>
      </c>
      <c r="D1" s="504" t="s">
        <v>519</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127614</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1686</v>
      </c>
      <c r="B3" s="509">
        <f>ROUND(B2*10000/'数据-汇总表'!E3,0)</f>
        <v>4435</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521</v>
      </c>
      <c r="B4" s="426">
        <f>IF(B48="单位面积地价",C50,ROUND(B2*10000/'数据-汇总表'!D3,0))</f>
        <v>13168</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878</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522</v>
      </c>
      <c r="B6" s="512"/>
      <c r="C6" s="3752" t="s">
        <v>523</v>
      </c>
      <c r="D6" s="3753"/>
      <c r="E6" s="3752" t="s">
        <v>524</v>
      </c>
      <c r="F6" s="3753"/>
      <c r="G6" s="3752" t="s">
        <v>525</v>
      </c>
      <c r="H6" s="3753"/>
      <c r="I6" s="3752" t="s">
        <v>526</v>
      </c>
      <c r="J6" s="3753"/>
      <c r="K6" s="513" t="s">
        <v>527</v>
      </c>
      <c r="L6" s="2132"/>
      <c r="M6" s="2131"/>
      <c r="N6" s="2131"/>
      <c r="O6" s="2133"/>
      <c r="P6" s="3754" t="s">
        <v>528</v>
      </c>
      <c r="Q6" s="3755"/>
      <c r="R6" s="3740" t="s">
        <v>524</v>
      </c>
      <c r="S6" s="3741"/>
      <c r="T6" s="3740" t="s">
        <v>525</v>
      </c>
      <c r="U6" s="3741"/>
      <c r="V6" s="3760" t="s">
        <v>526</v>
      </c>
      <c r="W6" s="3760"/>
      <c r="X6" s="1565"/>
      <c r="Y6" s="3740" t="s">
        <v>528</v>
      </c>
      <c r="Z6" s="3741"/>
      <c r="AA6" s="3735" t="s">
        <v>524</v>
      </c>
      <c r="AB6" s="3736" t="s">
        <v>525</v>
      </c>
      <c r="AC6" s="3735" t="s">
        <v>526</v>
      </c>
    </row>
    <row r="7" spans="1:30" ht="20.25">
      <c r="A7" s="514"/>
      <c r="B7" s="515"/>
      <c r="C7" s="3765" t="s">
        <v>2927</v>
      </c>
      <c r="D7" s="3764"/>
      <c r="E7" s="3763" t="s">
        <v>3257</v>
      </c>
      <c r="F7" s="3764"/>
      <c r="G7" s="3763" t="s">
        <v>3254</v>
      </c>
      <c r="H7" s="3764"/>
      <c r="I7" s="3763" t="s">
        <v>3259</v>
      </c>
      <c r="J7" s="3764"/>
      <c r="K7" s="513"/>
      <c r="L7" s="2132"/>
      <c r="M7" s="2131"/>
      <c r="N7" s="2131"/>
      <c r="O7" s="2133"/>
      <c r="P7" s="3756"/>
      <c r="Q7" s="3757"/>
      <c r="R7" s="3742"/>
      <c r="S7" s="3743"/>
      <c r="T7" s="3742"/>
      <c r="U7" s="3743"/>
      <c r="V7" s="3760"/>
      <c r="W7" s="3760"/>
      <c r="X7" s="1565"/>
      <c r="Y7" s="3742"/>
      <c r="Z7" s="3743"/>
      <c r="AA7" s="3736"/>
      <c r="AB7" s="3736"/>
      <c r="AC7" s="3736"/>
    </row>
    <row r="8" spans="1:30" ht="21" thickBot="1">
      <c r="A8" s="514"/>
      <c r="B8" s="515"/>
      <c r="C8" s="3766" t="s">
        <v>2931</v>
      </c>
      <c r="D8" s="3767"/>
      <c r="E8" s="3768" t="s">
        <v>3258</v>
      </c>
      <c r="F8" s="3767"/>
      <c r="G8" s="3769" t="s">
        <v>3255</v>
      </c>
      <c r="H8" s="3762"/>
      <c r="I8" s="3761" t="s">
        <v>3260</v>
      </c>
      <c r="J8" s="3762"/>
      <c r="K8" s="513" t="s">
        <v>529</v>
      </c>
      <c r="L8" s="2132"/>
      <c r="M8" s="2131"/>
      <c r="N8" s="2131"/>
      <c r="O8" s="2133"/>
      <c r="P8" s="3758"/>
      <c r="Q8" s="3759"/>
      <c r="R8" s="3742"/>
      <c r="S8" s="3743"/>
      <c r="T8" s="3744"/>
      <c r="U8" s="3745"/>
      <c r="V8" s="3760"/>
      <c r="W8" s="3760"/>
      <c r="X8" s="1565"/>
      <c r="Y8" s="3744"/>
      <c r="Z8" s="3745"/>
      <c r="AA8" s="3737"/>
      <c r="AB8" s="3737"/>
      <c r="AC8" s="3737"/>
    </row>
    <row r="9" spans="1:30" s="1218" customFormat="1" ht="21" thickBot="1">
      <c r="A9" s="2936"/>
      <c r="B9" s="2943" t="s">
        <v>530</v>
      </c>
      <c r="C9" s="2935">
        <f>'数据-取费表'!B2</f>
        <v>43171</v>
      </c>
      <c r="D9" s="519">
        <v>100</v>
      </c>
      <c r="E9" s="522">
        <v>43076</v>
      </c>
      <c r="F9" s="521">
        <f>SUMIF(72:72,YEAR(E9)&amp;"-"&amp;INT((MONTH(E9)+2)/3),73:73)</f>
        <v>99</v>
      </c>
      <c r="G9" s="522">
        <v>43076</v>
      </c>
      <c r="H9" s="519">
        <f>SUMIF(72:72,YEAR(G9)&amp;"-"&amp;INT((MONTH(G9)+2)/3),73:73)</f>
        <v>99</v>
      </c>
      <c r="I9" s="522">
        <v>43076</v>
      </c>
      <c r="J9" s="519">
        <f>SUMIF(72:72,YEAR(I9)&amp;"-"&amp;INT((MONTH(I9)+2)/3),73:73)</f>
        <v>99</v>
      </c>
      <c r="K9" s="523"/>
      <c r="L9" s="2134"/>
      <c r="M9" s="2131"/>
      <c r="N9" s="2131"/>
      <c r="O9" s="2135"/>
      <c r="P9" s="3738" t="s">
        <v>531</v>
      </c>
      <c r="Q9" s="3747"/>
      <c r="R9" s="1566" t="s">
        <v>8</v>
      </c>
      <c r="S9" s="1567">
        <f t="shared" ref="S9:S17" si="0">F9</f>
        <v>99</v>
      </c>
      <c r="T9" s="1566" t="s">
        <v>8</v>
      </c>
      <c r="U9" s="1567">
        <f t="shared" ref="U9:U17" si="1">H9</f>
        <v>99</v>
      </c>
      <c r="V9" s="1566" t="s">
        <v>8</v>
      </c>
      <c r="W9" s="1567">
        <f t="shared" ref="W9:W17" si="2">J9</f>
        <v>99</v>
      </c>
      <c r="X9" s="1568"/>
      <c r="Y9" s="3738" t="s">
        <v>531</v>
      </c>
      <c r="Z9" s="3739"/>
      <c r="AA9" s="1569">
        <f>D9/F9</f>
        <v>1.0101010101010102</v>
      </c>
      <c r="AB9" s="1569">
        <f>D9/H9</f>
        <v>1.0101010101010102</v>
      </c>
      <c r="AC9" s="1569">
        <f>D9/J9</f>
        <v>1.0101010101010102</v>
      </c>
    </row>
    <row r="10" spans="1:30" s="1218" customFormat="1" ht="21" thickBot="1">
      <c r="A10" s="2937"/>
      <c r="B10" s="2944" t="s">
        <v>532</v>
      </c>
      <c r="C10" s="855" t="s">
        <v>533</v>
      </c>
      <c r="D10" s="519">
        <v>100</v>
      </c>
      <c r="E10" s="524" t="s">
        <v>3252</v>
      </c>
      <c r="F10" s="521">
        <f>SUMIF(75:75,E10,76:76)-SUMIF(75:75,C10,76:76)+100</f>
        <v>100</v>
      </c>
      <c r="G10" s="524" t="s">
        <v>3252</v>
      </c>
      <c r="H10" s="519">
        <f>SUMIF(75:75,G10,76:76)-SUMIF(75:75,C10,76:76)+100</f>
        <v>100</v>
      </c>
      <c r="I10" s="524" t="s">
        <v>3252</v>
      </c>
      <c r="J10" s="519">
        <f>SUMIF(75:75,I10,76:76)-SUMIF(75:75,C10,76:76)+100</f>
        <v>100</v>
      </c>
      <c r="K10" s="523"/>
      <c r="L10" s="2134"/>
      <c r="M10" s="2131"/>
      <c r="N10" s="2131"/>
      <c r="O10" s="2135"/>
      <c r="P10" s="3738" t="s">
        <v>534</v>
      </c>
      <c r="Q10" s="3739"/>
      <c r="R10" s="1566" t="s">
        <v>8</v>
      </c>
      <c r="S10" s="1567">
        <f t="shared" si="0"/>
        <v>100</v>
      </c>
      <c r="T10" s="1566" t="s">
        <v>8</v>
      </c>
      <c r="U10" s="1567">
        <f t="shared" si="1"/>
        <v>100</v>
      </c>
      <c r="V10" s="1566" t="s">
        <v>8</v>
      </c>
      <c r="W10" s="1567">
        <f t="shared" si="2"/>
        <v>100</v>
      </c>
      <c r="X10" s="1568"/>
      <c r="Y10" s="3738" t="s">
        <v>534</v>
      </c>
      <c r="Z10" s="3739"/>
      <c r="AA10" s="1569">
        <f t="shared" ref="AA10:AA47" si="3">D10/F10</f>
        <v>1</v>
      </c>
      <c r="AB10" s="1569">
        <f t="shared" ref="AB10:AB47" si="4">D10/H10</f>
        <v>1</v>
      </c>
      <c r="AC10" s="1569">
        <f t="shared" ref="AC10:AC47" si="5">D10/J10</f>
        <v>1</v>
      </c>
    </row>
    <row r="11" spans="1:30" s="1218" customFormat="1" ht="20.25">
      <c r="A11" s="2938"/>
      <c r="B11" s="2945" t="s">
        <v>2762</v>
      </c>
      <c r="C11" s="2932" t="s">
        <v>924</v>
      </c>
      <c r="D11" s="253">
        <v>100</v>
      </c>
      <c r="E11" s="525" t="s">
        <v>924</v>
      </c>
      <c r="F11" s="253">
        <f>SUMIF(77:77,E11,78:78)-SUMIF(77:77,C11,78:78)+100</f>
        <v>100</v>
      </c>
      <c r="G11" s="525" t="s">
        <v>924</v>
      </c>
      <c r="H11" s="253">
        <f>SUMIF(77:77,G11,78:78)-SUMIF(77:77,C11,78:78)+100</f>
        <v>100</v>
      </c>
      <c r="I11" s="525" t="s">
        <v>924</v>
      </c>
      <c r="J11" s="253">
        <f>SUMIF(77:77,I11,78:78)-SUMIF(77:77,C11,78:78)+100</f>
        <v>100</v>
      </c>
      <c r="K11" s="523"/>
      <c r="L11" s="2134"/>
      <c r="M11" s="2131"/>
      <c r="N11" s="2131"/>
      <c r="O11" s="2136"/>
      <c r="P11" s="3746" t="s">
        <v>536</v>
      </c>
      <c r="Q11" s="1149" t="str">
        <f t="shared" ref="Q11:Q17" si="6">B11</f>
        <v>用途</v>
      </c>
      <c r="R11" s="1566" t="s">
        <v>8</v>
      </c>
      <c r="S11" s="1567">
        <f t="shared" si="0"/>
        <v>100</v>
      </c>
      <c r="T11" s="1566" t="s">
        <v>8</v>
      </c>
      <c r="U11" s="1567">
        <f t="shared" si="1"/>
        <v>100</v>
      </c>
      <c r="V11" s="1566" t="s">
        <v>8</v>
      </c>
      <c r="W11" s="1567">
        <f t="shared" si="2"/>
        <v>100</v>
      </c>
      <c r="X11" s="1568"/>
      <c r="Y11" s="3703" t="s">
        <v>537</v>
      </c>
      <c r="Z11" s="1148" t="str">
        <f t="shared" ref="Z11:Z17" si="7">Q11</f>
        <v>用途</v>
      </c>
      <c r="AA11" s="1569">
        <f t="shared" si="3"/>
        <v>1</v>
      </c>
      <c r="AB11" s="1569">
        <f t="shared" si="4"/>
        <v>1</v>
      </c>
      <c r="AC11" s="1569">
        <f t="shared" si="5"/>
        <v>1</v>
      </c>
    </row>
    <row r="12" spans="1:30" s="1336" customFormat="1" ht="27">
      <c r="A12" s="2939"/>
      <c r="B12" s="2944" t="s">
        <v>2763</v>
      </c>
      <c r="C12" s="908" t="s">
        <v>3290</v>
      </c>
      <c r="D12" s="254">
        <v>100</v>
      </c>
      <c r="E12" s="528" t="s">
        <v>3253</v>
      </c>
      <c r="F12" s="254">
        <f>ROUND(100/'数据-取费表'!G16,0)</f>
        <v>103</v>
      </c>
      <c r="G12" s="529" t="s">
        <v>3253</v>
      </c>
      <c r="H12" s="254">
        <f>ROUND(100/'数据-取费表'!G16,0)</f>
        <v>103</v>
      </c>
      <c r="I12" s="529" t="s">
        <v>3253</v>
      </c>
      <c r="J12" s="254">
        <f>ROUND(100/'数据-取费表'!G16,0)</f>
        <v>103</v>
      </c>
      <c r="K12" s="530"/>
      <c r="L12" s="2137"/>
      <c r="M12" s="2131"/>
      <c r="N12" s="2131"/>
      <c r="O12" s="2138"/>
      <c r="P12" s="3746"/>
      <c r="Q12" s="1149" t="str">
        <f t="shared" si="6"/>
        <v>土地使用年限（年）</v>
      </c>
      <c r="R12" s="1566" t="s">
        <v>8</v>
      </c>
      <c r="S12" s="1567">
        <f t="shared" si="0"/>
        <v>103</v>
      </c>
      <c r="T12" s="1566" t="s">
        <v>8</v>
      </c>
      <c r="U12" s="1567">
        <f t="shared" si="1"/>
        <v>103</v>
      </c>
      <c r="V12" s="1566" t="s">
        <v>8</v>
      </c>
      <c r="W12" s="1567">
        <f t="shared" si="2"/>
        <v>103</v>
      </c>
      <c r="X12" s="1568"/>
      <c r="Y12" s="3703"/>
      <c r="Z12" s="1148" t="str">
        <f t="shared" si="7"/>
        <v>土地使用年限（年）</v>
      </c>
      <c r="AA12" s="1569">
        <f t="shared" si="3"/>
        <v>0.970873786407767</v>
      </c>
      <c r="AB12" s="1569">
        <f t="shared" si="4"/>
        <v>0.970873786407767</v>
      </c>
      <c r="AC12" s="1569">
        <f t="shared" si="5"/>
        <v>0.970873786407767</v>
      </c>
    </row>
    <row r="13" spans="1:30" ht="20.25">
      <c r="A13" s="2940"/>
      <c r="B13" s="2944" t="s">
        <v>2764</v>
      </c>
      <c r="C13" s="533">
        <f>'数据-汇总表'!I5</f>
        <v>2.97</v>
      </c>
      <c r="D13" s="254">
        <v>100</v>
      </c>
      <c r="E13" s="532">
        <v>2</v>
      </c>
      <c r="F13" s="254">
        <f>LOOKUP(E13,82:82,83:83)-LOOKUP(C13,82:82,83:83)+100</f>
        <v>100</v>
      </c>
      <c r="G13" s="533">
        <v>1.35</v>
      </c>
      <c r="H13" s="254">
        <f>LOOKUP(G13,82:82,83:83)-LOOKUP(C13,82:82,83:83)+100</f>
        <v>103</v>
      </c>
      <c r="I13" s="532">
        <v>1.3</v>
      </c>
      <c r="J13" s="254">
        <f>LOOKUP(I13,82:82,83:83)-LOOKUP(C13,82:82,83:83)+100</f>
        <v>103</v>
      </c>
      <c r="K13" s="534">
        <v>3</v>
      </c>
      <c r="L13" s="2139"/>
      <c r="M13" s="2131"/>
      <c r="N13" s="2131"/>
      <c r="O13" s="2140"/>
      <c r="P13" s="3746"/>
      <c r="Q13" s="1149" t="str">
        <f t="shared" si="6"/>
        <v>容积率</v>
      </c>
      <c r="R13" s="1566" t="s">
        <v>8</v>
      </c>
      <c r="S13" s="1567">
        <f t="shared" si="0"/>
        <v>100</v>
      </c>
      <c r="T13" s="1566" t="s">
        <v>8</v>
      </c>
      <c r="U13" s="1567">
        <f t="shared" si="1"/>
        <v>103</v>
      </c>
      <c r="V13" s="1566" t="s">
        <v>8</v>
      </c>
      <c r="W13" s="1567">
        <f t="shared" si="2"/>
        <v>103</v>
      </c>
      <c r="X13" s="1568"/>
      <c r="Y13" s="3703"/>
      <c r="Z13" s="1148" t="str">
        <f t="shared" si="7"/>
        <v>容积率</v>
      </c>
      <c r="AA13" s="1569">
        <f t="shared" si="3"/>
        <v>1</v>
      </c>
      <c r="AB13" s="1569">
        <f t="shared" si="4"/>
        <v>0.970873786407767</v>
      </c>
      <c r="AC13" s="1569">
        <f t="shared" si="5"/>
        <v>0.970873786407767</v>
      </c>
    </row>
    <row r="14" spans="1:30" s="1218" customFormat="1" ht="20.25" hidden="1">
      <c r="A14" s="2937"/>
      <c r="B14" s="2946" t="s">
        <v>2765</v>
      </c>
      <c r="C14" s="2933"/>
      <c r="D14" s="537">
        <v>100</v>
      </c>
      <c r="E14" s="1372"/>
      <c r="F14" s="254">
        <f>SUMIF(84:84,E14,85:85)-SUMIF(84:84,C14,85:85)+100</f>
        <v>100</v>
      </c>
      <c r="G14" s="529"/>
      <c r="H14" s="254">
        <f>SUMIF(84:84,G14,85:85)-SUMIF(84:84,C14,85:85)+100</f>
        <v>100</v>
      </c>
      <c r="I14" s="528"/>
      <c r="J14" s="254">
        <f>SUMIF(84:84,I14,85:85)-SUMIF(84:84,C14,85:85)+100</f>
        <v>100</v>
      </c>
      <c r="K14" s="530"/>
      <c r="L14" s="2134"/>
      <c r="M14" s="2131"/>
      <c r="N14" s="2131"/>
      <c r="O14" s="2136"/>
      <c r="P14" s="3746"/>
      <c r="Q14" s="1149" t="str">
        <f t="shared" si="6"/>
        <v>配建</v>
      </c>
      <c r="R14" s="1566" t="s">
        <v>8</v>
      </c>
      <c r="S14" s="1567">
        <f t="shared" si="0"/>
        <v>100</v>
      </c>
      <c r="T14" s="1566" t="s">
        <v>8</v>
      </c>
      <c r="U14" s="1567">
        <f t="shared" si="1"/>
        <v>100</v>
      </c>
      <c r="V14" s="1566" t="s">
        <v>8</v>
      </c>
      <c r="W14" s="1567">
        <f t="shared" si="2"/>
        <v>100</v>
      </c>
      <c r="X14" s="1568"/>
      <c r="Y14" s="3703"/>
      <c r="Z14" s="1148" t="str">
        <f t="shared" si="7"/>
        <v>配建</v>
      </c>
      <c r="AA14" s="1569">
        <f>D14/F14</f>
        <v>1</v>
      </c>
      <c r="AB14" s="1569">
        <f>D14/H14</f>
        <v>1</v>
      </c>
      <c r="AC14" s="1569">
        <f>D14/J14</f>
        <v>1</v>
      </c>
    </row>
    <row r="15" spans="1:30" ht="21" thickBot="1">
      <c r="A15" s="2941"/>
      <c r="B15" s="3511" t="s">
        <v>3256</v>
      </c>
      <c r="C15" s="910"/>
      <c r="D15" s="539">
        <v>100</v>
      </c>
      <c r="E15" s="3513">
        <v>0.55559999999999998</v>
      </c>
      <c r="F15" s="254">
        <f>SUMIF(86:86,E15,87:87)-SUMIF(86:86,C15,87:87)+100</f>
        <v>100</v>
      </c>
      <c r="G15" s="3512">
        <v>7.3000000000000001E-3</v>
      </c>
      <c r="H15" s="539">
        <f>SUMIF(86:86,G15,87:87)-SUMIF(86:86,C15,87:87)+100</f>
        <v>100</v>
      </c>
      <c r="I15" s="3512">
        <v>1.23E-2</v>
      </c>
      <c r="J15" s="539">
        <f>SUMIF(86:86,I15,87:87)-SUMIF(86:86,C15,87:87)+100</f>
        <v>100</v>
      </c>
      <c r="K15" s="530"/>
      <c r="L15" s="2141"/>
      <c r="M15" s="2131"/>
      <c r="N15" s="2131"/>
      <c r="O15" s="2140"/>
      <c r="P15" s="3746"/>
      <c r="Q15" s="1149" t="str">
        <f t="shared" si="6"/>
        <v>溢价</v>
      </c>
      <c r="R15" s="1566" t="s">
        <v>8</v>
      </c>
      <c r="S15" s="1567">
        <f t="shared" si="0"/>
        <v>100</v>
      </c>
      <c r="T15" s="1566" t="s">
        <v>8</v>
      </c>
      <c r="U15" s="1567">
        <f t="shared" si="1"/>
        <v>100</v>
      </c>
      <c r="V15" s="1566" t="s">
        <v>8</v>
      </c>
      <c r="W15" s="1567">
        <f t="shared" si="2"/>
        <v>100</v>
      </c>
      <c r="X15" s="1568"/>
      <c r="Y15" s="3703"/>
      <c r="Z15" s="1148" t="str">
        <f t="shared" si="7"/>
        <v>溢价</v>
      </c>
      <c r="AA15" s="1569">
        <f>D15/F15</f>
        <v>1</v>
      </c>
      <c r="AB15" s="1569">
        <f>D15/H15</f>
        <v>1</v>
      </c>
      <c r="AC15" s="1569">
        <f>D15/J15</f>
        <v>1</v>
      </c>
    </row>
    <row r="16" spans="1:30" ht="21" hidden="1" thickBot="1">
      <c r="A16" s="2942"/>
      <c r="B16" s="2948"/>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746"/>
      <c r="Q16" s="1149">
        <f t="shared" si="6"/>
        <v>0</v>
      </c>
      <c r="R16" s="1566" t="s">
        <v>8</v>
      </c>
      <c r="S16" s="1567">
        <f t="shared" si="0"/>
        <v>100</v>
      </c>
      <c r="T16" s="1566" t="s">
        <v>8</v>
      </c>
      <c r="U16" s="1567">
        <f t="shared" si="1"/>
        <v>100</v>
      </c>
      <c r="V16" s="1566" t="s">
        <v>8</v>
      </c>
      <c r="W16" s="1567">
        <f t="shared" si="2"/>
        <v>100</v>
      </c>
      <c r="X16" s="1568"/>
      <c r="Y16" s="3703"/>
      <c r="Z16" s="1148">
        <f t="shared" si="7"/>
        <v>0</v>
      </c>
      <c r="AA16" s="1569">
        <f>D16/F16</f>
        <v>1</v>
      </c>
      <c r="AB16" s="1569">
        <f>D16/H16</f>
        <v>1</v>
      </c>
      <c r="AC16" s="1569">
        <f>D16/J16</f>
        <v>1</v>
      </c>
    </row>
    <row r="17" spans="1:29" ht="20.25">
      <c r="A17" s="2934" t="s">
        <v>2760</v>
      </c>
      <c r="B17" s="577" t="s">
        <v>295</v>
      </c>
      <c r="C17" s="547">
        <f>估价对象房地状况!C15</f>
        <v>0</v>
      </c>
      <c r="D17" s="550">
        <v>100</v>
      </c>
      <c r="E17" s="551"/>
      <c r="F17" s="548">
        <f>SUMIF(90:90,E18,91:91)-SUMIF(90:90,C18,91:91)+100</f>
        <v>103</v>
      </c>
      <c r="G17" s="549"/>
      <c r="H17" s="548">
        <f>SUMIF(90:90,G18,91:91)-SUMIF(90:90,C18,91:91)+100</f>
        <v>103</v>
      </c>
      <c r="I17" s="551"/>
      <c r="J17" s="548">
        <f>SUMIF(90:90,I18,91:91)-SUMIF(90:90,C18,91:91)+100</f>
        <v>100</v>
      </c>
      <c r="K17" s="534">
        <v>3</v>
      </c>
      <c r="L17" s="2141"/>
      <c r="M17" s="2131"/>
      <c r="N17" s="2131"/>
      <c r="O17" s="2140"/>
      <c r="P17" s="3748" t="s">
        <v>541</v>
      </c>
      <c r="Q17" s="1570" t="str">
        <f t="shared" si="6"/>
        <v>居住社区成熟度</v>
      </c>
      <c r="R17" s="1571" t="s">
        <v>8</v>
      </c>
      <c r="S17" s="1572">
        <f t="shared" si="0"/>
        <v>103</v>
      </c>
      <c r="T17" s="1571" t="s">
        <v>8</v>
      </c>
      <c r="U17" s="1572">
        <f t="shared" si="1"/>
        <v>103</v>
      </c>
      <c r="V17" s="1571" t="s">
        <v>8</v>
      </c>
      <c r="W17" s="1572">
        <f t="shared" si="2"/>
        <v>100</v>
      </c>
      <c r="X17" s="1565"/>
      <c r="Y17" s="3748" t="s">
        <v>541</v>
      </c>
      <c r="Z17" s="1573" t="str">
        <f t="shared" si="7"/>
        <v>居住社区成熟度</v>
      </c>
      <c r="AA17" s="1574">
        <f t="shared" si="3"/>
        <v>0.970873786407767</v>
      </c>
      <c r="AB17" s="1574">
        <f t="shared" si="4"/>
        <v>0.970873786407767</v>
      </c>
      <c r="AC17" s="1574">
        <f t="shared" si="5"/>
        <v>1</v>
      </c>
    </row>
    <row r="18" spans="1:29" ht="20.25">
      <c r="A18" s="531"/>
      <c r="B18" s="552"/>
      <c r="C18" s="553" t="s">
        <v>3262</v>
      </c>
      <c r="D18" s="556"/>
      <c r="E18" s="557" t="s">
        <v>3263</v>
      </c>
      <c r="F18" s="554"/>
      <c r="G18" s="555" t="s">
        <v>3263</v>
      </c>
      <c r="H18" s="558"/>
      <c r="I18" s="557" t="s">
        <v>3262</v>
      </c>
      <c r="J18" s="554"/>
      <c r="K18" s="530"/>
      <c r="L18" s="2141"/>
      <c r="M18" s="2131"/>
      <c r="N18" s="2131"/>
      <c r="O18" s="2140"/>
      <c r="P18" s="3749"/>
      <c r="Q18" s="1570"/>
      <c r="R18" s="1571"/>
      <c r="S18" s="1572"/>
      <c r="T18" s="1571"/>
      <c r="U18" s="1572"/>
      <c r="V18" s="1571"/>
      <c r="W18" s="1572"/>
      <c r="X18" s="1565"/>
      <c r="Y18" s="3749"/>
      <c r="Z18" s="1573"/>
      <c r="AA18" s="1574">
        <v>1</v>
      </c>
      <c r="AB18" s="1574">
        <v>1</v>
      </c>
      <c r="AC18" s="1574">
        <v>1</v>
      </c>
    </row>
    <row r="19" spans="1:29" ht="20.25">
      <c r="A19" s="531"/>
      <c r="B19" s="559" t="s">
        <v>542</v>
      </c>
      <c r="C19" s="560">
        <f>估价对象房地状况!C16</f>
        <v>0</v>
      </c>
      <c r="D19" s="562">
        <v>100</v>
      </c>
      <c r="E19" s="563"/>
      <c r="F19" s="558">
        <f>SUMIF(92:92,E20,93:93)-SUMIF(92:92,C20,93:93)+100</f>
        <v>102</v>
      </c>
      <c r="G19" s="561"/>
      <c r="H19" s="564">
        <f>SUMIF(92:92,G20,93:93)-SUMIF(92:92,C20,93:93)+100</f>
        <v>102</v>
      </c>
      <c r="I19" s="563"/>
      <c r="J19" s="564">
        <f>SUMIF(92:92,I20,93:93)-SUMIF(92:92,C20,93:93)+100</f>
        <v>100</v>
      </c>
      <c r="K19" s="534">
        <v>2</v>
      </c>
      <c r="L19" s="2141"/>
      <c r="M19" s="2131"/>
      <c r="N19" s="2131"/>
      <c r="O19" s="2140"/>
      <c r="P19" s="3749"/>
      <c r="Q19" s="1570" t="str">
        <f>B19</f>
        <v>商业繁华度</v>
      </c>
      <c r="R19" s="1571" t="s">
        <v>8</v>
      </c>
      <c r="S19" s="1572">
        <f>F19</f>
        <v>102</v>
      </c>
      <c r="T19" s="1571" t="s">
        <v>8</v>
      </c>
      <c r="U19" s="1572">
        <f>H19</f>
        <v>102</v>
      </c>
      <c r="V19" s="1571" t="s">
        <v>8</v>
      </c>
      <c r="W19" s="1572">
        <f>J19</f>
        <v>100</v>
      </c>
      <c r="X19" s="1565"/>
      <c r="Y19" s="3749"/>
      <c r="Z19" s="1573" t="str">
        <f>Q19</f>
        <v>商业繁华度</v>
      </c>
      <c r="AA19" s="1574">
        <f t="shared" si="3"/>
        <v>0.98039215686274506</v>
      </c>
      <c r="AB19" s="1574">
        <f t="shared" si="4"/>
        <v>0.98039215686274506</v>
      </c>
      <c r="AC19" s="1574">
        <f t="shared" si="5"/>
        <v>1</v>
      </c>
    </row>
    <row r="20" spans="1:29" ht="20.25">
      <c r="A20" s="531"/>
      <c r="B20" s="565"/>
      <c r="C20" s="566" t="s">
        <v>3261</v>
      </c>
      <c r="D20" s="562"/>
      <c r="E20" s="568" t="s">
        <v>3262</v>
      </c>
      <c r="F20" s="558"/>
      <c r="G20" s="567" t="s">
        <v>3262</v>
      </c>
      <c r="H20" s="554"/>
      <c r="I20" s="568" t="s">
        <v>3261</v>
      </c>
      <c r="J20" s="554"/>
      <c r="K20" s="530"/>
      <c r="L20" s="2141"/>
      <c r="M20" s="2131"/>
      <c r="N20" s="2131"/>
      <c r="O20" s="2140"/>
      <c r="P20" s="3749"/>
      <c r="Q20" s="1570"/>
      <c r="R20" s="1571"/>
      <c r="S20" s="1572"/>
      <c r="T20" s="1571"/>
      <c r="U20" s="1572"/>
      <c r="V20" s="1571"/>
      <c r="W20" s="1572"/>
      <c r="X20" s="1565"/>
      <c r="Y20" s="3749"/>
      <c r="Z20" s="1573"/>
      <c r="AA20" s="1574">
        <v>1</v>
      </c>
      <c r="AB20" s="1574">
        <v>1</v>
      </c>
      <c r="AC20" s="1574">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1</v>
      </c>
      <c r="L21" s="2141"/>
      <c r="M21" s="2131"/>
      <c r="N21" s="2131"/>
      <c r="O21" s="2140"/>
      <c r="P21" s="3749"/>
      <c r="Q21" s="1570" t="str">
        <f>B21</f>
        <v>办公集聚程度</v>
      </c>
      <c r="R21" s="1571" t="s">
        <v>8</v>
      </c>
      <c r="S21" s="1572">
        <f>F21</f>
        <v>100</v>
      </c>
      <c r="T21" s="1571" t="s">
        <v>8</v>
      </c>
      <c r="U21" s="1572">
        <f>H21</f>
        <v>100</v>
      </c>
      <c r="V21" s="1571" t="s">
        <v>8</v>
      </c>
      <c r="W21" s="1572">
        <f>J21</f>
        <v>100</v>
      </c>
      <c r="X21" s="1565"/>
      <c r="Y21" s="3749"/>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1"/>
      <c r="M22" s="2131"/>
      <c r="N22" s="2131"/>
      <c r="O22" s="2140"/>
      <c r="P22" s="3749"/>
      <c r="Q22" s="1570"/>
      <c r="R22" s="1571"/>
      <c r="S22" s="1572"/>
      <c r="T22" s="1571"/>
      <c r="U22" s="1572"/>
      <c r="V22" s="1571"/>
      <c r="W22" s="1572"/>
      <c r="X22" s="1565"/>
      <c r="Y22" s="3749"/>
      <c r="Z22" s="1573"/>
      <c r="AA22" s="1574">
        <v>1</v>
      </c>
      <c r="AB22" s="1574">
        <v>1</v>
      </c>
      <c r="AC22" s="1574">
        <v>1</v>
      </c>
    </row>
    <row r="23" spans="1:29" ht="20.25">
      <c r="A23" s="531"/>
      <c r="B23" s="559" t="s">
        <v>544</v>
      </c>
      <c r="C23" s="572">
        <f>估价对象房地状况!C18</f>
        <v>0</v>
      </c>
      <c r="D23" s="562">
        <v>100</v>
      </c>
      <c r="E23" s="563"/>
      <c r="F23" s="564">
        <f>SUMIF(96:96,E24,97:97)-SUMIF(96:96,C24,97:97)+100</f>
        <v>102</v>
      </c>
      <c r="G23" s="561"/>
      <c r="H23" s="558">
        <f>SUMIF(96:96,G24,97:97)-SUMIF(96:96,C24,97:97)+100</f>
        <v>102</v>
      </c>
      <c r="I23" s="563"/>
      <c r="J23" s="558">
        <f>SUMIF(96:96,I24,97:97)-SUMIF(96:96,C24,97:97)+100</f>
        <v>100</v>
      </c>
      <c r="K23" s="534">
        <v>2</v>
      </c>
      <c r="L23" s="2141"/>
      <c r="M23" s="2131"/>
      <c r="N23" s="2131"/>
      <c r="O23" s="2140"/>
      <c r="P23" s="3749"/>
      <c r="Q23" s="1570" t="str">
        <f>B23</f>
        <v>交通便捷度</v>
      </c>
      <c r="R23" s="1571" t="s">
        <v>8</v>
      </c>
      <c r="S23" s="1572">
        <f>F23</f>
        <v>102</v>
      </c>
      <c r="T23" s="1571" t="s">
        <v>8</v>
      </c>
      <c r="U23" s="1572">
        <f>H23</f>
        <v>102</v>
      </c>
      <c r="V23" s="1571" t="s">
        <v>8</v>
      </c>
      <c r="W23" s="1572">
        <f>J23</f>
        <v>100</v>
      </c>
      <c r="X23" s="1565"/>
      <c r="Y23" s="3749"/>
      <c r="Z23" s="1573" t="str">
        <f>Q23</f>
        <v>交通便捷度</v>
      </c>
      <c r="AA23" s="1574">
        <f t="shared" si="3"/>
        <v>0.98039215686274506</v>
      </c>
      <c r="AB23" s="1574">
        <f t="shared" si="4"/>
        <v>0.98039215686274506</v>
      </c>
      <c r="AC23" s="1574">
        <f t="shared" si="5"/>
        <v>1</v>
      </c>
    </row>
    <row r="24" spans="1:29" ht="20.25">
      <c r="A24" s="531"/>
      <c r="B24" s="577"/>
      <c r="C24" s="553" t="s">
        <v>3261</v>
      </c>
      <c r="D24" s="556"/>
      <c r="E24" s="557" t="s">
        <v>3262</v>
      </c>
      <c r="F24" s="554"/>
      <c r="G24" s="555" t="s">
        <v>3262</v>
      </c>
      <c r="H24" s="554"/>
      <c r="I24" s="557" t="s">
        <v>3261</v>
      </c>
      <c r="J24" s="554"/>
      <c r="K24" s="530"/>
      <c r="L24" s="2141"/>
      <c r="M24" s="2131"/>
      <c r="N24" s="2131"/>
      <c r="O24" s="2140"/>
      <c r="P24" s="3749"/>
      <c r="Q24" s="1570"/>
      <c r="R24" s="1571"/>
      <c r="S24" s="1572"/>
      <c r="T24" s="1571"/>
      <c r="U24" s="1572"/>
      <c r="V24" s="1571"/>
      <c r="W24" s="1572"/>
      <c r="X24" s="1565"/>
      <c r="Y24" s="3749"/>
      <c r="Z24" s="1573"/>
      <c r="AA24" s="1574">
        <v>1</v>
      </c>
      <c r="AB24" s="1574">
        <v>1</v>
      </c>
      <c r="AC24" s="1574">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749"/>
      <c r="Q25" s="1570" t="str">
        <f t="shared" ref="Q25:Q39" si="8">B25</f>
        <v>区域土地利用方向</v>
      </c>
      <c r="R25" s="1571" t="s">
        <v>8</v>
      </c>
      <c r="S25" s="1572">
        <f>F25</f>
        <v>100</v>
      </c>
      <c r="T25" s="1571" t="s">
        <v>8</v>
      </c>
      <c r="U25" s="1572">
        <f>H25</f>
        <v>100</v>
      </c>
      <c r="V25" s="1571" t="s">
        <v>8</v>
      </c>
      <c r="W25" s="1572">
        <f>J25</f>
        <v>100</v>
      </c>
      <c r="X25" s="1565"/>
      <c r="Y25" s="3749"/>
      <c r="Z25" s="1573" t="str">
        <f>Q25</f>
        <v>区域土地利用方向</v>
      </c>
      <c r="AA25" s="1574">
        <f t="shared" si="3"/>
        <v>1</v>
      </c>
      <c r="AB25" s="1574">
        <f t="shared" si="4"/>
        <v>1</v>
      </c>
      <c r="AC25" s="1574">
        <f t="shared" si="5"/>
        <v>1</v>
      </c>
    </row>
    <row r="26" spans="1:29" ht="20.25">
      <c r="A26" s="514"/>
      <c r="B26" s="1005"/>
      <c r="C26" s="553" t="s">
        <v>3263</v>
      </c>
      <c r="D26" s="556"/>
      <c r="E26" s="553" t="s">
        <v>3263</v>
      </c>
      <c r="F26" s="554"/>
      <c r="G26" s="553" t="s">
        <v>3263</v>
      </c>
      <c r="H26" s="554"/>
      <c r="I26" s="553" t="s">
        <v>3263</v>
      </c>
      <c r="J26" s="554"/>
      <c r="K26" s="530"/>
      <c r="L26" s="2141"/>
      <c r="M26" s="2131"/>
      <c r="N26" s="2131"/>
      <c r="O26" s="2140"/>
      <c r="P26" s="3749"/>
      <c r="Q26" s="1570"/>
      <c r="R26" s="1571"/>
      <c r="S26" s="1572"/>
      <c r="T26" s="1571"/>
      <c r="U26" s="1572"/>
      <c r="V26" s="1571"/>
      <c r="W26" s="1572"/>
      <c r="X26" s="1565"/>
      <c r="Y26" s="3749"/>
      <c r="Z26" s="1573"/>
      <c r="AA26" s="1574"/>
      <c r="AB26" s="1574"/>
      <c r="AC26" s="1574"/>
    </row>
    <row r="27" spans="1:29" ht="27">
      <c r="A27" s="514"/>
      <c r="B27" s="577" t="s">
        <v>546</v>
      </c>
      <c r="C27" s="560">
        <f>估价对象房地状况!C20</f>
        <v>0</v>
      </c>
      <c r="D27" s="562">
        <v>100</v>
      </c>
      <c r="E27" s="563"/>
      <c r="F27" s="558">
        <f>SUMIF(100:100,E28,101:101)-SUMIF(100:100,C28,101:101)+100</f>
        <v>90</v>
      </c>
      <c r="G27" s="561"/>
      <c r="H27" s="558">
        <f>SUMIF(100:100,G28,101:101)-SUMIF(100:100,C28,101:101)+100</f>
        <v>90</v>
      </c>
      <c r="I27" s="563"/>
      <c r="J27" s="558">
        <f>SUMIF(100:100,I28,101:101)-SUMIF(100:100,C28,101:101)+100</f>
        <v>100</v>
      </c>
      <c r="K27" s="534">
        <v>10</v>
      </c>
      <c r="L27" s="2141"/>
      <c r="M27" s="2131"/>
      <c r="N27" s="2131"/>
      <c r="O27" s="2140"/>
      <c r="P27" s="3749"/>
      <c r="Q27" s="1570" t="str">
        <f t="shared" si="8"/>
        <v>自然及人文环境状况</v>
      </c>
      <c r="R27" s="1571" t="s">
        <v>8</v>
      </c>
      <c r="S27" s="1572">
        <f>F27</f>
        <v>90</v>
      </c>
      <c r="T27" s="1571" t="s">
        <v>8</v>
      </c>
      <c r="U27" s="1572">
        <f>H27</f>
        <v>90</v>
      </c>
      <c r="V27" s="1571" t="s">
        <v>8</v>
      </c>
      <c r="W27" s="1572">
        <f>J27</f>
        <v>100</v>
      </c>
      <c r="X27" s="1565"/>
      <c r="Y27" s="3749"/>
      <c r="Z27" s="1573" t="str">
        <f>Q27</f>
        <v>自然及人文环境状况</v>
      </c>
      <c r="AA27" s="1574">
        <f t="shared" si="3"/>
        <v>1.1111111111111112</v>
      </c>
      <c r="AB27" s="1574">
        <f t="shared" si="4"/>
        <v>1.1111111111111112</v>
      </c>
      <c r="AC27" s="1574">
        <f t="shared" si="5"/>
        <v>1</v>
      </c>
    </row>
    <row r="28" spans="1:29" ht="20.25">
      <c r="A28" s="514"/>
      <c r="B28" s="565"/>
      <c r="C28" s="553" t="s">
        <v>3262</v>
      </c>
      <c r="D28" s="556"/>
      <c r="E28" s="575" t="s">
        <v>3261</v>
      </c>
      <c r="F28" s="554"/>
      <c r="G28" s="553" t="s">
        <v>3261</v>
      </c>
      <c r="H28" s="554"/>
      <c r="I28" s="575" t="s">
        <v>3262</v>
      </c>
      <c r="J28" s="554"/>
      <c r="K28" s="530"/>
      <c r="L28" s="2141"/>
      <c r="M28" s="2131"/>
      <c r="N28" s="2131"/>
      <c r="O28" s="2140"/>
      <c r="P28" s="3749"/>
      <c r="Q28" s="1570"/>
      <c r="R28" s="1571"/>
      <c r="S28" s="1572"/>
      <c r="T28" s="1571"/>
      <c r="U28" s="1572"/>
      <c r="V28" s="1571"/>
      <c r="W28" s="1572"/>
      <c r="X28" s="1565"/>
      <c r="Y28" s="3749"/>
      <c r="Z28" s="1573"/>
      <c r="AA28" s="1574">
        <v>1</v>
      </c>
      <c r="AB28" s="1574">
        <v>1</v>
      </c>
      <c r="AC28" s="1574">
        <v>1</v>
      </c>
    </row>
    <row r="29" spans="1:29" s="1218" customFormat="1" ht="20.25">
      <c r="A29" s="576"/>
      <c r="B29" s="2614" t="s">
        <v>2554</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v>5</v>
      </c>
      <c r="L29" s="2134"/>
      <c r="M29" s="2131"/>
      <c r="N29" s="2131"/>
      <c r="O29" s="2136"/>
      <c r="P29" s="3749"/>
      <c r="Q29" s="1149" t="str">
        <f t="shared" si="8"/>
        <v>公共配套设施</v>
      </c>
      <c r="R29" s="1566" t="s">
        <v>8</v>
      </c>
      <c r="S29" s="1567">
        <f>F29</f>
        <v>100</v>
      </c>
      <c r="T29" s="1566" t="s">
        <v>8</v>
      </c>
      <c r="U29" s="1567">
        <f>H29</f>
        <v>100</v>
      </c>
      <c r="V29" s="1566" t="s">
        <v>8</v>
      </c>
      <c r="W29" s="1567">
        <f>J29</f>
        <v>100</v>
      </c>
      <c r="X29" s="1568"/>
      <c r="Y29" s="3749"/>
      <c r="Z29" s="1148" t="str">
        <f>Q29</f>
        <v>公共配套设施</v>
      </c>
      <c r="AA29" s="1574">
        <f>D29/F29</f>
        <v>1</v>
      </c>
      <c r="AB29" s="1574">
        <f>D29/H29</f>
        <v>1</v>
      </c>
      <c r="AC29" s="1574">
        <f>D29/J29</f>
        <v>1</v>
      </c>
    </row>
    <row r="30" spans="1:29" s="1218" customFormat="1" ht="20.25">
      <c r="A30" s="576"/>
      <c r="B30" s="565"/>
      <c r="C30" s="578" t="s">
        <v>3262</v>
      </c>
      <c r="D30" s="556"/>
      <c r="E30" s="575" t="s">
        <v>3262</v>
      </c>
      <c r="F30" s="554"/>
      <c r="G30" s="575" t="s">
        <v>3262</v>
      </c>
      <c r="H30" s="554"/>
      <c r="I30" s="578" t="s">
        <v>3262</v>
      </c>
      <c r="J30" s="554"/>
      <c r="K30" s="530"/>
      <c r="L30" s="2134"/>
      <c r="M30" s="2131"/>
      <c r="N30" s="2131"/>
      <c r="O30" s="2136"/>
      <c r="P30" s="3749"/>
      <c r="Q30" s="1149"/>
      <c r="R30" s="1566"/>
      <c r="S30" s="1567"/>
      <c r="T30" s="1566"/>
      <c r="U30" s="1567"/>
      <c r="V30" s="1566"/>
      <c r="W30" s="1567"/>
      <c r="X30" s="1568"/>
      <c r="Y30" s="3749"/>
      <c r="Z30" s="1148"/>
      <c r="AA30" s="1574">
        <v>1</v>
      </c>
      <c r="AB30" s="1574">
        <v>1</v>
      </c>
      <c r="AC30" s="1574">
        <v>1</v>
      </c>
    </row>
    <row r="31" spans="1:29" s="1218" customFormat="1" ht="20.25">
      <c r="A31" s="576"/>
      <c r="B31" s="2614" t="s">
        <v>2555</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749"/>
      <c r="Q31" s="2601" t="str">
        <f t="shared" ref="Q31" si="9">B31</f>
        <v>基础设施水平</v>
      </c>
      <c r="R31" s="1566" t="s">
        <v>8</v>
      </c>
      <c r="S31" s="1567">
        <f>F31</f>
        <v>100</v>
      </c>
      <c r="T31" s="1566" t="s">
        <v>8</v>
      </c>
      <c r="U31" s="1567">
        <f>H31</f>
        <v>100</v>
      </c>
      <c r="V31" s="1566" t="s">
        <v>8</v>
      </c>
      <c r="W31" s="1567">
        <f>J31</f>
        <v>100</v>
      </c>
      <c r="X31" s="1568"/>
      <c r="Y31" s="3749"/>
      <c r="Z31" s="2598" t="str">
        <f>Q31</f>
        <v>基础设施水平</v>
      </c>
      <c r="AA31" s="1574">
        <f>D31/F31</f>
        <v>1</v>
      </c>
      <c r="AB31" s="1574">
        <f>D31/H31</f>
        <v>1</v>
      </c>
      <c r="AC31" s="1574">
        <f>D31/J31</f>
        <v>1</v>
      </c>
    </row>
    <row r="32" spans="1:29" s="1218" customFormat="1" ht="20.25">
      <c r="A32" s="576"/>
      <c r="B32" s="565"/>
      <c r="C32" s="578" t="s">
        <v>3291</v>
      </c>
      <c r="D32" s="556"/>
      <c r="E32" s="578" t="s">
        <v>3291</v>
      </c>
      <c r="F32" s="554"/>
      <c r="G32" s="578" t="s">
        <v>3291</v>
      </c>
      <c r="H32" s="554"/>
      <c r="I32" s="578" t="s">
        <v>3291</v>
      </c>
      <c r="J32" s="554"/>
      <c r="K32" s="530"/>
      <c r="L32" s="2134"/>
      <c r="M32" s="2131"/>
      <c r="N32" s="2131"/>
      <c r="O32" s="2136"/>
      <c r="P32" s="3749"/>
      <c r="Q32" s="2601"/>
      <c r="R32" s="1566"/>
      <c r="S32" s="1567"/>
      <c r="T32" s="1566"/>
      <c r="U32" s="1567"/>
      <c r="V32" s="1566"/>
      <c r="W32" s="1567"/>
      <c r="X32" s="1568"/>
      <c r="Y32" s="3749"/>
      <c r="Z32" s="2598"/>
      <c r="AA32" s="1574">
        <v>1</v>
      </c>
      <c r="AB32" s="1574">
        <v>1</v>
      </c>
      <c r="AC32" s="1574">
        <v>1</v>
      </c>
    </row>
    <row r="33" spans="1:29" ht="20.25">
      <c r="A33" s="531"/>
      <c r="B33" s="565" t="s">
        <v>548</v>
      </c>
      <c r="C33" s="579" t="s">
        <v>3292</v>
      </c>
      <c r="D33" s="574">
        <v>100</v>
      </c>
      <c r="E33" s="582" t="s">
        <v>3292</v>
      </c>
      <c r="F33" s="539">
        <f>SUMIF(106:106,E33,107:107)-SUMIF(106:106,C33,107:107)+100</f>
        <v>100</v>
      </c>
      <c r="G33" s="579" t="s">
        <v>3292</v>
      </c>
      <c r="H33" s="539">
        <f>SUMIF(106:106,G33,107:107)-SUMIF(106:106,C33,107:107)+100</f>
        <v>100</v>
      </c>
      <c r="I33" s="579" t="s">
        <v>3292</v>
      </c>
      <c r="J33" s="539">
        <f>SUMIF(106:106,I33,107:107)-SUMIF(106:106,C33,107:107)+100</f>
        <v>100</v>
      </c>
      <c r="K33" s="534">
        <v>1</v>
      </c>
      <c r="L33" s="2141"/>
      <c r="M33" s="2131"/>
      <c r="N33" s="2131"/>
      <c r="O33" s="2140"/>
      <c r="P33" s="374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749"/>
      <c r="Z33" s="1573" t="str">
        <f t="shared" ref="Z33:Z47" si="13">Q33</f>
        <v>临街状况</v>
      </c>
      <c r="AA33" s="1574">
        <f t="shared" si="3"/>
        <v>1</v>
      </c>
      <c r="AB33" s="1574">
        <f t="shared" si="4"/>
        <v>1</v>
      </c>
      <c r="AC33" s="1574">
        <f t="shared" si="5"/>
        <v>1</v>
      </c>
    </row>
    <row r="34" spans="1:29" ht="27">
      <c r="A34" s="531"/>
      <c r="B34" s="577" t="s">
        <v>549</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1"/>
      <c r="M34" s="2131"/>
      <c r="N34" s="2131"/>
      <c r="O34" s="2140"/>
      <c r="P34" s="3749"/>
      <c r="Q34" s="1570" t="str">
        <f t="shared" si="8"/>
        <v>毗邻道路的类型与等级</v>
      </c>
      <c r="R34" s="1571" t="s">
        <v>8</v>
      </c>
      <c r="S34" s="1572">
        <f t="shared" si="10"/>
        <v>100</v>
      </c>
      <c r="T34" s="1571" t="s">
        <v>8</v>
      </c>
      <c r="U34" s="1572">
        <f t="shared" si="11"/>
        <v>100</v>
      </c>
      <c r="V34" s="1571" t="s">
        <v>8</v>
      </c>
      <c r="W34" s="1572">
        <f t="shared" si="12"/>
        <v>100</v>
      </c>
      <c r="X34" s="1565"/>
      <c r="Y34" s="3749"/>
      <c r="Z34" s="1573" t="str">
        <f t="shared" si="13"/>
        <v>毗邻道路的类型与等级</v>
      </c>
      <c r="AA34" s="1574">
        <f t="shared" si="3"/>
        <v>1</v>
      </c>
      <c r="AB34" s="1574">
        <f t="shared" si="4"/>
        <v>1</v>
      </c>
      <c r="AC34" s="1574">
        <f t="shared" si="5"/>
        <v>1</v>
      </c>
    </row>
    <row r="35" spans="1:29" ht="21" thickBot="1">
      <c r="A35" s="531"/>
      <c r="B35" s="565"/>
      <c r="C35" s="553" t="s">
        <v>3293</v>
      </c>
      <c r="D35" s="556"/>
      <c r="E35" s="575" t="s">
        <v>3293</v>
      </c>
      <c r="F35" s="554"/>
      <c r="G35" s="553" t="s">
        <v>3293</v>
      </c>
      <c r="H35" s="554"/>
      <c r="I35" s="575" t="s">
        <v>3293</v>
      </c>
      <c r="J35" s="554"/>
      <c r="K35" s="580"/>
      <c r="L35" s="2141"/>
      <c r="M35" s="2131"/>
      <c r="N35" s="2131"/>
      <c r="O35" s="2140"/>
      <c r="P35" s="3749"/>
      <c r="Q35" s="1570"/>
      <c r="R35" s="1571"/>
      <c r="S35" s="1572"/>
      <c r="T35" s="1571"/>
      <c r="U35" s="1572"/>
      <c r="V35" s="1571"/>
      <c r="W35" s="1572"/>
      <c r="X35" s="1565"/>
      <c r="Y35" s="3749"/>
      <c r="Z35" s="1573"/>
      <c r="AA35" s="1574">
        <v>1</v>
      </c>
      <c r="AB35" s="1574">
        <v>1</v>
      </c>
      <c r="AC35" s="1574">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49"/>
      <c r="Q36" s="1570" t="str">
        <f t="shared" si="8"/>
        <v>土地级别</v>
      </c>
      <c r="R36" s="1571" t="s">
        <v>8</v>
      </c>
      <c r="S36" s="1572">
        <f t="shared" si="10"/>
        <v>100</v>
      </c>
      <c r="T36" s="1571" t="s">
        <v>8</v>
      </c>
      <c r="U36" s="1572">
        <f t="shared" si="11"/>
        <v>100</v>
      </c>
      <c r="V36" s="1571" t="s">
        <v>8</v>
      </c>
      <c r="W36" s="1572">
        <f t="shared" si="12"/>
        <v>100</v>
      </c>
      <c r="X36" s="1565"/>
      <c r="Y36" s="3749"/>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49"/>
      <c r="Q37" s="1570">
        <f t="shared" si="8"/>
        <v>111</v>
      </c>
      <c r="R37" s="1571" t="s">
        <v>8</v>
      </c>
      <c r="S37" s="1572">
        <f t="shared" si="10"/>
        <v>100</v>
      </c>
      <c r="T37" s="1571" t="s">
        <v>8</v>
      </c>
      <c r="U37" s="1572">
        <f t="shared" si="11"/>
        <v>100</v>
      </c>
      <c r="V37" s="1571" t="s">
        <v>8</v>
      </c>
      <c r="W37" s="1572">
        <f t="shared" si="12"/>
        <v>100</v>
      </c>
      <c r="X37" s="1565"/>
      <c r="Y37" s="3749"/>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50" t="s">
        <v>551</v>
      </c>
      <c r="Q38" s="1570">
        <f t="shared" si="8"/>
        <v>111</v>
      </c>
      <c r="R38" s="1571" t="s">
        <v>8</v>
      </c>
      <c r="S38" s="1572">
        <f t="shared" si="10"/>
        <v>100</v>
      </c>
      <c r="T38" s="1571" t="s">
        <v>8</v>
      </c>
      <c r="U38" s="1572">
        <f t="shared" si="11"/>
        <v>100</v>
      </c>
      <c r="V38" s="1571" t="s">
        <v>8</v>
      </c>
      <c r="W38" s="1572">
        <f t="shared" si="12"/>
        <v>100</v>
      </c>
      <c r="X38" s="1565"/>
      <c r="Y38" s="3751" t="s">
        <v>551</v>
      </c>
      <c r="Z38" s="1573">
        <f t="shared" si="13"/>
        <v>111</v>
      </c>
      <c r="AA38" s="1574">
        <f t="shared" si="3"/>
        <v>1</v>
      </c>
      <c r="AB38" s="1574">
        <f t="shared" si="4"/>
        <v>1</v>
      </c>
      <c r="AC38" s="1574">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51"/>
      <c r="Q39" s="1570">
        <f t="shared" si="8"/>
        <v>111</v>
      </c>
      <c r="R39" s="1575" t="s">
        <v>8</v>
      </c>
      <c r="S39" s="1576">
        <f t="shared" si="10"/>
        <v>100</v>
      </c>
      <c r="T39" s="1575" t="s">
        <v>8</v>
      </c>
      <c r="U39" s="1576">
        <f t="shared" si="11"/>
        <v>100</v>
      </c>
      <c r="V39" s="1575" t="s">
        <v>8</v>
      </c>
      <c r="W39" s="1576">
        <f t="shared" si="12"/>
        <v>100</v>
      </c>
      <c r="X39" s="1577"/>
      <c r="Y39" s="3751"/>
      <c r="Z39" s="1578">
        <f t="shared" si="13"/>
        <v>111</v>
      </c>
      <c r="AA39" s="1574">
        <f t="shared" si="3"/>
        <v>1</v>
      </c>
      <c r="AB39" s="1574">
        <f t="shared" si="4"/>
        <v>1</v>
      </c>
      <c r="AC39" s="1574">
        <f t="shared" si="5"/>
        <v>1</v>
      </c>
    </row>
    <row r="40" spans="1:29" ht="20.25">
      <c r="A40" s="2931" t="s">
        <v>2761</v>
      </c>
      <c r="B40" s="594" t="s">
        <v>553</v>
      </c>
      <c r="C40" s="595">
        <f>'数据-基础表'!A3</f>
        <v>96912.82</v>
      </c>
      <c r="D40" s="596">
        <v>100</v>
      </c>
      <c r="E40" s="595">
        <v>66145</v>
      </c>
      <c r="F40" s="596">
        <f>LOOKUP(E40,119:119,120:120)-LOOKUP(C40,119:119,120:120)+100</f>
        <v>100</v>
      </c>
      <c r="G40" s="595">
        <v>79789</v>
      </c>
      <c r="H40" s="596">
        <f>LOOKUP(G40,119:119,120:120)-LOOKUP(C40,119:119,120:120)+100</f>
        <v>100</v>
      </c>
      <c r="I40" s="597">
        <v>40974</v>
      </c>
      <c r="J40" s="596">
        <f>LOOKUP(I40,119:119,120:120)-LOOKUP(C40,119:119,120:120)+100</f>
        <v>100</v>
      </c>
      <c r="K40" s="580"/>
      <c r="L40" s="2141"/>
      <c r="M40" s="2131"/>
      <c r="N40" s="2131"/>
      <c r="O40" s="2140"/>
      <c r="P40" s="3751"/>
      <c r="Q40" s="1570" t="str">
        <f>B40</f>
        <v>宗地面积</v>
      </c>
      <c r="R40" s="1571" t="s">
        <v>8</v>
      </c>
      <c r="S40" s="1572">
        <f t="shared" si="10"/>
        <v>100</v>
      </c>
      <c r="T40" s="1571" t="s">
        <v>8</v>
      </c>
      <c r="U40" s="1572">
        <f t="shared" si="11"/>
        <v>100</v>
      </c>
      <c r="V40" s="1571" t="s">
        <v>8</v>
      </c>
      <c r="W40" s="1572">
        <f t="shared" si="12"/>
        <v>100</v>
      </c>
      <c r="X40" s="1565"/>
      <c r="Y40" s="3751"/>
      <c r="Z40" s="1573" t="str">
        <f t="shared" si="13"/>
        <v>宗地面积</v>
      </c>
      <c r="AA40" s="1574">
        <f t="shared" si="3"/>
        <v>1</v>
      </c>
      <c r="AB40" s="1574">
        <f t="shared" si="4"/>
        <v>1</v>
      </c>
      <c r="AC40" s="1574">
        <f t="shared" si="5"/>
        <v>1</v>
      </c>
    </row>
    <row r="41" spans="1:29" ht="20.25">
      <c r="A41" s="593"/>
      <c r="B41" s="526" t="s">
        <v>554</v>
      </c>
      <c r="C41" s="598" t="s">
        <v>3295</v>
      </c>
      <c r="D41" s="539">
        <v>100</v>
      </c>
      <c r="E41" s="598" t="s">
        <v>3295</v>
      </c>
      <c r="F41" s="539">
        <f>SUMIF(121:121,E41,122:122)-SUMIF(121:121,C41,122:122)+100</f>
        <v>100</v>
      </c>
      <c r="G41" s="598" t="s">
        <v>3295</v>
      </c>
      <c r="H41" s="539">
        <f>SUMIF(121:121,G41,122:122)-SUMIF(121:121,C41,122:122)+100</f>
        <v>100</v>
      </c>
      <c r="I41" s="598" t="s">
        <v>3295</v>
      </c>
      <c r="J41" s="539">
        <f>SUMIF(121:121,I41,122:122)-SUMIF(121:121,C41,122:122)+100</f>
        <v>100</v>
      </c>
      <c r="K41" s="583">
        <v>3</v>
      </c>
      <c r="L41" s="2141"/>
      <c r="M41" s="2131"/>
      <c r="N41" s="2131"/>
      <c r="O41" s="2140"/>
      <c r="P41" s="3751"/>
      <c r="Q41" s="1570" t="str">
        <f t="shared" ref="Q41:Q47" si="14">B41</f>
        <v>宗地形状</v>
      </c>
      <c r="R41" s="1571" t="s">
        <v>8</v>
      </c>
      <c r="S41" s="1572">
        <f t="shared" si="10"/>
        <v>100</v>
      </c>
      <c r="T41" s="1571" t="s">
        <v>8</v>
      </c>
      <c r="U41" s="1572">
        <f t="shared" si="11"/>
        <v>100</v>
      </c>
      <c r="V41" s="1571" t="s">
        <v>8</v>
      </c>
      <c r="W41" s="1572">
        <f t="shared" si="12"/>
        <v>100</v>
      </c>
      <c r="X41" s="1565"/>
      <c r="Y41" s="3751"/>
      <c r="Z41" s="1573" t="str">
        <f t="shared" si="13"/>
        <v>宗地形状</v>
      </c>
      <c r="AA41" s="1574">
        <f t="shared" si="3"/>
        <v>1</v>
      </c>
      <c r="AB41" s="1574">
        <f t="shared" si="4"/>
        <v>1</v>
      </c>
      <c r="AC41" s="1574">
        <f t="shared" si="5"/>
        <v>1</v>
      </c>
    </row>
    <row r="42" spans="1:29" ht="20.25">
      <c r="A42" s="593"/>
      <c r="B42" s="526" t="s">
        <v>555</v>
      </c>
      <c r="C42" s="598" t="s">
        <v>3297</v>
      </c>
      <c r="D42" s="539">
        <v>100</v>
      </c>
      <c r="E42" s="598" t="s">
        <v>3297</v>
      </c>
      <c r="F42" s="539">
        <f>SUMIF(123:123,E42,124:124)-SUMIF(123:123,C42,124:124)+100</f>
        <v>100</v>
      </c>
      <c r="G42" s="598" t="s">
        <v>3297</v>
      </c>
      <c r="H42" s="539">
        <f>SUMIF(123:123,G42,124:124)-SUMIF(123:123,C42,124:124)+100</f>
        <v>100</v>
      </c>
      <c r="I42" s="598" t="s">
        <v>3297</v>
      </c>
      <c r="J42" s="539">
        <f>SUMIF(123:123,I42,124:124)-SUMIF(123:123,C42,124:124)+100</f>
        <v>100</v>
      </c>
      <c r="K42" s="583">
        <v>0</v>
      </c>
      <c r="L42" s="2141"/>
      <c r="M42" s="2131"/>
      <c r="N42" s="2131"/>
      <c r="O42" s="2140"/>
      <c r="P42" s="3751"/>
      <c r="Q42" s="1570" t="str">
        <f t="shared" si="14"/>
        <v>临街宽度及深度</v>
      </c>
      <c r="R42" s="1571" t="s">
        <v>8</v>
      </c>
      <c r="S42" s="1572">
        <f t="shared" si="10"/>
        <v>100</v>
      </c>
      <c r="T42" s="1571" t="s">
        <v>8</v>
      </c>
      <c r="U42" s="1572">
        <f t="shared" si="11"/>
        <v>100</v>
      </c>
      <c r="V42" s="1571" t="s">
        <v>8</v>
      </c>
      <c r="W42" s="1572">
        <f t="shared" si="12"/>
        <v>100</v>
      </c>
      <c r="X42" s="1565"/>
      <c r="Y42" s="3751"/>
      <c r="Z42" s="1573" t="str">
        <f t="shared" si="13"/>
        <v>临街宽度及深度</v>
      </c>
      <c r="AA42" s="1574">
        <f t="shared" si="3"/>
        <v>1</v>
      </c>
      <c r="AB42" s="1574">
        <f t="shared" si="4"/>
        <v>1</v>
      </c>
      <c r="AC42" s="1574">
        <f t="shared" si="5"/>
        <v>1</v>
      </c>
    </row>
    <row r="43" spans="1:29" s="1218" customFormat="1" ht="20.25">
      <c r="A43" s="599"/>
      <c r="B43" s="1894" t="s">
        <v>2428</v>
      </c>
      <c r="C43" s="600" t="s">
        <v>3299</v>
      </c>
      <c r="D43" s="254">
        <v>100</v>
      </c>
      <c r="E43" s="600" t="s">
        <v>3299</v>
      </c>
      <c r="F43" s="539">
        <f>SUMIF(125:125,E43,126:126)-SUMIF(125:125,C43,126:126)+100</f>
        <v>100</v>
      </c>
      <c r="G43" s="600" t="s">
        <v>3299</v>
      </c>
      <c r="H43" s="539">
        <f>SUMIF(125:125,G43,126:126)-SUMIF(125:125,C43,126:126)+100</f>
        <v>100</v>
      </c>
      <c r="I43" s="600" t="s">
        <v>3299</v>
      </c>
      <c r="J43" s="539">
        <f>SUMIF(125:125,I43,126:126)-SUMIF(125:125,C43,126:126)+100</f>
        <v>100</v>
      </c>
      <c r="K43" s="583">
        <v>1</v>
      </c>
      <c r="L43" s="2134"/>
      <c r="M43" s="2131"/>
      <c r="N43" s="2131"/>
      <c r="O43" s="2136"/>
      <c r="P43" s="3751"/>
      <c r="Q43" s="1570" t="str">
        <f t="shared" si="14"/>
        <v>宗地开发程度</v>
      </c>
      <c r="R43" s="1566" t="s">
        <v>8</v>
      </c>
      <c r="S43" s="1567">
        <f t="shared" si="10"/>
        <v>100</v>
      </c>
      <c r="T43" s="1566" t="s">
        <v>8</v>
      </c>
      <c r="U43" s="1567">
        <f t="shared" si="11"/>
        <v>100</v>
      </c>
      <c r="V43" s="1566" t="s">
        <v>8</v>
      </c>
      <c r="W43" s="1567">
        <f t="shared" si="12"/>
        <v>100</v>
      </c>
      <c r="X43" s="1568"/>
      <c r="Y43" s="3751"/>
      <c r="Z43" s="1148" t="str">
        <f t="shared" si="13"/>
        <v>宗地开发程度</v>
      </c>
      <c r="AA43" s="1569">
        <f t="shared" si="3"/>
        <v>1</v>
      </c>
      <c r="AB43" s="1569">
        <f t="shared" si="4"/>
        <v>1</v>
      </c>
      <c r="AC43" s="1569">
        <f t="shared" si="5"/>
        <v>1</v>
      </c>
    </row>
    <row r="44" spans="1:29" ht="21" thickBot="1">
      <c r="A44" s="593"/>
      <c r="B44" s="526" t="s">
        <v>556</v>
      </c>
      <c r="C44" s="598" t="s">
        <v>3263</v>
      </c>
      <c r="D44" s="539">
        <v>100</v>
      </c>
      <c r="E44" s="598" t="s">
        <v>3263</v>
      </c>
      <c r="F44" s="539">
        <f>SUMIF(127:127,E44,128:128)-SUMIF(127:127,C44,128:128)+100</f>
        <v>100</v>
      </c>
      <c r="G44" s="598" t="s">
        <v>3263</v>
      </c>
      <c r="H44" s="539">
        <f>SUMIF(127:127,G44,128:128)-SUMIF(127:127,C44,128:128)+100</f>
        <v>100</v>
      </c>
      <c r="I44" s="598" t="s">
        <v>3263</v>
      </c>
      <c r="J44" s="539">
        <f>SUMIF(127:127,I44,128:128)-SUMIF(127:127,C44,128:128)+100</f>
        <v>100</v>
      </c>
      <c r="K44" s="583">
        <v>1</v>
      </c>
      <c r="L44" s="2141"/>
      <c r="M44" s="2131"/>
      <c r="N44" s="2131"/>
      <c r="O44" s="2140"/>
      <c r="P44" s="3751" t="s">
        <v>551</v>
      </c>
      <c r="Q44" s="1570" t="str">
        <f t="shared" si="14"/>
        <v>工程地质条件</v>
      </c>
      <c r="R44" s="1571" t="s">
        <v>8</v>
      </c>
      <c r="S44" s="1572">
        <f t="shared" si="10"/>
        <v>100</v>
      </c>
      <c r="T44" s="1571" t="s">
        <v>8</v>
      </c>
      <c r="U44" s="1572">
        <f t="shared" si="11"/>
        <v>100</v>
      </c>
      <c r="V44" s="1571" t="s">
        <v>8</v>
      </c>
      <c r="W44" s="1572">
        <f t="shared" si="12"/>
        <v>100</v>
      </c>
      <c r="X44" s="1565"/>
      <c r="Y44" s="3751" t="s">
        <v>551</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751"/>
      <c r="Q45" s="1570">
        <f t="shared" si="14"/>
        <v>111</v>
      </c>
      <c r="R45" s="1571" t="s">
        <v>8</v>
      </c>
      <c r="S45" s="1572">
        <f t="shared" si="10"/>
        <v>100</v>
      </c>
      <c r="T45" s="1571" t="s">
        <v>8</v>
      </c>
      <c r="U45" s="1572">
        <f t="shared" si="11"/>
        <v>100</v>
      </c>
      <c r="V45" s="1571" t="s">
        <v>8</v>
      </c>
      <c r="W45" s="1572">
        <f t="shared" si="12"/>
        <v>100</v>
      </c>
      <c r="X45" s="1565"/>
      <c r="Y45" s="3751"/>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751"/>
      <c r="Q46" s="1570">
        <f t="shared" si="14"/>
        <v>111</v>
      </c>
      <c r="R46" s="1571" t="s">
        <v>8</v>
      </c>
      <c r="S46" s="1572">
        <f t="shared" si="10"/>
        <v>100</v>
      </c>
      <c r="T46" s="1571" t="s">
        <v>8</v>
      </c>
      <c r="U46" s="1572">
        <f t="shared" si="11"/>
        <v>100</v>
      </c>
      <c r="V46" s="1571" t="s">
        <v>8</v>
      </c>
      <c r="W46" s="1572">
        <f t="shared" si="12"/>
        <v>100</v>
      </c>
      <c r="X46" s="1565"/>
      <c r="Y46" s="3751"/>
      <c r="Z46" s="1573">
        <f t="shared" si="13"/>
        <v>111</v>
      </c>
      <c r="AA46" s="1574">
        <f t="shared" si="3"/>
        <v>1</v>
      </c>
      <c r="AB46" s="1574">
        <f t="shared" si="4"/>
        <v>1</v>
      </c>
      <c r="AC46" s="1574">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751"/>
      <c r="Q47" s="1570">
        <f t="shared" si="14"/>
        <v>111</v>
      </c>
      <c r="R47" s="1575" t="s">
        <v>8</v>
      </c>
      <c r="S47" s="1576">
        <f t="shared" si="10"/>
        <v>100</v>
      </c>
      <c r="T47" s="1575" t="s">
        <v>8</v>
      </c>
      <c r="U47" s="1576">
        <f t="shared" si="11"/>
        <v>100</v>
      </c>
      <c r="V47" s="1575" t="s">
        <v>8</v>
      </c>
      <c r="W47" s="1576">
        <f t="shared" si="12"/>
        <v>100</v>
      </c>
      <c r="X47" s="1577"/>
      <c r="Y47" s="3751"/>
      <c r="Z47" s="1578">
        <f t="shared" si="13"/>
        <v>111</v>
      </c>
      <c r="AA47" s="1574">
        <f t="shared" si="3"/>
        <v>1</v>
      </c>
      <c r="AB47" s="1574">
        <f t="shared" si="4"/>
        <v>1</v>
      </c>
      <c r="AC47" s="1574">
        <f t="shared" si="5"/>
        <v>1</v>
      </c>
    </row>
    <row r="48" spans="1:29" ht="20.25">
      <c r="A48" s="606" t="s">
        <v>557</v>
      </c>
      <c r="B48" s="607" t="s">
        <v>3264</v>
      </c>
      <c r="C48" s="608" t="s">
        <v>1</v>
      </c>
      <c r="D48" s="609"/>
      <c r="E48" s="610">
        <v>5596</v>
      </c>
      <c r="F48" s="611"/>
      <c r="G48" s="612">
        <v>5539</v>
      </c>
      <c r="H48" s="613"/>
      <c r="I48" s="610">
        <v>6580</v>
      </c>
      <c r="J48" s="613"/>
      <c r="K48" s="1338"/>
      <c r="L48" s="2143"/>
      <c r="M48" s="2131"/>
      <c r="N48" s="2131"/>
      <c r="O48" s="2144"/>
      <c r="P48" s="3746" t="str">
        <f>A48</f>
        <v>成交单价</v>
      </c>
      <c r="Q48" s="3746"/>
      <c r="R48" s="3760">
        <f>E48</f>
        <v>5596</v>
      </c>
      <c r="S48" s="3760"/>
      <c r="T48" s="3760">
        <f>G48</f>
        <v>5539</v>
      </c>
      <c r="U48" s="3760"/>
      <c r="V48" s="3760">
        <f>I48</f>
        <v>6580</v>
      </c>
      <c r="W48" s="3760"/>
      <c r="X48" s="1557"/>
      <c r="Y48" s="1579"/>
      <c r="Z48" s="1557"/>
      <c r="AA48" s="1557"/>
      <c r="AB48" s="1557"/>
      <c r="AC48" s="1557"/>
    </row>
    <row r="49" spans="1:29" ht="21" thickBot="1">
      <c r="A49" s="614" t="s">
        <v>2699</v>
      </c>
      <c r="B49" s="615"/>
      <c r="C49" s="616">
        <f>R50</f>
        <v>5808</v>
      </c>
      <c r="D49" s="617"/>
      <c r="E49" s="616">
        <f>R49</f>
        <v>5690</v>
      </c>
      <c r="F49" s="618"/>
      <c r="G49" s="619">
        <f>T49</f>
        <v>5468</v>
      </c>
      <c r="H49" s="617"/>
      <c r="I49" s="616">
        <f>V49</f>
        <v>6265</v>
      </c>
      <c r="J49" s="617"/>
      <c r="K49" s="1339"/>
      <c r="L49" s="2143"/>
      <c r="M49" s="2131"/>
      <c r="N49" s="2131"/>
      <c r="O49" s="2144"/>
      <c r="P49" s="3746" t="str">
        <f>A49</f>
        <v>比较价格（元/平方米）</v>
      </c>
      <c r="Q49" s="3746"/>
      <c r="R49" s="3773">
        <f>ROUND(PRODUCT(R48,AA9:AA47),0)</f>
        <v>5690</v>
      </c>
      <c r="S49" s="3773"/>
      <c r="T49" s="3773">
        <f>ROUND(PRODUCT(T48,AB9:AB47),0)</f>
        <v>5468</v>
      </c>
      <c r="U49" s="3773"/>
      <c r="V49" s="3773">
        <f>ROUND(PRODUCT(V48,AC9:AC47),0)</f>
        <v>6265</v>
      </c>
      <c r="W49" s="3773"/>
      <c r="X49" s="1557"/>
      <c r="Y49" s="1557"/>
      <c r="Z49" s="1557"/>
      <c r="AA49" s="1557"/>
      <c r="AB49" s="1557"/>
      <c r="AC49" s="1557"/>
    </row>
    <row r="50" spans="1:29" ht="21" thickBot="1">
      <c r="A50" s="620" t="s">
        <v>2933</v>
      </c>
      <c r="B50" s="621"/>
      <c r="C50" s="622">
        <f>R50</f>
        <v>5808</v>
      </c>
      <c r="D50" s="622"/>
      <c r="E50" s="622"/>
      <c r="F50" s="622"/>
      <c r="G50" s="622"/>
      <c r="H50" s="622"/>
      <c r="I50" s="622"/>
      <c r="J50" s="622"/>
      <c r="K50" s="1340"/>
      <c r="L50" s="2143"/>
      <c r="M50" s="2131"/>
      <c r="N50" s="2131"/>
      <c r="O50" s="2144"/>
      <c r="P50" s="3770" t="str">
        <f>A50</f>
        <v>估价对象XX用房的比较价格（楼面单价，元/平方米）</v>
      </c>
      <c r="Q50" s="3771"/>
      <c r="R50" s="3772">
        <f>ROUND(AVERAGE(R49:V49),0)</f>
        <v>5808</v>
      </c>
      <c r="S50" s="3772"/>
      <c r="T50" s="3772"/>
      <c r="U50" s="3772"/>
      <c r="V50" s="3772"/>
      <c r="W50" s="3772"/>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1.6797712651894114E-2</v>
      </c>
      <c r="F53" s="626" t="str">
        <f>IF(OR(E53&gt;=0.3,E53&lt;=-0.3),"超过30%","")</f>
        <v/>
      </c>
      <c r="G53" s="625">
        <f>IF(G48&lt;G49,G49/G48-1,G48/G49-1)</f>
        <v>1.2984637893196815E-2</v>
      </c>
      <c r="H53" s="626" t="str">
        <f>IF(OR(G53&gt;=0.3,G53&lt;=-0.3),"超过30%","")</f>
        <v/>
      </c>
      <c r="I53" s="625">
        <f>IF(I48&lt;I49,I49/I48-1,I48/I49-1)</f>
        <v>5.027932960893855E-2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4.0599853694220922E-2</v>
      </c>
      <c r="F54" s="626" t="str">
        <f>IF(OR(E54&gt;=0.2,E54&lt;=-0.2),"超过20%","")</f>
        <v/>
      </c>
      <c r="G54" s="625">
        <f>IF(G49&lt;I49,I49/G49-1,G49/I49-1)</f>
        <v>0.14575713240673016</v>
      </c>
      <c r="H54" s="626" t="str">
        <f>IF(OR(G54&gt;=0.2,G54&lt;=-0.2),"超过20%","")</f>
        <v/>
      </c>
      <c r="I54" s="625">
        <f>IF(I49&lt;E49,E49/I49-1,I49/E49-1)</f>
        <v>0.10105448154657304</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560</v>
      </c>
      <c r="D55" s="627"/>
      <c r="E55" s="625">
        <f>IF(E48&lt;G48,G48/E48-1,E48/G48-1)</f>
        <v>1.0290666185232E-2</v>
      </c>
      <c r="F55" s="626" t="str">
        <f>IF(OR(E55&gt;=0.3,E55&lt;=-0.3),"超过30%","")</f>
        <v/>
      </c>
      <c r="G55" s="625">
        <f>IF(G48&lt;I48,I48/G48-1,G48/I48-1)</f>
        <v>0.18794006138292119</v>
      </c>
      <c r="H55" s="626" t="str">
        <f>IF(OR(G55&gt;=0.3,G55&lt;=-0.3),"超过30%","")</f>
        <v/>
      </c>
      <c r="I55" s="625">
        <f>IF(I48&lt;E48,E48/I48-1,I48/E48-1)</f>
        <v>0.17583988563259467</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561</v>
      </c>
      <c r="B57" s="629" t="s">
        <v>562</v>
      </c>
      <c r="C57" s="1558" t="s">
        <v>1726</v>
      </c>
      <c r="D57" s="2226" t="s">
        <v>2297</v>
      </c>
      <c r="E57" s="630" t="s">
        <v>563</v>
      </c>
      <c r="F57" s="631" t="s">
        <v>564</v>
      </c>
      <c r="G57" s="3730" t="s">
        <v>2285</v>
      </c>
      <c r="H57" s="3731"/>
      <c r="I57" s="1553" t="s">
        <v>1724</v>
      </c>
      <c r="J57" s="1553">
        <f>项目基本情况!F41</f>
        <v>0</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565</v>
      </c>
      <c r="B58" s="633">
        <f>C50</f>
        <v>5808</v>
      </c>
      <c r="C58" s="634">
        <v>1</v>
      </c>
      <c r="D58" s="2227">
        <v>1</v>
      </c>
      <c r="E58" s="634">
        <f>'数据-汇总表'!E8+'数据-汇总表'!E9</f>
        <v>219721</v>
      </c>
      <c r="F58" s="635">
        <f t="shared" ref="F58:F67" si="15">ROUND(B58*E58/10000,0)</f>
        <v>127614</v>
      </c>
      <c r="G58" s="3732"/>
      <c r="H58" s="3733"/>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566</v>
      </c>
      <c r="B59" s="637">
        <f>ROUND($C$50*C59*D59,0)</f>
        <v>0</v>
      </c>
      <c r="C59" s="377">
        <f t="shared" ref="C59:C67" si="16">IF($C$57="北京市系数",I59,J59)</f>
        <v>0</v>
      </c>
      <c r="D59" s="2228">
        <v>0.25</v>
      </c>
      <c r="E59" s="638">
        <v>0</v>
      </c>
      <c r="F59" s="635">
        <f t="shared" si="15"/>
        <v>0</v>
      </c>
      <c r="G59" s="3734" t="s">
        <v>2286</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567</v>
      </c>
      <c r="B60" s="637">
        <f t="shared" ref="B60:B67" si="17">ROUND($C$50*C60*D60,0)</f>
        <v>0</v>
      </c>
      <c r="C60" s="377">
        <f t="shared" si="16"/>
        <v>0</v>
      </c>
      <c r="D60" s="2228">
        <v>0.25</v>
      </c>
      <c r="E60" s="638">
        <v>0</v>
      </c>
      <c r="F60" s="635">
        <f t="shared" si="15"/>
        <v>0</v>
      </c>
      <c r="G60" s="3734"/>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568</v>
      </c>
      <c r="B61" s="637">
        <f t="shared" si="17"/>
        <v>0</v>
      </c>
      <c r="C61" s="377">
        <f t="shared" si="16"/>
        <v>0</v>
      </c>
      <c r="D61" s="2228">
        <v>0.25</v>
      </c>
      <c r="E61" s="638">
        <v>0</v>
      </c>
      <c r="F61" s="635">
        <f t="shared" si="15"/>
        <v>0</v>
      </c>
      <c r="G61" s="3734"/>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569</v>
      </c>
      <c r="B62" s="637">
        <f t="shared" si="17"/>
        <v>0</v>
      </c>
      <c r="C62" s="377">
        <f t="shared" si="16"/>
        <v>0</v>
      </c>
      <c r="D62" s="2228">
        <v>0.25</v>
      </c>
      <c r="E62" s="638">
        <v>0</v>
      </c>
      <c r="F62" s="635">
        <f t="shared" si="15"/>
        <v>0</v>
      </c>
      <c r="G62" s="3734"/>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2332</v>
      </c>
      <c r="B63" s="637">
        <f t="shared" si="17"/>
        <v>0</v>
      </c>
      <c r="C63" s="377">
        <f t="shared" si="16"/>
        <v>0</v>
      </c>
      <c r="D63" s="2228">
        <v>0.25</v>
      </c>
      <c r="E63" s="640">
        <f>'数据-汇总表'!E11</f>
        <v>0</v>
      </c>
      <c r="F63" s="635">
        <f t="shared" si="15"/>
        <v>0</v>
      </c>
      <c r="G63" s="1944" t="s">
        <v>2287</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570</v>
      </c>
      <c r="B64" s="637">
        <f t="shared" si="17"/>
        <v>0</v>
      </c>
      <c r="C64" s="377">
        <f t="shared" si="16"/>
        <v>0</v>
      </c>
      <c r="D64" s="2228">
        <v>0.25</v>
      </c>
      <c r="E64" s="640">
        <f>'数据-汇总表'!E12</f>
        <v>0</v>
      </c>
      <c r="F64" s="635">
        <f t="shared" si="15"/>
        <v>0</v>
      </c>
      <c r="G64" s="1945" t="s">
        <v>1679</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571</v>
      </c>
      <c r="B65" s="637">
        <f t="shared" si="17"/>
        <v>0</v>
      </c>
      <c r="C65" s="377">
        <f t="shared" si="16"/>
        <v>0</v>
      </c>
      <c r="D65" s="2228">
        <v>0.25</v>
      </c>
      <c r="E65" s="640">
        <f>'数据-汇总表'!E13</f>
        <v>66075</v>
      </c>
      <c r="F65" s="635">
        <f t="shared" si="15"/>
        <v>0</v>
      </c>
      <c r="G65" s="1945" t="s">
        <v>924</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572</v>
      </c>
      <c r="B66" s="637">
        <f t="shared" si="17"/>
        <v>0</v>
      </c>
      <c r="C66" s="377">
        <f t="shared" si="16"/>
        <v>0</v>
      </c>
      <c r="D66" s="2228">
        <v>0.25</v>
      </c>
      <c r="E66" s="640">
        <f>'数据-汇总表'!E14</f>
        <v>0</v>
      </c>
      <c r="F66" s="635">
        <f t="shared" si="15"/>
        <v>0</v>
      </c>
      <c r="G66" s="1944" t="s">
        <v>2286</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573</v>
      </c>
      <c r="B67" s="637">
        <f t="shared" si="17"/>
        <v>0</v>
      </c>
      <c r="C67" s="377">
        <f t="shared" si="16"/>
        <v>0</v>
      </c>
      <c r="D67" s="2228">
        <v>0.25</v>
      </c>
      <c r="E67" s="640">
        <f>'数据-汇总表'!E15</f>
        <v>0</v>
      </c>
      <c r="F67" s="635">
        <f t="shared" si="15"/>
        <v>0</v>
      </c>
      <c r="G67" s="1946" t="s">
        <v>2287</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574</v>
      </c>
      <c r="B68" s="642" t="s">
        <v>17</v>
      </c>
      <c r="C68" s="642" t="s">
        <v>18</v>
      </c>
      <c r="D68" s="642" t="s">
        <v>2298</v>
      </c>
      <c r="E68" s="642">
        <f>IF(B48="楼面地价",SUM(E58:E67),'数据-汇总表'!D3)</f>
        <v>285796</v>
      </c>
      <c r="F68" s="643">
        <f>IF(B48="楼面地价",SUM(F58:F67),ROUND(C50*E68/10000,0))</f>
        <v>127614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2018-3-1</v>
      </c>
      <c r="D70" s="2823">
        <f>EDATE(C70,-3)</f>
        <v>43070</v>
      </c>
      <c r="E70" s="2823">
        <f t="shared" ref="E70:N70" si="18">EDATE(D70,-3)</f>
        <v>42979</v>
      </c>
      <c r="F70" s="2823">
        <f t="shared" si="18"/>
        <v>42887</v>
      </c>
      <c r="G70" s="2823">
        <f t="shared" si="18"/>
        <v>42795</v>
      </c>
      <c r="H70" s="2823">
        <f t="shared" si="18"/>
        <v>42705</v>
      </c>
      <c r="I70" s="2823">
        <f t="shared" si="18"/>
        <v>42614</v>
      </c>
      <c r="J70" s="2823">
        <f t="shared" si="18"/>
        <v>42522</v>
      </c>
      <c r="K70" s="2823">
        <f t="shared" si="18"/>
        <v>42430</v>
      </c>
      <c r="L70" s="2823">
        <f t="shared" si="18"/>
        <v>42339</v>
      </c>
      <c r="M70" s="2823">
        <f t="shared" si="18"/>
        <v>42248</v>
      </c>
      <c r="N70" s="2823">
        <f t="shared" si="18"/>
        <v>42156</v>
      </c>
      <c r="O70" s="2144"/>
      <c r="P70" s="2144"/>
      <c r="Q70" s="2144"/>
      <c r="R70" s="2144"/>
      <c r="S70" s="2144"/>
      <c r="T70" s="2144"/>
      <c r="U70" s="2144"/>
      <c r="V70" s="2144"/>
      <c r="W70" s="2144"/>
      <c r="X70" s="2144"/>
      <c r="Y70" s="2144"/>
      <c r="Z70" s="2144"/>
      <c r="AA70" s="2144"/>
      <c r="AB70" s="2144"/>
      <c r="AC70" s="2144"/>
    </row>
    <row r="71" spans="1:29" ht="21.75" thickBot="1">
      <c r="A71" s="1582" t="s">
        <v>575</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2538</v>
      </c>
      <c r="B72" s="2592"/>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8" customFormat="1" ht="27" customHeight="1">
      <c r="A73" s="2830" t="s">
        <v>2653</v>
      </c>
      <c r="B73" s="478" t="str">
        <f>"北京市平均增长率"&amp;TEXT(SUMIF(基准地价!N21:N25,A73,基准地价!P21:P25),"0.00%")</f>
        <v>北京市平均增长率2.30%</v>
      </c>
      <c r="C73" s="892">
        <v>100</v>
      </c>
      <c r="D73" s="729">
        <v>99</v>
      </c>
      <c r="E73" s="729"/>
      <c r="F73" s="729"/>
      <c r="G73" s="729"/>
      <c r="H73" s="729"/>
      <c r="I73" s="729"/>
      <c r="J73" s="729"/>
      <c r="K73" s="729"/>
      <c r="L73" s="729"/>
      <c r="M73" s="2816"/>
      <c r="N73" s="2817"/>
      <c r="O73" s="2161"/>
      <c r="P73" s="2157"/>
      <c r="Q73" s="1992"/>
      <c r="R73" s="1992"/>
      <c r="S73" s="1992"/>
      <c r="T73" s="1992"/>
      <c r="U73" s="1992"/>
      <c r="V73" s="1992"/>
      <c r="W73" s="1992"/>
      <c r="X73" s="1992"/>
      <c r="Y73" s="1992"/>
      <c r="Z73" s="1992"/>
      <c r="AA73" s="1992"/>
      <c r="AB73" s="1992"/>
      <c r="AC73" s="1992"/>
    </row>
    <row r="74" spans="1:29" s="1218" customFormat="1" ht="15" customHeight="1" thickBot="1">
      <c r="A74" s="2820" t="s">
        <v>2652</v>
      </c>
      <c r="B74" s="2829"/>
      <c r="C74" s="2814"/>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8" customFormat="1" ht="15">
      <c r="A75" s="658" t="s">
        <v>532</v>
      </c>
      <c r="B75" s="647"/>
      <c r="C75" s="659" t="s">
        <v>577</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578</v>
      </c>
      <c r="B77" s="664" t="s">
        <v>535</v>
      </c>
      <c r="C77" s="3536" t="s">
        <v>3289</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539</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v>6</v>
      </c>
      <c r="J82" s="540">
        <v>7</v>
      </c>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687"/>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t="str">
        <f>B15</f>
        <v>溢价</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99</v>
      </c>
      <c r="E95" s="678">
        <f>D95-$K21</f>
        <v>98</v>
      </c>
      <c r="F95" s="678">
        <f>E95-$K21</f>
        <v>97</v>
      </c>
      <c r="G95" s="678">
        <f>F95-$K21</f>
        <v>96</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90</v>
      </c>
      <c r="E101" s="678">
        <f>D101-$K27</f>
        <v>80</v>
      </c>
      <c r="F101" s="678">
        <f>E101-$K27</f>
        <v>70</v>
      </c>
      <c r="G101" s="678">
        <f>F101-$K27</f>
        <v>60</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2554</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620" t="s">
        <v>2556</v>
      </c>
      <c r="C104" s="2621" t="s">
        <v>2557</v>
      </c>
      <c r="D104" s="2621" t="s">
        <v>2558</v>
      </c>
      <c r="E104" s="2621" t="s">
        <v>2559</v>
      </c>
      <c r="F104" s="2621" t="s">
        <v>2560</v>
      </c>
      <c r="G104" s="2621" t="s">
        <v>2561</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3537" t="s">
        <v>3294</v>
      </c>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550</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552</v>
      </c>
      <c r="B118" s="664" t="s">
        <v>594</v>
      </c>
      <c r="C118" s="703" t="str">
        <f t="shared" ref="C118:L118" si="25">C119&amp;"(含)"&amp;"-"&amp;D119</f>
        <v>0(含)-50000</v>
      </c>
      <c r="D118" s="703" t="str">
        <f t="shared" si="25"/>
        <v>50000(含)-100000</v>
      </c>
      <c r="E118" s="703" t="str">
        <f t="shared" si="25"/>
        <v>100000(含)-150000</v>
      </c>
      <c r="F118" s="703" t="str">
        <f t="shared" si="25"/>
        <v>150000(含)-</v>
      </c>
      <c r="G118" s="703" t="str">
        <f t="shared" si="25"/>
        <v>(含)-</v>
      </c>
      <c r="H118" s="703" t="str">
        <f t="shared" si="25"/>
        <v>(含)-</v>
      </c>
      <c r="I118" s="703" t="str">
        <f t="shared" si="25"/>
        <v>(含)-</v>
      </c>
      <c r="J118" s="3117" t="str">
        <f t="shared" si="25"/>
        <v>(含)-</v>
      </c>
      <c r="K118" s="3117" t="str">
        <f t="shared" si="25"/>
        <v>(含)-</v>
      </c>
      <c r="L118" s="3118" t="str">
        <f t="shared" si="25"/>
        <v>(含)-</v>
      </c>
      <c r="M118" s="311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v>
      </c>
      <c r="E119" s="729">
        <v>100000</v>
      </c>
      <c r="F119" s="729">
        <v>150000</v>
      </c>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100</v>
      </c>
      <c r="E120" s="699">
        <v>100</v>
      </c>
      <c r="F120" s="725">
        <v>100</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3538" t="s">
        <v>3296</v>
      </c>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596</v>
      </c>
      <c r="C123" s="3537" t="s">
        <v>3298</v>
      </c>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2429</v>
      </c>
      <c r="C125" s="1373" t="s">
        <v>3300</v>
      </c>
      <c r="D125" s="1373"/>
      <c r="E125" s="1373"/>
      <c r="F125" s="1373"/>
      <c r="G125" s="1373"/>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3537" t="s">
        <v>3301</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2662</v>
      </c>
      <c r="B1" s="2915" t="s">
        <v>2759</v>
      </c>
    </row>
    <row r="2" spans="1:55" s="2919" customFormat="1" ht="15" thickTop="1">
      <c r="A2" s="2917" t="s">
        <v>2666</v>
      </c>
      <c r="B2" s="2918" t="str">
        <f>'预评函-封皮'!B37</f>
        <v>出让国有建设用地使用权抵押价格预评估</v>
      </c>
      <c r="AX2" s="2920"/>
      <c r="AZ2" s="2920"/>
      <c r="BA2" s="2921"/>
      <c r="BC2" s="2921"/>
    </row>
    <row r="3" spans="1:55" s="2922" customFormat="1">
      <c r="A3" s="2901" t="s">
        <v>2667</v>
      </c>
      <c r="B3" s="2904">
        <f>'预评函-封皮'!B40</f>
        <v>0</v>
      </c>
    </row>
    <row r="4" spans="1:55" s="2903" customFormat="1">
      <c r="A4" s="2901" t="s">
        <v>2668</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2669</v>
      </c>
      <c r="B5" s="2924" t="str">
        <f>'预评函-封皮'!B49</f>
        <v>康正预评字号</v>
      </c>
    </row>
    <row r="6" spans="1:55" s="2925" customFormat="1" ht="15" thickTop="1">
      <c r="A6" s="2917" t="s">
        <v>2711</v>
      </c>
      <c r="B6" s="2918" t="str">
        <f>'预评函-1'!A4</f>
        <v>受贵公司委托，我公司对出让国有建设用地使用权抵押价格进行了预评估。</v>
      </c>
      <c r="AM6" s="2926"/>
    </row>
    <row r="7" spans="1:55" s="2900" customFormat="1">
      <c r="A7" s="2901" t="s">
        <v>2663</v>
      </c>
      <c r="B7" s="2902" t="str">
        <f>'预评函-1'!A6</f>
        <v>估价对象为使用的、位于出让国有建设用地使用权。根据《国有土地使用证》[]，估价对象（分摊）出让国有建设用地使用权面积为96912.82平方米。根据《建设工程规划许可证》[]、《出让合同》[]，估价对象规划建筑面积为287739平方米。</v>
      </c>
    </row>
    <row r="8" spans="1:55" s="2900" customFormat="1">
      <c r="A8" s="2901" t="s">
        <v>2664</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2714</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2665</v>
      </c>
      <c r="B10" s="2902" t="str">
        <f>'预评函-1'!A11</f>
        <v>2018年3月12日（评估专业人员勘察现场之日）</v>
      </c>
    </row>
    <row r="11" spans="1:55" s="2900" customFormat="1">
      <c r="A11" s="2901" t="s">
        <v>2671</v>
      </c>
      <c r="B11" s="2902" t="str">
        <f>'预评函-1'!A14</f>
        <v>根据《国有土地使用证》[]，本次评估估价对象证载（地类）用途为。</v>
      </c>
    </row>
    <row r="12" spans="1:55" s="2900" customFormat="1">
      <c r="A12" s="2901" t="s">
        <v>2672</v>
      </c>
      <c r="B12" s="2902" t="str">
        <f>'预评函-1'!A15</f>
        <v>本次评估设定用途即为证载用途。</v>
      </c>
    </row>
    <row r="13" spans="1:55" s="2900" customFormat="1">
      <c r="A13" s="2901" t="s">
        <v>2673</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2674</v>
      </c>
      <c r="B14" s="2902" t="str">
        <f>'预评函-1'!A18</f>
        <v>。本次评估设定土地开发程度为红线外市政基础设施达“七通”、宗地红线内场地平整。</v>
      </c>
    </row>
    <row r="15" spans="1:55" s="2900" customFormat="1">
      <c r="A15" s="2901" t="s">
        <v>2670</v>
      </c>
      <c r="B15" s="2902" t="str">
        <f>'预评函-1'!A20</f>
        <v>根据《国有土地使用证》[]，估价对象（分摊）出让国有建设用地使用权面积为96912.82平方米。根据《建设工程规划许可证》[]、《出让合同》[]，估价对象规划建筑面积为287739平方米。</v>
      </c>
    </row>
    <row r="16" spans="1:55" s="2900" customFormat="1">
      <c r="A16" s="2901" t="s">
        <v>2675</v>
      </c>
      <c r="B16" s="290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10月14日、商业2050年10月14日地下车库2060年10月14日。截至估价期日，出让国有建设用地使用权剩余土地使用年限为。</v>
      </c>
    </row>
    <row r="17" spans="1:48" s="2900" customFormat="1">
      <c r="A17" s="2901" t="s">
        <v>2676</v>
      </c>
      <c r="B17" s="2902" t="str">
        <f>'预评函-1'!A23</f>
        <v>本次评估设定估价对象剩余土地使用年限为。</v>
      </c>
    </row>
    <row r="18" spans="1:48" s="2900" customFormat="1">
      <c r="A18" s="2901" t="s">
        <v>2677</v>
      </c>
      <c r="B18" s="2902" t="str">
        <f>'预评函-1'!A25</f>
        <v>本次估价的“出让国有建设用地使用权价格”是指在估价对象土地所有权为国家所有，使用权性质为出让，在公开市场条件下、于估价期日2018年3月12日，在规划利用条件下、设定土地开发程度为红线外“七通”、宗地内场地，设定用途为，剩余土地使用年限为的出让国有建设用地使用权价格。</v>
      </c>
    </row>
    <row r="19" spans="1:48" s="2900" customFormat="1">
      <c r="A19" s="2901" t="s">
        <v>2678</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2679</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2680</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2681</v>
      </c>
      <c r="B22" s="291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1" t="s">
        <v>2682</v>
      </c>
      <c r="B23" s="2902" t="str">
        <f>'预评函-2'!K2</f>
        <v>估价期日：2018年3月12日</v>
      </c>
    </row>
    <row r="24" spans="1:48">
      <c r="A24" s="2901" t="s">
        <v>2683</v>
      </c>
      <c r="B24" s="2902" t="str">
        <f>'预评函-2'!R2</f>
        <v>估价期日的国有建设用地使用权性质：出让</v>
      </c>
    </row>
    <row r="25" spans="1:48">
      <c r="A25" s="2901" t="s">
        <v>2739</v>
      </c>
      <c r="B25" s="2902" t="str">
        <f>'预评函-2'!A3</f>
        <v>估价期日土地使用者</v>
      </c>
    </row>
    <row r="26" spans="1:48">
      <c r="A26" s="2901" t="s">
        <v>2715</v>
      </c>
      <c r="B26" s="2902" t="str">
        <f>'预评函-2'!A5</f>
        <v>中信开发</v>
      </c>
    </row>
    <row r="27" spans="1:48">
      <c r="A27" s="2901" t="s">
        <v>2740</v>
      </c>
      <c r="B27" s="2902" t="str">
        <f>'预评函-2'!B3</f>
        <v>宗地编号/不动产单元号</v>
      </c>
    </row>
    <row r="28" spans="1:48">
      <c r="A28" s="2901" t="s">
        <v>2716</v>
      </c>
      <c r="B28" s="2902" t="str">
        <f>'预评函-2'!B5</f>
        <v>11111111111</v>
      </c>
    </row>
    <row r="29" spans="1:48">
      <c r="A29" s="2901" t="s">
        <v>2742</v>
      </c>
      <c r="B29" s="2902">
        <f>'预评函-2'!C5</f>
        <v>22</v>
      </c>
    </row>
    <row r="30" spans="1:48">
      <c r="A30" s="2901" t="s">
        <v>2743</v>
      </c>
      <c r="B30" s="2902" t="str">
        <f>'预评函-2'!D3</f>
        <v>土地使用证编号/不动产权证书编号</v>
      </c>
    </row>
    <row r="31" spans="1:48">
      <c r="A31" s="2901" t="s">
        <v>2717</v>
      </c>
      <c r="B31" s="2902" t="str">
        <f>'预评函-2'!D5</f>
        <v>京国土字第111号</v>
      </c>
    </row>
    <row r="32" spans="1:48">
      <c r="A32" s="2901" t="s">
        <v>2718</v>
      </c>
      <c r="B32" s="2902">
        <f>'预评函-2'!E5</f>
        <v>0</v>
      </c>
      <c r="AV32" s="2906"/>
    </row>
    <row r="33" spans="1:2">
      <c r="A33" s="2901" t="s">
        <v>2719</v>
      </c>
      <c r="B33" s="2902">
        <f>'预评函-2'!F5</f>
        <v>258</v>
      </c>
    </row>
    <row r="34" spans="1:2">
      <c r="A34" s="2901" t="s">
        <v>2720</v>
      </c>
      <c r="B34" s="2902">
        <f>'预评函-2'!G5</f>
        <v>0</v>
      </c>
    </row>
    <row r="35" spans="1:2">
      <c r="A35" s="2901" t="s">
        <v>2721</v>
      </c>
      <c r="B35" s="2902">
        <f>'预评函-2'!H5</f>
        <v>1.5</v>
      </c>
    </row>
    <row r="36" spans="1:2">
      <c r="A36" s="2901" t="s">
        <v>2722</v>
      </c>
      <c r="B36" s="2902">
        <f>'预评函-2'!I5</f>
        <v>1.5</v>
      </c>
    </row>
    <row r="37" spans="1:2">
      <c r="A37" s="2901" t="s">
        <v>2723</v>
      </c>
      <c r="B37" s="2902">
        <f>'预评函-2'!J5</f>
        <v>1.5</v>
      </c>
    </row>
    <row r="38" spans="1:2">
      <c r="A38" s="2901" t="s">
        <v>2724</v>
      </c>
      <c r="B38" s="2902" t="str">
        <f>'预评函-2'!K5</f>
        <v>红线外七通、宗地红线内</v>
      </c>
    </row>
    <row r="39" spans="1:2">
      <c r="A39" s="2901" t="s">
        <v>2725</v>
      </c>
      <c r="B39" s="2902" t="str">
        <f>'预评函-2'!L5</f>
        <v>红线外七通、宗地红线内场地</v>
      </c>
    </row>
    <row r="40" spans="1:2">
      <c r="A40" s="2901" t="s">
        <v>2744</v>
      </c>
      <c r="B40" s="2902" t="str">
        <f>'预评函-2'!M3</f>
        <v>（剩余）土地使用年限/年</v>
      </c>
    </row>
    <row r="41" spans="1:2">
      <c r="A41" s="2901" t="s">
        <v>2726</v>
      </c>
      <c r="B41" s="2902">
        <f>'预评函-2'!M5</f>
        <v>0</v>
      </c>
    </row>
    <row r="42" spans="1:2">
      <c r="A42" s="2901" t="s">
        <v>2745</v>
      </c>
      <c r="B42" s="2902" t="str">
        <f>'预评函-2'!N3</f>
        <v>（分摊）出让国有建设用地使用权面积/㎡</v>
      </c>
    </row>
    <row r="43" spans="1:2">
      <c r="A43" s="2901" t="s">
        <v>2727</v>
      </c>
      <c r="B43" s="2902">
        <f>'预评函-2'!N5</f>
        <v>96912.82</v>
      </c>
    </row>
    <row r="44" spans="1:2">
      <c r="A44" s="2901" t="s">
        <v>2746</v>
      </c>
      <c r="B44" s="2902" t="str">
        <f>'预评函-2'!O3</f>
        <v>规划建筑面积/㎡</v>
      </c>
    </row>
    <row r="45" spans="1:2">
      <c r="A45" s="2901" t="s">
        <v>2728</v>
      </c>
      <c r="B45" s="2902">
        <f>'预评函-2'!O5</f>
        <v>287739</v>
      </c>
    </row>
    <row r="46" spans="1:2">
      <c r="A46" s="2901" t="s">
        <v>2729</v>
      </c>
      <c r="B46" s="2902">
        <f ca="1">'预评函-2'!P5</f>
        <v>13940</v>
      </c>
    </row>
    <row r="47" spans="1:2">
      <c r="A47" s="2901" t="s">
        <v>2730</v>
      </c>
      <c r="B47" s="2902">
        <f ca="1">'预评函-2'!Q5</f>
        <v>4695</v>
      </c>
    </row>
    <row r="48" spans="1:2">
      <c r="A48" s="2901" t="s">
        <v>2731</v>
      </c>
      <c r="B48" s="2902">
        <f ca="1">'预评函-2'!R5</f>
        <v>135095</v>
      </c>
    </row>
    <row r="49" spans="1:2">
      <c r="A49" s="2901" t="s">
        <v>2747</v>
      </c>
      <c r="B49" s="2902" t="str">
        <f>'预评函-2'!A6</f>
        <v>抵押价格</v>
      </c>
    </row>
    <row r="50" spans="1:2">
      <c r="A50" s="2901" t="s">
        <v>2732</v>
      </c>
      <c r="B50" s="2902">
        <f ca="1">'预评函-2'!R6</f>
        <v>135095</v>
      </c>
    </row>
    <row r="51" spans="1:2">
      <c r="A51" s="2901" t="s">
        <v>2748</v>
      </c>
      <c r="B51" s="2902" t="str">
        <f>'预评函-2'!A7</f>
        <v>——</v>
      </c>
    </row>
    <row r="52" spans="1:2">
      <c r="A52" s="2901" t="s">
        <v>2733</v>
      </c>
      <c r="B52" s="2902" t="str">
        <f>'预评函-2'!R7</f>
        <v>——</v>
      </c>
    </row>
    <row r="53" spans="1:2">
      <c r="A53" s="2901" t="s">
        <v>2749</v>
      </c>
      <c r="B53" s="2902">
        <f>'预评函-2'!A8</f>
        <v>0</v>
      </c>
    </row>
    <row r="54" spans="1:2" s="2916" customFormat="1" ht="15" thickBot="1">
      <c r="A54" s="2923" t="s">
        <v>2734</v>
      </c>
      <c r="B54" s="2924" t="str">
        <f>'预评函-2'!R8</f>
        <v>——</v>
      </c>
    </row>
    <row r="55" spans="1:2" ht="15" thickTop="1">
      <c r="A55" s="2912" t="s">
        <v>2684</v>
      </c>
      <c r="B55" s="2913" t="str">
        <f>'预评函-3'!A2</f>
        <v>1.权利限制：根据估价对象《不动产权证书》原件、《国有土地使用权》复印件，截至估价期日，估价对象抵押权未见登记。未设定租赁等其他他项权利。</v>
      </c>
    </row>
    <row r="56" spans="1:2">
      <c r="A56" s="2901" t="s">
        <v>2685</v>
      </c>
      <c r="B56" s="2902" t="str">
        <f>'预评函-3'!A3</f>
        <v>2.基础设施条件：估价对象实际开发程度为红线外七通、宗地红线内；本次评估设定开发程度为红线外七通、宗地红线内场地。</v>
      </c>
    </row>
    <row r="57" spans="1:2">
      <c r="A57" s="2901" t="s">
        <v>2686</v>
      </c>
      <c r="B57" s="2902" t="str">
        <f>'预评函-3'!A4</f>
        <v>3.估价规划限制条件：详见《建设工程规划许可证》[]、《出让合同》[]。</v>
      </c>
    </row>
    <row r="58" spans="1:2" s="2916" customFormat="1" ht="15" thickBot="1">
      <c r="A58" s="2923" t="s">
        <v>2735</v>
      </c>
      <c r="B58" s="2924" t="str">
        <f>'预评函-3'!A5</f>
        <v>4.影响价格的其他限定条件：无。</v>
      </c>
    </row>
    <row r="59" spans="1:2" ht="15" thickTop="1">
      <c r="A59" s="2912" t="s">
        <v>2687</v>
      </c>
      <c r="B59" s="2913" t="str">
        <f>'预评函-3'!A8</f>
        <v>2.本《评估意见函》仅供金融机构进行内部审核使用，不做其他目的之用。</v>
      </c>
    </row>
    <row r="60" spans="1:2">
      <c r="A60" s="2901" t="s">
        <v>2688</v>
      </c>
      <c r="B60" s="2902" t="str">
        <f>'预评函-3'!A9</f>
        <v>3.抵押双方在办理抵押登记手续时，应使用本公司出具的正式《土地估价报告》，特提请报告使用者注意。</v>
      </c>
    </row>
    <row r="61" spans="1:2">
      <c r="A61" s="2901" t="s">
        <v>2690</v>
      </c>
      <c r="B61" s="2902" t="str">
        <f>'预评函-3'!A10</f>
        <v>4.估价师所知悉的法定优先受偿款情况为：</v>
      </c>
    </row>
    <row r="62" spans="1:2">
      <c r="A62" s="2901" t="s">
        <v>2689</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2691</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2692</v>
      </c>
      <c r="B64" s="2907" t="str">
        <f>'预评函-3'!A13</f>
        <v>（3）。</v>
      </c>
    </row>
    <row r="65" spans="1:2">
      <c r="A65" s="2901" t="s">
        <v>2693</v>
      </c>
      <c r="B65" s="2908" t="str">
        <f>'预评函-3'!A14</f>
        <v>综上，本次评估不存在估价师知悉的法定优先受偿款</v>
      </c>
    </row>
    <row r="66" spans="1:2">
      <c r="A66" s="2901" t="s">
        <v>2694</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2695</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2698</v>
      </c>
      <c r="B68" s="2927">
        <f>'预评函-3'!D30</f>
        <v>42558</v>
      </c>
    </row>
    <row r="69" spans="1:2" ht="15" thickTop="1">
      <c r="A69" s="2912" t="s">
        <v>2696</v>
      </c>
      <c r="B69" s="2913" t="str">
        <f>'预评函-3'!A20</f>
        <v>土地估价师</v>
      </c>
    </row>
    <row r="70" spans="1:2">
      <c r="A70" s="2901" t="s">
        <v>2696</v>
      </c>
      <c r="B70" s="2908">
        <f>'预评函-3'!B20</f>
        <v>0</v>
      </c>
    </row>
    <row r="71" spans="1:2">
      <c r="A71" s="2901" t="s">
        <v>2697</v>
      </c>
      <c r="B71" s="2902" t="str">
        <f>'预评函-3'!A21</f>
        <v>土地估价师</v>
      </c>
    </row>
    <row r="72" spans="1:2" s="2916" customFormat="1" ht="15" thickBot="1">
      <c r="A72" s="2923" t="s">
        <v>2697</v>
      </c>
      <c r="B72" s="2929">
        <f>'预评函-3'!B21</f>
        <v>0</v>
      </c>
    </row>
    <row r="73" spans="1:2" ht="15" thickTop="1">
      <c r="A73" s="2912" t="s">
        <v>2756</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2757</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2758</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2793</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9" sqref="M29"/>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3"/>
      <c r="C1" s="2103"/>
      <c r="D1" s="2103"/>
      <c r="E1" s="2103"/>
      <c r="F1" s="2103"/>
      <c r="G1" s="2103"/>
      <c r="H1" s="2103"/>
      <c r="I1" s="2103"/>
      <c r="J1" s="2103"/>
      <c r="K1" s="421">
        <f>MATCH(B1,'数据-取费表'!A6:A16,0)+5</f>
        <v>9</v>
      </c>
    </row>
    <row r="2" spans="1:31" s="2040" customFormat="1" ht="18" customHeight="1">
      <c r="A2" s="2100" t="s">
        <v>467</v>
      </c>
      <c r="B2" s="2104">
        <f ca="1">C36</f>
        <v>142575</v>
      </c>
      <c r="C2" s="2103"/>
      <c r="D2" s="2103"/>
      <c r="E2" s="2103"/>
      <c r="F2" s="2103"/>
      <c r="G2" s="2103"/>
      <c r="H2" s="2103"/>
      <c r="I2" s="2103"/>
      <c r="J2" s="2103"/>
      <c r="K2" s="2103"/>
    </row>
    <row r="3" spans="1:31" s="2040" customFormat="1" ht="18" customHeight="1">
      <c r="A3" s="2105" t="s">
        <v>1686</v>
      </c>
      <c r="B3" s="2106">
        <f ca="1">ROUND(B2*10000/IF(B1="",'数据-汇总表'!E3,INDIRECT("'数据-取费表'!K"&amp;$K$1)),0)</f>
        <v>4955</v>
      </c>
      <c r="C3" s="2103"/>
      <c r="D3" s="2103"/>
      <c r="E3" s="2103"/>
      <c r="F3" s="2103"/>
      <c r="G3" s="2103"/>
      <c r="H3" s="2103"/>
      <c r="I3" s="2103"/>
      <c r="J3" s="2103"/>
      <c r="K3" s="2103"/>
    </row>
    <row r="4" spans="1:31" s="2040" customFormat="1" ht="18" customHeight="1">
      <c r="A4" s="425" t="s">
        <v>468</v>
      </c>
      <c r="B4" s="426">
        <f ca="1">ROUND(B2*10000/IF(B1="",'数据-汇总表'!D3,INDIRECT("'数据-取费表'!R"&amp;$K$1)),0)</f>
        <v>14712</v>
      </c>
      <c r="C4" s="427"/>
      <c r="D4" s="421"/>
      <c r="E4" s="421"/>
      <c r="F4" s="421"/>
      <c r="G4" s="421"/>
      <c r="H4" s="421"/>
      <c r="I4" s="421"/>
      <c r="J4" s="421"/>
      <c r="K4" s="421"/>
    </row>
    <row r="5" spans="1:31" s="2040" customFormat="1" ht="18" customHeight="1" thickBot="1">
      <c r="A5" s="428"/>
      <c r="B5" s="429">
        <f ca="1">ROUND(B2/(IF(B1="",'数据-汇总表'!D3,INDIRECT("'数据-取费表'!R"&amp;$K$1))/666.67),0)</f>
        <v>981</v>
      </c>
      <c r="C5" s="430" t="s">
        <v>469</v>
      </c>
      <c r="D5" s="421"/>
      <c r="E5" s="421"/>
      <c r="F5" s="421"/>
      <c r="G5" s="421"/>
      <c r="H5" s="421"/>
      <c r="I5" s="421"/>
      <c r="J5" s="421"/>
      <c r="K5" s="421"/>
    </row>
    <row r="6" spans="1:31" s="2110" customFormat="1" ht="16.5" customHeight="1">
      <c r="A6" s="2852" t="s">
        <v>1844</v>
      </c>
      <c r="B6" s="2853"/>
      <c r="C6" s="2854">
        <f ca="1">SUM(C10:K10)</f>
        <v>254268</v>
      </c>
      <c r="D6" s="2853"/>
      <c r="E6" s="2853"/>
      <c r="F6" s="2853"/>
      <c r="G6" s="2853"/>
      <c r="H6" s="2853"/>
      <c r="I6" s="2853"/>
      <c r="J6" s="2853"/>
      <c r="K6" s="2855"/>
    </row>
    <row r="7" spans="1:31" s="2112" customFormat="1" ht="15">
      <c r="A7" s="2856" t="s">
        <v>470</v>
      </c>
      <c r="B7" s="2857" t="s">
        <v>471</v>
      </c>
      <c r="C7" s="435" t="s">
        <v>3237</v>
      </c>
      <c r="D7" s="435" t="s">
        <v>3239</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1847</v>
      </c>
      <c r="B8" s="260" t="s">
        <v>472</v>
      </c>
      <c r="C8" s="2858">
        <f>'高层-住宅'!C49</f>
        <v>10375</v>
      </c>
      <c r="D8" s="2858">
        <f>'洋房-住宅'!B3</f>
        <v>12893</v>
      </c>
      <c r="E8" s="2858">
        <f ca="1">车库收益法!B3</f>
        <v>2912</v>
      </c>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1848</v>
      </c>
      <c r="B9" s="260" t="s">
        <v>473</v>
      </c>
      <c r="C9" s="440">
        <f>SUMIF('数据-汇总表'!$C19:$C33,'剩余法-待开发'!C7,'数据-汇总表'!$E19:$E33)</f>
        <v>157403</v>
      </c>
      <c r="D9" s="440">
        <f>SUMIF('数据-汇总表'!$C19:$C33,'剩余法-待开发'!D7,'数据-汇总表'!$E19:$E33)</f>
        <v>55628</v>
      </c>
      <c r="E9" s="440">
        <f>SUMIF('数据-汇总表'!$C19:$C33,'剩余法-待开发'!E7,'数据-汇总表'!$E19:$E33)</f>
        <v>66075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v>1690</v>
      </c>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1849</v>
      </c>
      <c r="B10" s="2846" t="s">
        <v>474</v>
      </c>
      <c r="C10" s="3053">
        <f>'高层-住宅'!B2</f>
        <v>163306</v>
      </c>
      <c r="D10" s="3053">
        <f>'洋房-住宅'!B2</f>
        <v>71721</v>
      </c>
      <c r="E10" s="3053">
        <f ca="1">车库收益法!B2</f>
        <v>19241</v>
      </c>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1845</v>
      </c>
      <c r="B11" s="2853"/>
      <c r="C11" s="2853"/>
      <c r="D11" s="2853"/>
      <c r="E11" s="2853"/>
      <c r="F11" s="2853"/>
      <c r="G11" s="2853"/>
      <c r="H11" s="2853"/>
      <c r="I11" s="2853"/>
      <c r="J11" s="2853"/>
      <c r="K11" s="2855"/>
    </row>
    <row r="12" spans="1:31" s="2084" customFormat="1" ht="13.5" customHeight="1">
      <c r="A12" s="2864" t="s">
        <v>470</v>
      </c>
      <c r="B12" s="2836" t="s">
        <v>471</v>
      </c>
      <c r="C12" s="2865" t="s">
        <v>475</v>
      </c>
      <c r="D12" s="2832" t="s">
        <v>476</v>
      </c>
      <c r="E12" s="2832" t="s">
        <v>477</v>
      </c>
      <c r="F12" s="2832" t="s">
        <v>478</v>
      </c>
      <c r="G12" s="2836"/>
      <c r="H12" s="2837"/>
      <c r="I12" s="2837"/>
      <c r="J12" s="2837"/>
      <c r="K12" s="2838"/>
    </row>
    <row r="13" spans="1:31" s="2115" customFormat="1" ht="13.5" customHeight="1">
      <c r="A13" s="2866" t="s">
        <v>1850</v>
      </c>
      <c r="B13" s="2867" t="s">
        <v>479</v>
      </c>
      <c r="C13" s="449">
        <f ca="1">IF(B1="",'数据-取费表'!P16,INDIRECT("'数据-取费表'!p"&amp;$K$1)+INDIRECT("'数据-取费表'!t"&amp;$K$1))</f>
        <v>49186</v>
      </c>
      <c r="D13" s="2868"/>
      <c r="E13" s="2869"/>
      <c r="F13" s="2870"/>
      <c r="G13" s="2836"/>
      <c r="H13" s="2837"/>
      <c r="I13" s="2837"/>
      <c r="J13" s="2837"/>
      <c r="K13" s="2838"/>
    </row>
    <row r="14" spans="1:31" s="2115" customFormat="1" ht="13.5" customHeight="1">
      <c r="A14" s="2866" t="s">
        <v>1851</v>
      </c>
      <c r="B14" s="2867" t="s">
        <v>480</v>
      </c>
      <c r="C14" s="52">
        <f ca="1">ROUND(C13*F14,0)</f>
        <v>1476</v>
      </c>
      <c r="D14" s="2868"/>
      <c r="E14" s="2869"/>
      <c r="F14" s="2871">
        <f>'数据-取费表'!B33</f>
        <v>0.03</v>
      </c>
      <c r="G14" s="2836" t="s">
        <v>481</v>
      </c>
      <c r="H14" s="2837"/>
      <c r="I14" s="2837"/>
      <c r="J14" s="2837"/>
      <c r="K14" s="2838"/>
    </row>
    <row r="15" spans="1:31" s="2115" customFormat="1" ht="13.5" customHeight="1">
      <c r="A15" s="2866" t="s">
        <v>1852</v>
      </c>
      <c r="B15" s="2867" t="s">
        <v>482</v>
      </c>
      <c r="C15" s="52">
        <f ca="1">ROUND(IF(B1="",SUMIF('数据-取费表'!C:C,"住宅",'数据-取费表'!P:P)*F15,IF(INDIRECT("'数据-取费表'!c"&amp;$K$1)="住宅",INDIRECT("'数据-取费表'!P"&amp;$K$1)*F15,0)),0)</f>
        <v>1117</v>
      </c>
      <c r="D15" s="2868"/>
      <c r="E15" s="2869"/>
      <c r="F15" s="2871">
        <f>'数据-取费表'!B34</f>
        <v>0.03</v>
      </c>
      <c r="G15" s="2836" t="s">
        <v>483</v>
      </c>
      <c r="H15" s="2837"/>
      <c r="I15" s="2837"/>
      <c r="J15" s="2837"/>
      <c r="K15" s="2838"/>
    </row>
    <row r="16" spans="1:31" s="2116" customFormat="1" ht="13.5" customHeight="1">
      <c r="A16" s="2866" t="s">
        <v>1853</v>
      </c>
      <c r="B16" s="2867" t="s">
        <v>484</v>
      </c>
      <c r="C16" s="52">
        <f ca="1">ROUND(D16*E16/10000,0)</f>
        <v>4316</v>
      </c>
      <c r="D16" s="2868">
        <f ca="1">IF(B1="",'数据-汇总表'!E3,INDIRECT("'数据-取费表'!K"&amp;$K$1)+INDIRECT("'数据-取费表'!S"&amp;$K$1))</f>
        <v>287739</v>
      </c>
      <c r="E16" s="52">
        <f>'数据-取费表'!B35</f>
        <v>150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1854</v>
      </c>
      <c r="B17" s="2867" t="s">
        <v>485</v>
      </c>
      <c r="C17" s="2872">
        <f ca="1">ROUND(C13*F17,0)</f>
        <v>738</v>
      </c>
      <c r="D17" s="474"/>
      <c r="E17" s="2872"/>
      <c r="F17" s="2873">
        <f>'数据-取费表'!B36</f>
        <v>1.4999999999999999E-2</v>
      </c>
      <c r="G17" s="260" t="s">
        <v>486</v>
      </c>
      <c r="H17" s="2839"/>
      <c r="I17" s="2839"/>
      <c r="J17" s="2839"/>
      <c r="K17" s="278"/>
    </row>
    <row r="18" spans="1:14" s="2115" customFormat="1" ht="13.5" customHeight="1">
      <c r="A18" s="2874" t="s">
        <v>1855</v>
      </c>
      <c r="B18" s="2875" t="s">
        <v>487</v>
      </c>
      <c r="C18" s="2876">
        <f ca="1">SUM(C13:C17)</f>
        <v>56833</v>
      </c>
      <c r="D18" s="2877"/>
      <c r="E18" s="467"/>
      <c r="F18" s="467"/>
      <c r="G18" s="2840" t="s">
        <v>2434</v>
      </c>
      <c r="H18" s="2841"/>
      <c r="I18" s="2841"/>
      <c r="J18" s="2841"/>
      <c r="K18" s="2842"/>
    </row>
    <row r="19" spans="1:14" s="2115" customFormat="1" ht="13.5" customHeight="1">
      <c r="A19" s="2874" t="s">
        <v>1856</v>
      </c>
      <c r="B19" s="2875" t="s">
        <v>488</v>
      </c>
      <c r="C19" s="2832">
        <f ca="1">ROUND(D19*E19/10000,0)</f>
        <v>0</v>
      </c>
      <c r="D19" s="2878">
        <f ca="1">D16</f>
        <v>287739</v>
      </c>
      <c r="E19" s="2832">
        <f>'数据-取费表'!B32</f>
        <v>0</v>
      </c>
      <c r="F19" s="467"/>
      <c r="G19" s="2836" t="s">
        <v>489</v>
      </c>
      <c r="H19" s="2837"/>
      <c r="I19" s="2841"/>
      <c r="J19" s="2841"/>
      <c r="K19" s="2842"/>
    </row>
    <row r="20" spans="1:14" s="2115" customFormat="1" ht="13.5" customHeight="1">
      <c r="A20" s="2874" t="s">
        <v>1857</v>
      </c>
      <c r="B20" s="2875" t="s">
        <v>490</v>
      </c>
      <c r="C20" s="2832">
        <f ca="1">C21+C22-IF(B1="",'数据-取费表'!B29,IF(G20="已全部缴纳",C21+C22,H20))</f>
        <v>3021</v>
      </c>
      <c r="D20" s="2878"/>
      <c r="E20" s="2832"/>
      <c r="F20" s="2879"/>
      <c r="G20" s="3113"/>
      <c r="H20" s="2834"/>
      <c r="I20" s="2835" t="s">
        <v>2657</v>
      </c>
      <c r="J20" s="2841"/>
      <c r="K20" s="2842"/>
    </row>
    <row r="21" spans="1:14" s="2115" customFormat="1" ht="13.5" customHeight="1">
      <c r="A21" s="2866" t="s">
        <v>1858</v>
      </c>
      <c r="B21" s="2867" t="s">
        <v>491</v>
      </c>
      <c r="C21" s="52">
        <f ca="1">ROUND(D21*E21/10000,0)</f>
        <v>2237</v>
      </c>
      <c r="D21" s="2868">
        <f ca="1">IF(B1="",'数据-汇总表'!E5,IF(INDIRECT("'数据-取费表'!c"&amp;$K$1)="住宅",INDIRECT("'数据-取费表'!k"&amp;$K$1),0))</f>
        <v>213031</v>
      </c>
      <c r="E21" s="52">
        <f>'数据-取费表'!B27</f>
        <v>105</v>
      </c>
      <c r="F21" s="2871"/>
      <c r="G21" s="25"/>
      <c r="H21" s="50"/>
      <c r="I21" s="50"/>
      <c r="J21" s="50"/>
      <c r="K21" s="2843"/>
    </row>
    <row r="22" spans="1:14" s="2115" customFormat="1" ht="13.5" customHeight="1">
      <c r="A22" s="2866" t="s">
        <v>1859</v>
      </c>
      <c r="B22" s="2867" t="s">
        <v>492</v>
      </c>
      <c r="C22" s="52">
        <f ca="1">ROUND(D22*E22/10000,0)</f>
        <v>784</v>
      </c>
      <c r="D22" s="2868">
        <f ca="1">IF(B1="",'数据-汇总表'!E6,IF(INDIRECT("'数据-取费表'!c"&amp;$K$1)="住宅",INDIRECT("'数据-取费表'!s"&amp;$K$1),INDIRECT("'数据-取费表'!k"&amp;$K$1)+INDIRECT("'数据-取费表'!s"&amp;$K$1)))</f>
        <v>74708</v>
      </c>
      <c r="E22" s="52">
        <f>'数据-取费表'!B28</f>
        <v>105</v>
      </c>
      <c r="F22" s="2871"/>
      <c r="G22" s="25"/>
      <c r="H22" s="50"/>
      <c r="I22" s="50"/>
      <c r="J22" s="50"/>
      <c r="K22" s="2843"/>
    </row>
    <row r="23" spans="1:14" s="2115" customFormat="1" ht="13.5" customHeight="1">
      <c r="A23" s="2874" t="s">
        <v>1860</v>
      </c>
      <c r="B23" s="3059" t="s">
        <v>2840</v>
      </c>
      <c r="C23" s="2876">
        <f ca="1">ROUND((C18+C19+C20)*F23,0)</f>
        <v>599</v>
      </c>
      <c r="D23" s="467"/>
      <c r="E23" s="467"/>
      <c r="F23" s="2880">
        <f>'数据-取费表'!B37</f>
        <v>0.01</v>
      </c>
      <c r="G23" s="2836" t="s">
        <v>2435</v>
      </c>
      <c r="H23" s="2837"/>
      <c r="I23" s="2837"/>
      <c r="J23" s="2837"/>
      <c r="K23" s="2838"/>
      <c r="L23" s="2117"/>
      <c r="M23" s="2117"/>
      <c r="N23" s="2117"/>
    </row>
    <row r="24" spans="1:14" s="2115" customFormat="1" ht="13.5" customHeight="1">
      <c r="A24" s="2874" t="s">
        <v>1861</v>
      </c>
      <c r="B24" s="3059" t="s">
        <v>2843</v>
      </c>
      <c r="C24" s="2876">
        <f ca="1">ROUND(C6*F24,0)</f>
        <v>3814</v>
      </c>
      <c r="D24" s="474"/>
      <c r="E24" s="472"/>
      <c r="F24" s="2880">
        <f>'数据-取费表'!B38</f>
        <v>1.4999999999999999E-2</v>
      </c>
      <c r="G24" s="2845" t="s">
        <v>499</v>
      </c>
      <c r="H24" s="2839"/>
      <c r="I24" s="2839"/>
      <c r="J24" s="2839"/>
      <c r="K24" s="278"/>
      <c r="L24" s="2117"/>
      <c r="M24" s="2117"/>
      <c r="N24" s="2117"/>
    </row>
    <row r="25" spans="1:14" s="2118" customFormat="1" ht="13.5" customHeight="1">
      <c r="A25" s="2874" t="s">
        <v>1862</v>
      </c>
      <c r="B25" s="3059" t="s">
        <v>2841</v>
      </c>
      <c r="C25" s="466">
        <f>ROUND(F25/(1+'数据-取费表'!C42),4)</f>
        <v>2.9000000000000001E-2</v>
      </c>
      <c r="D25" s="461" t="s">
        <v>2835</v>
      </c>
      <c r="E25" s="468"/>
      <c r="F25" s="2880">
        <f>'数据-取费表'!B48+'数据-取费表'!B49</f>
        <v>3.0499999999999999E-2</v>
      </c>
      <c r="G25" s="2844" t="s">
        <v>2293</v>
      </c>
      <c r="H25" s="2837"/>
      <c r="I25" s="2837"/>
      <c r="J25" s="2837"/>
      <c r="K25" s="2838"/>
    </row>
    <row r="26" spans="1:14" s="2117" customFormat="1" ht="13.5" customHeight="1">
      <c r="A26" s="2874" t="s">
        <v>1863</v>
      </c>
      <c r="B26" s="3060" t="s">
        <v>2842</v>
      </c>
      <c r="C26" s="2881">
        <f ca="1">C28</f>
        <v>2276</v>
      </c>
      <c r="D26" s="466">
        <f ca="1">C27</f>
        <v>7.4200000000000002E-2</v>
      </c>
      <c r="E26" s="468" t="s">
        <v>495</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2" t="s">
        <v>1858</v>
      </c>
      <c r="B27" s="2882" t="s">
        <v>496</v>
      </c>
      <c r="C27" s="2883">
        <f ca="1">ROUND(IF('数据-取费表'!B22&lt;=1,(1+C25)*F26*'数据-取费表'!B24,(1+C25)*(POWER((1+F26),'数据-取费表'!B24)-1)),4)</f>
        <v>7.4200000000000002E-2</v>
      </c>
      <c r="D27" s="471"/>
      <c r="E27" s="472"/>
      <c r="F27" s="473"/>
      <c r="G27" s="2595" t="str">
        <f>IF('数据-取费表'!B22&lt;=1,"（1+取得税费率/(1+5%)）×年利率×建设期","（1+取得税费率）/(1+5%)×((1+年利率)^建设期-1)")</f>
        <v>（1+取得税费率）/(1+5%)×((1+年利率)^建设期-1)</v>
      </c>
      <c r="H27" s="2839"/>
      <c r="I27" s="2839"/>
      <c r="J27" s="2839"/>
      <c r="K27" s="278"/>
    </row>
    <row r="28" spans="1:14" s="2119" customFormat="1" ht="13.5" customHeight="1">
      <c r="A28" s="802" t="s">
        <v>1859</v>
      </c>
      <c r="B28" s="2882" t="s">
        <v>2844</v>
      </c>
      <c r="C28" s="2884">
        <f ca="1">ROUND(IF('数据-取费表'!B22&lt;=1,(C18+C19+C20+C23+C24)*F26*'数据-取费表'!B24/2,(C18+C19+C20+C23+C24)*(POWER((1+F26),'数据-取费表'!B24/2)-1)),0)</f>
        <v>2276</v>
      </c>
      <c r="D28" s="471"/>
      <c r="E28" s="472"/>
      <c r="F28" s="473"/>
      <c r="G28" s="2595" t="str">
        <f>IF('数据-取费表'!B22&lt;=1,"（1）-（4）项×年利率×建设期÷2","（1）-（4）项×((1+年利率)^(建设期÷2)-1)")</f>
        <v>（1）-（4）项×((1+年利率)^(建设期÷2)-1)</v>
      </c>
      <c r="H28" s="2839"/>
      <c r="I28" s="2839"/>
      <c r="J28" s="2839"/>
      <c r="K28" s="278"/>
    </row>
    <row r="29" spans="1:14" s="2119" customFormat="1" ht="13.5" customHeight="1">
      <c r="A29" s="2885" t="s">
        <v>1864</v>
      </c>
      <c r="B29" s="2875" t="s">
        <v>497</v>
      </c>
      <c r="C29" s="2876">
        <f ca="1">ROUND(C6*F29/(1+'数据-取费表'!C42),0)</f>
        <v>13561</v>
      </c>
      <c r="D29" s="467"/>
      <c r="E29" s="467"/>
      <c r="F29" s="3061">
        <f>'数据-取费表'!B41</f>
        <v>5.6000000000000001E-2</v>
      </c>
      <c r="G29" s="2845" t="s">
        <v>498</v>
      </c>
      <c r="H29" s="2837"/>
      <c r="I29" s="2837"/>
      <c r="J29" s="2837"/>
      <c r="K29" s="2838"/>
    </row>
    <row r="30" spans="1:14" s="2120" customFormat="1" ht="13.5" customHeight="1">
      <c r="A30" s="1633" t="s">
        <v>1865</v>
      </c>
      <c r="B30" s="2886" t="s">
        <v>500</v>
      </c>
      <c r="C30" s="2881">
        <f ca="1">C31</f>
        <v>80104</v>
      </c>
      <c r="D30" s="476">
        <f ca="1">C32</f>
        <v>0.1032</v>
      </c>
      <c r="E30" s="468" t="s">
        <v>495</v>
      </c>
      <c r="F30" s="470"/>
      <c r="G30" s="2836" t="s">
        <v>501</v>
      </c>
      <c r="H30" s="2837"/>
      <c r="I30" s="2837"/>
      <c r="J30" s="2837"/>
      <c r="K30" s="2838"/>
    </row>
    <row r="31" spans="1:14" s="2119" customFormat="1" ht="13.5" customHeight="1">
      <c r="A31" s="802" t="s">
        <v>1858</v>
      </c>
      <c r="B31" s="2882"/>
      <c r="C31" s="449">
        <f ca="1">C18+C19+C20+C23+C24+C26+C29</f>
        <v>80104</v>
      </c>
      <c r="D31" s="471"/>
      <c r="E31" s="472"/>
      <c r="F31" s="473"/>
      <c r="G31" s="260"/>
      <c r="H31" s="2839"/>
      <c r="I31" s="2839"/>
      <c r="J31" s="2839"/>
      <c r="K31" s="278"/>
    </row>
    <row r="32" spans="1:14" s="2119" customFormat="1" ht="13.5" customHeight="1">
      <c r="A32" s="802" t="s">
        <v>1859</v>
      </c>
      <c r="B32" s="2882"/>
      <c r="C32" s="52">
        <f ca="1">ROUND(C25+D26,4)</f>
        <v>0.1032</v>
      </c>
      <c r="D32" s="471"/>
      <c r="E32" s="472"/>
      <c r="F32" s="473"/>
      <c r="G32" s="260"/>
      <c r="H32" s="2839"/>
      <c r="I32" s="2839"/>
      <c r="J32" s="2839"/>
      <c r="K32" s="278"/>
    </row>
    <row r="33" spans="1:11" s="2121" customFormat="1" ht="13.5" customHeight="1">
      <c r="A33" s="3058" t="s">
        <v>2839</v>
      </c>
      <c r="B33" s="3056" t="s">
        <v>2837</v>
      </c>
      <c r="C33" s="477">
        <f ca="1">C35</f>
        <v>5141</v>
      </c>
      <c r="D33" s="466">
        <f ca="1">C34</f>
        <v>8.2299999999999998E-2</v>
      </c>
      <c r="E33" s="468" t="s">
        <v>495</v>
      </c>
      <c r="F33" s="478">
        <f ca="1">IF(B1="",'数据-取费表'!Q16,INDIRECT("'数据-取费表'!q"&amp;$K$1))</f>
        <v>0.08</v>
      </c>
      <c r="G33" s="2840"/>
      <c r="H33" s="2841"/>
      <c r="I33" s="2841"/>
      <c r="J33" s="2841"/>
      <c r="K33" s="2842"/>
    </row>
    <row r="34" spans="1:11" s="2122" customFormat="1" ht="13.5" customHeight="1">
      <c r="A34" s="374" t="s">
        <v>1858</v>
      </c>
      <c r="B34" s="2887" t="s">
        <v>502</v>
      </c>
      <c r="C34" s="471">
        <f ca="1">ROUND((1+C25)*F33,4)</f>
        <v>8.2299999999999998E-2</v>
      </c>
      <c r="D34" s="471"/>
      <c r="E34" s="472"/>
      <c r="F34" s="479"/>
      <c r="G34" s="260" t="s">
        <v>2294</v>
      </c>
      <c r="H34" s="2839"/>
      <c r="I34" s="2839"/>
      <c r="J34" s="2839"/>
      <c r="K34" s="278"/>
    </row>
    <row r="35" spans="1:11" s="2122" customFormat="1" ht="13.5" customHeight="1" thickBot="1">
      <c r="A35" s="1634" t="s">
        <v>1859</v>
      </c>
      <c r="B35" s="3057" t="s">
        <v>2845</v>
      </c>
      <c r="C35" s="1626">
        <f ca="1">ROUND((C18+C19+C20+C23+C24)*F33,0)</f>
        <v>5141</v>
      </c>
      <c r="D35" s="1627"/>
      <c r="E35" s="2888"/>
      <c r="F35" s="1628"/>
      <c r="G35" s="2846"/>
      <c r="H35" s="2847"/>
      <c r="I35" s="2847"/>
      <c r="J35" s="2847"/>
      <c r="K35" s="2848"/>
    </row>
    <row r="36" spans="1:11" s="2084" customFormat="1" ht="13.5" customHeight="1" thickBot="1">
      <c r="A36" s="283" t="s">
        <v>1846</v>
      </c>
      <c r="B36" s="2850"/>
      <c r="C36" s="2889">
        <f ca="1">ROUND((C6-C30-C33)/(1+D30+D33),0)</f>
        <v>142575</v>
      </c>
      <c r="D36" s="2850"/>
      <c r="E36" s="2850"/>
      <c r="F36" s="2850"/>
      <c r="G36" s="2849" t="s">
        <v>2846</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3"/>
      <c r="C1" s="2103"/>
      <c r="D1" s="2103"/>
      <c r="E1" s="2103"/>
      <c r="F1" s="2103"/>
      <c r="G1" s="2103"/>
      <c r="H1" s="2103"/>
      <c r="I1" s="2103"/>
      <c r="J1" s="2103"/>
      <c r="K1" s="421">
        <f>MATCH(B1,'数据-取费表'!A6:A16,0)+5</f>
        <v>9</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7" t="s">
        <v>1686</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2658</v>
      </c>
      <c r="B6" s="432"/>
      <c r="C6" s="1621">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1847</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1849</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1866</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1850</v>
      </c>
      <c r="B13" s="448" t="s">
        <v>479</v>
      </c>
      <c r="C13" s="449">
        <f ca="1">IF(B1="",'数据-取费表'!M16,INDIRECT("'数据-取费表'!M"&amp;$K$1)+INDIRECT("'数据-取费表'!t"&amp;$K$1))</f>
        <v>49186</v>
      </c>
      <c r="D13" s="450"/>
      <c r="E13" s="364"/>
      <c r="F13" s="451"/>
      <c r="G13" s="443"/>
      <c r="H13" s="446"/>
      <c r="I13" s="446"/>
      <c r="J13" s="446"/>
      <c r="K13" s="447"/>
    </row>
    <row r="14" spans="1:41" s="2115" customFormat="1" ht="13.5" customHeight="1">
      <c r="A14" s="1631" t="s">
        <v>1851</v>
      </c>
      <c r="B14" s="448" t="s">
        <v>480</v>
      </c>
      <c r="C14" s="52">
        <f ca="1">ROUND(C13*F14,0)</f>
        <v>1476</v>
      </c>
      <c r="D14" s="450"/>
      <c r="E14" s="364"/>
      <c r="F14" s="452">
        <f>'数据-取费表'!B33</f>
        <v>0.03</v>
      </c>
      <c r="G14" s="443" t="s">
        <v>503</v>
      </c>
      <c r="H14" s="446"/>
      <c r="I14" s="446"/>
      <c r="J14" s="446"/>
      <c r="K14" s="447"/>
    </row>
    <row r="15" spans="1:41" s="2115" customFormat="1" ht="13.5" customHeight="1">
      <c r="A15" s="1631" t="s">
        <v>1852</v>
      </c>
      <c r="B15" s="448" t="s">
        <v>482</v>
      </c>
      <c r="C15" s="52">
        <f ca="1">ROUND(IF(B1="",SUMIF('数据-取费表'!C:C,"住宅",'数据-取费表'!M:M)*F15,IF(INDIRECT("'数据-取费表'!c"&amp;$K$1)="住宅",INDIRECT("'数据-取费表'!M"&amp;$K$1)*F15,0)),0)</f>
        <v>1117</v>
      </c>
      <c r="D15" s="450"/>
      <c r="E15" s="364"/>
      <c r="F15" s="452">
        <f>'数据-取费表'!B34</f>
        <v>0.03</v>
      </c>
      <c r="G15" s="443" t="s">
        <v>503</v>
      </c>
      <c r="H15" s="446"/>
      <c r="I15" s="446"/>
      <c r="J15" s="446"/>
      <c r="K15" s="447"/>
    </row>
    <row r="16" spans="1:41" s="2116" customFormat="1" ht="13.5" customHeight="1">
      <c r="A16" s="1631" t="s">
        <v>1853</v>
      </c>
      <c r="B16" s="448" t="s">
        <v>484</v>
      </c>
      <c r="C16" s="52">
        <f ca="1">ROUND(D16*E16/10000,0)</f>
        <v>4316</v>
      </c>
      <c r="D16" s="450">
        <f ca="1">IF(B1="",'数据-汇总表'!E3,INDIRECT("'数据-取费表'!K"&amp;$K$1)+INDIRECT("'数据-取费表'!S"&amp;$K$1))</f>
        <v>287739</v>
      </c>
      <c r="E16" s="52">
        <f>'数据-取费表'!B35</f>
        <v>150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1854</v>
      </c>
      <c r="B17" s="448" t="s">
        <v>485</v>
      </c>
      <c r="C17" s="453">
        <f ca="1">ROUND(C13*F17,0)</f>
        <v>738</v>
      </c>
      <c r="D17" s="454"/>
      <c r="E17" s="453"/>
      <c r="F17" s="455">
        <f>'数据-取费表'!B36</f>
        <v>1.4999999999999999E-2</v>
      </c>
      <c r="G17" s="443" t="s">
        <v>503</v>
      </c>
      <c r="H17" s="456"/>
      <c r="I17" s="456"/>
      <c r="J17" s="456"/>
      <c r="K17" s="457"/>
    </row>
    <row r="18" spans="1:14" s="2118" customFormat="1" ht="13.5" customHeight="1">
      <c r="A18" s="1632" t="s">
        <v>1855</v>
      </c>
      <c r="B18" s="458" t="s">
        <v>487</v>
      </c>
      <c r="C18" s="459">
        <f ca="1">SUM(C13:C17)</f>
        <v>56833</v>
      </c>
      <c r="D18" s="460"/>
      <c r="E18" s="461"/>
      <c r="F18" s="461"/>
      <c r="G18" s="1325" t="s">
        <v>2436</v>
      </c>
      <c r="H18" s="446"/>
      <c r="I18" s="446"/>
      <c r="J18" s="446"/>
      <c r="K18" s="447"/>
    </row>
    <row r="19" spans="1:14" s="2118" customFormat="1" ht="13.5" customHeight="1">
      <c r="A19" s="1632" t="s">
        <v>1856</v>
      </c>
      <c r="B19" s="458" t="s">
        <v>493</v>
      </c>
      <c r="C19" s="459">
        <f ca="1">ROUND(C18*F19,0)</f>
        <v>568</v>
      </c>
      <c r="D19" s="461"/>
      <c r="E19" s="461"/>
      <c r="F19" s="465">
        <f>'数据-取费表'!B37</f>
        <v>0.01</v>
      </c>
      <c r="G19" s="443" t="s">
        <v>504</v>
      </c>
      <c r="H19" s="446"/>
      <c r="I19" s="446"/>
      <c r="J19" s="446"/>
      <c r="K19" s="447"/>
      <c r="L19" s="2120"/>
      <c r="M19" s="2120"/>
      <c r="N19" s="2120"/>
    </row>
    <row r="20" spans="1:14" s="2118" customFormat="1" ht="13.5" customHeight="1">
      <c r="A20" s="1632" t="s">
        <v>1857</v>
      </c>
      <c r="B20" s="458" t="s">
        <v>505</v>
      </c>
      <c r="C20" s="3054">
        <f>F20</f>
        <v>1.4999999999999999E-2</v>
      </c>
      <c r="D20" s="468" t="s">
        <v>506</v>
      </c>
      <c r="E20" s="468"/>
      <c r="F20" s="485">
        <f>'数据-取费表'!B38</f>
        <v>1.4999999999999999E-2</v>
      </c>
      <c r="G20" s="1325" t="s">
        <v>507</v>
      </c>
      <c r="H20" s="446"/>
      <c r="I20" s="446"/>
      <c r="J20" s="446"/>
      <c r="K20" s="447"/>
      <c r="L20" s="2120"/>
      <c r="M20" s="2120"/>
      <c r="N20" s="2120"/>
    </row>
    <row r="21" spans="1:14" s="2120" customFormat="1" ht="13.5" customHeight="1">
      <c r="A21" s="1632" t="s">
        <v>1860</v>
      </c>
      <c r="B21" s="460" t="s">
        <v>494</v>
      </c>
      <c r="C21" s="469">
        <f ca="1">C22</f>
        <v>2033</v>
      </c>
      <c r="D21" s="466">
        <f ca="1">C23</f>
        <v>5.0000000000000001E-4</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2458</v>
      </c>
    </row>
    <row r="22" spans="1:14" s="2119" customFormat="1" ht="13.5" customHeight="1">
      <c r="A22" s="1631" t="s">
        <v>1850</v>
      </c>
      <c r="B22" s="1326" t="s">
        <v>2439</v>
      </c>
      <c r="C22" s="486">
        <f ca="1">ROUND(IF('数据-取费表'!B22&lt;=1,(C18+C19)*F21*'数据-取费表'!B20/2,(C18+C19)*(POWER((1+F21),'数据-取费表'!B20/2)-1)),0)</f>
        <v>2033</v>
      </c>
      <c r="D22" s="471"/>
      <c r="E22" s="472"/>
      <c r="F22" s="473"/>
      <c r="G22" s="2590" t="str">
        <f>IF('数据-取费表'!B22&lt;=1,"((1)+(2))×年利率×建设期÷2","((1)+(2))×((1+年利率)^(建设期÷2)-1)")</f>
        <v>((1)+(2))×((1+年利率)^(建设期÷2)-1)</v>
      </c>
      <c r="H22" s="456"/>
      <c r="I22" s="456"/>
      <c r="J22" s="456"/>
      <c r="K22" s="457"/>
    </row>
    <row r="23" spans="1:14" s="2119" customFormat="1" ht="13.5" customHeight="1">
      <c r="A23" s="1631" t="s">
        <v>1851</v>
      </c>
      <c r="B23" s="1326" t="s">
        <v>509</v>
      </c>
      <c r="C23" s="487">
        <f ca="1">ROUND(IF('数据-取费表'!B22&lt;=1,F20*F21*'数据-取费表'!B20/2,F20*(POWER((1+F21),'数据-取费表'!B20/2)-1)),4)</f>
        <v>5.0000000000000001E-4</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2" t="s">
        <v>1861</v>
      </c>
      <c r="B24" s="3056" t="s">
        <v>2838</v>
      </c>
      <c r="C24" s="477">
        <f ca="1">C25</f>
        <v>4592</v>
      </c>
      <c r="D24" s="488">
        <f ca="1">C26</f>
        <v>1.1999999999999999E-3</v>
      </c>
      <c r="E24" s="468" t="s">
        <v>508</v>
      </c>
      <c r="F24" s="478">
        <f ca="1">IF(B1="",'数据-取费表'!Q16,INDIRECT("'数据-取费表'!q"&amp;$K$1))</f>
        <v>0.08</v>
      </c>
      <c r="G24" s="443"/>
      <c r="H24" s="446"/>
      <c r="I24" s="446"/>
      <c r="J24" s="446"/>
      <c r="K24" s="447"/>
    </row>
    <row r="25" spans="1:14" s="2119" customFormat="1" ht="13.5" customHeight="1">
      <c r="A25" s="1631" t="s">
        <v>1850</v>
      </c>
      <c r="B25" s="1326" t="s">
        <v>2440</v>
      </c>
      <c r="C25" s="489">
        <f ca="1">ROUND((C18+C19)*F24,0)</f>
        <v>4592</v>
      </c>
      <c r="D25" s="471"/>
      <c r="E25" s="472"/>
      <c r="F25" s="479"/>
      <c r="G25" s="1324" t="s">
        <v>2437</v>
      </c>
      <c r="H25" s="456"/>
      <c r="I25" s="456"/>
      <c r="J25" s="456"/>
      <c r="K25" s="457"/>
    </row>
    <row r="26" spans="1:14" s="2119" customFormat="1" ht="13.5" customHeight="1">
      <c r="A26" s="1631" t="s">
        <v>1851</v>
      </c>
      <c r="B26" s="1326" t="s">
        <v>510</v>
      </c>
      <c r="C26" s="490">
        <f ca="1">ROUND(F20*F24,4)</f>
        <v>1.1999999999999999E-3</v>
      </c>
      <c r="D26" s="471"/>
      <c r="E26" s="480"/>
      <c r="F26" s="479"/>
      <c r="G26" s="1324" t="s">
        <v>511</v>
      </c>
      <c r="H26" s="456"/>
      <c r="I26" s="456"/>
      <c r="J26" s="456"/>
      <c r="K26" s="457"/>
    </row>
    <row r="27" spans="1:14" s="2119" customFormat="1" ht="13.5" customHeight="1">
      <c r="A27" s="1635" t="s">
        <v>1869</v>
      </c>
      <c r="B27" s="458" t="s">
        <v>512</v>
      </c>
      <c r="C27" s="3055">
        <f>ROUND(F27/(1+'数据-取费表'!C42),4)</f>
        <v>5.33E-2</v>
      </c>
      <c r="D27" s="461" t="s">
        <v>2836</v>
      </c>
      <c r="E27" s="461"/>
      <c r="F27" s="465">
        <f>'数据-取费表'!B41</f>
        <v>5.6000000000000001E-2</v>
      </c>
      <c r="G27" s="1959" t="s">
        <v>2295</v>
      </c>
      <c r="H27" s="446"/>
      <c r="I27" s="446"/>
      <c r="J27" s="446"/>
      <c r="K27" s="447"/>
    </row>
    <row r="28" spans="1:14" s="2120" customFormat="1" ht="13.5" customHeight="1">
      <c r="A28" s="1635" t="s">
        <v>1870</v>
      </c>
      <c r="B28" s="475" t="s">
        <v>513</v>
      </c>
      <c r="C28" s="469">
        <f ca="1">ROUND((C18+C19+C21+C24)/(1-C20-D21-D24-C27),0)</f>
        <v>68845</v>
      </c>
      <c r="D28" s="476"/>
      <c r="E28" s="468"/>
      <c r="F28" s="470"/>
      <c r="G28" s="1325" t="s">
        <v>2438</v>
      </c>
      <c r="H28" s="446"/>
      <c r="I28" s="446"/>
      <c r="J28" s="446"/>
      <c r="K28" s="447"/>
    </row>
    <row r="29" spans="1:14" s="2120" customFormat="1" ht="13.5" customHeight="1">
      <c r="A29" s="1635" t="s">
        <v>1871</v>
      </c>
      <c r="B29" s="475" t="s">
        <v>514</v>
      </c>
      <c r="C29" s="491">
        <f ca="1">IF(B1="",'数据-取费表'!N16,INDIRECT("'数据-取费表'!N"&amp;$K$1))</f>
        <v>0</v>
      </c>
      <c r="D29" s="492"/>
      <c r="E29" s="493"/>
      <c r="F29" s="494"/>
      <c r="G29" s="443"/>
      <c r="H29" s="446"/>
      <c r="I29" s="446"/>
      <c r="J29" s="446"/>
      <c r="K29" s="447"/>
    </row>
    <row r="30" spans="1:14" s="2120" customFormat="1" ht="13.5" customHeight="1">
      <c r="A30" s="442">
        <v>2</v>
      </c>
      <c r="B30" s="475" t="s">
        <v>515</v>
      </c>
      <c r="C30" s="496">
        <f ca="1">ROUND(C28*C29,0)</f>
        <v>0</v>
      </c>
      <c r="D30" s="492"/>
      <c r="E30" s="497"/>
      <c r="F30" s="498"/>
      <c r="G30" s="1327" t="s">
        <v>516</v>
      </c>
      <c r="H30" s="495"/>
      <c r="I30" s="495"/>
      <c r="J30" s="446"/>
      <c r="K30" s="447"/>
    </row>
    <row r="31" spans="1:14" s="2125" customFormat="1" ht="13.5" customHeight="1">
      <c r="A31" s="2505" t="s">
        <v>1867</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6" t="s">
        <v>2459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517</v>
      </c>
      <c r="B1" s="502"/>
      <c r="C1" s="503" t="s">
        <v>598</v>
      </c>
      <c r="D1" s="504" t="s">
        <v>519</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1687</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521</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522</v>
      </c>
      <c r="B6" s="512"/>
      <c r="C6" s="3752" t="s">
        <v>523</v>
      </c>
      <c r="D6" s="3753"/>
      <c r="E6" s="3779" t="s">
        <v>524</v>
      </c>
      <c r="F6" s="3780"/>
      <c r="G6" s="3752" t="s">
        <v>525</v>
      </c>
      <c r="H6" s="3753"/>
      <c r="I6" s="3752" t="s">
        <v>526</v>
      </c>
      <c r="J6" s="3753"/>
      <c r="K6" s="513" t="s">
        <v>527</v>
      </c>
      <c r="L6" s="2132"/>
      <c r="M6" s="2133"/>
      <c r="N6" s="2133"/>
      <c r="O6" s="2133"/>
      <c r="P6" s="3754" t="s">
        <v>528</v>
      </c>
      <c r="Q6" s="3755"/>
      <c r="R6" s="3740" t="s">
        <v>524</v>
      </c>
      <c r="S6" s="3741"/>
      <c r="T6" s="3740" t="s">
        <v>525</v>
      </c>
      <c r="U6" s="3741"/>
      <c r="V6" s="3760" t="s">
        <v>526</v>
      </c>
      <c r="W6" s="3760"/>
      <c r="X6" s="1565"/>
      <c r="Y6" s="3740" t="s">
        <v>528</v>
      </c>
      <c r="Z6" s="3741"/>
      <c r="AA6" s="3735" t="s">
        <v>524</v>
      </c>
      <c r="AB6" s="3736" t="s">
        <v>525</v>
      </c>
      <c r="AC6" s="3735" t="s">
        <v>526</v>
      </c>
    </row>
    <row r="7" spans="1:29" ht="15">
      <c r="A7" s="514"/>
      <c r="B7" s="515"/>
      <c r="C7" s="3765" t="s">
        <v>2927</v>
      </c>
      <c r="D7" s="3764"/>
      <c r="E7" s="3781" t="s">
        <v>2928</v>
      </c>
      <c r="F7" s="3782"/>
      <c r="G7" s="3765" t="s">
        <v>2929</v>
      </c>
      <c r="H7" s="3764"/>
      <c r="I7" s="3765" t="s">
        <v>2930</v>
      </c>
      <c r="J7" s="3764"/>
      <c r="K7" s="513"/>
      <c r="L7" s="2132"/>
      <c r="M7" s="2133"/>
      <c r="N7" s="2133"/>
      <c r="O7" s="2133"/>
      <c r="P7" s="3756"/>
      <c r="Q7" s="3757"/>
      <c r="R7" s="3742"/>
      <c r="S7" s="3743"/>
      <c r="T7" s="3742"/>
      <c r="U7" s="3743"/>
      <c r="V7" s="3760"/>
      <c r="W7" s="3760"/>
      <c r="X7" s="1565"/>
      <c r="Y7" s="3742"/>
      <c r="Z7" s="3743"/>
      <c r="AA7" s="3736"/>
      <c r="AB7" s="3736"/>
      <c r="AC7" s="3736"/>
    </row>
    <row r="8" spans="1:29" ht="15.75" thickBot="1">
      <c r="A8" s="516"/>
      <c r="B8" s="517"/>
      <c r="C8" s="3783" t="s">
        <v>2931</v>
      </c>
      <c r="D8" s="3762"/>
      <c r="E8" s="3784" t="s">
        <v>2931</v>
      </c>
      <c r="F8" s="3785"/>
      <c r="G8" s="3783" t="s">
        <v>2931</v>
      </c>
      <c r="H8" s="3762"/>
      <c r="I8" s="3783" t="s">
        <v>2931</v>
      </c>
      <c r="J8" s="3762"/>
      <c r="K8" s="513" t="s">
        <v>529</v>
      </c>
      <c r="L8" s="2132"/>
      <c r="M8" s="2133"/>
      <c r="N8" s="2133"/>
      <c r="O8" s="2133"/>
      <c r="P8" s="3758"/>
      <c r="Q8" s="3759"/>
      <c r="R8" s="3742"/>
      <c r="S8" s="3743"/>
      <c r="T8" s="3744"/>
      <c r="U8" s="3745"/>
      <c r="V8" s="3760"/>
      <c r="W8" s="3760"/>
      <c r="X8" s="1565"/>
      <c r="Y8" s="3744"/>
      <c r="Z8" s="3745"/>
      <c r="AA8" s="3737"/>
      <c r="AB8" s="3737"/>
      <c r="AC8" s="3737"/>
    </row>
    <row r="9" spans="1:29" s="1218" customFormat="1" ht="15.75" thickBot="1">
      <c r="A9" s="2936"/>
      <c r="B9" s="2943" t="s">
        <v>530</v>
      </c>
      <c r="C9" s="518">
        <f>'数据-取费表'!B2</f>
        <v>43171</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738" t="s">
        <v>531</v>
      </c>
      <c r="Q9" s="3747"/>
      <c r="R9" s="1566" t="s">
        <v>8</v>
      </c>
      <c r="S9" s="1567">
        <f t="shared" ref="S9:S17" si="0">F9</f>
        <v>0</v>
      </c>
      <c r="T9" s="1566" t="s">
        <v>8</v>
      </c>
      <c r="U9" s="1567">
        <f t="shared" ref="U9:U17" si="1">H9</f>
        <v>0</v>
      </c>
      <c r="V9" s="1566" t="s">
        <v>8</v>
      </c>
      <c r="W9" s="1567">
        <f t="shared" ref="W9:W17" si="2">J9</f>
        <v>0</v>
      </c>
      <c r="X9" s="1568"/>
      <c r="Y9" s="3738" t="s">
        <v>531</v>
      </c>
      <c r="Z9" s="3739"/>
      <c r="AA9" s="1569" t="e">
        <f>D9/F9</f>
        <v>#DIV/0!</v>
      </c>
      <c r="AB9" s="1569" t="e">
        <f>D9/H9</f>
        <v>#DIV/0!</v>
      </c>
      <c r="AC9" s="1569" t="e">
        <f>D9/J9</f>
        <v>#DIV/0!</v>
      </c>
    </row>
    <row r="10" spans="1:29" s="1218"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738" t="s">
        <v>534</v>
      </c>
      <c r="Q10" s="3739"/>
      <c r="R10" s="1566" t="s">
        <v>8</v>
      </c>
      <c r="S10" s="1567">
        <f t="shared" si="0"/>
        <v>0</v>
      </c>
      <c r="T10" s="1566" t="s">
        <v>8</v>
      </c>
      <c r="U10" s="1567">
        <f t="shared" si="1"/>
        <v>0</v>
      </c>
      <c r="V10" s="1566" t="s">
        <v>8</v>
      </c>
      <c r="W10" s="1567">
        <f t="shared" si="2"/>
        <v>0</v>
      </c>
      <c r="X10" s="1568"/>
      <c r="Y10" s="3738" t="s">
        <v>534</v>
      </c>
      <c r="Z10" s="3739"/>
      <c r="AA10" s="1569" t="e">
        <f t="shared" ref="AA10:AA42" si="3">D10/F10</f>
        <v>#DIV/0!</v>
      </c>
      <c r="AB10" s="1569" t="e">
        <f t="shared" ref="AB10:AB42" si="4">D10/H10</f>
        <v>#DIV/0!</v>
      </c>
      <c r="AC10" s="1569" t="e">
        <f t="shared" ref="AC10:AC42" si="5">D10/J10</f>
        <v>#DIV/0!</v>
      </c>
    </row>
    <row r="11" spans="1:29" s="1218" customFormat="1" ht="15">
      <c r="A11" s="2938"/>
      <c r="B11" s="2945" t="s">
        <v>2762</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746" t="s">
        <v>536</v>
      </c>
      <c r="Q11" s="1149" t="str">
        <f t="shared" ref="Q11:Q17" si="6">B11</f>
        <v>用途</v>
      </c>
      <c r="R11" s="1566" t="s">
        <v>8</v>
      </c>
      <c r="S11" s="1567">
        <f t="shared" si="0"/>
        <v>100</v>
      </c>
      <c r="T11" s="1566" t="s">
        <v>8</v>
      </c>
      <c r="U11" s="1567">
        <f t="shared" si="1"/>
        <v>100</v>
      </c>
      <c r="V11" s="1566" t="s">
        <v>8</v>
      </c>
      <c r="W11" s="1567">
        <f t="shared" si="2"/>
        <v>100</v>
      </c>
      <c r="X11" s="1568"/>
      <c r="Y11" s="3703" t="s">
        <v>537</v>
      </c>
      <c r="Z11" s="1148" t="str">
        <f t="shared" ref="Z11:Z17" si="7">Q11</f>
        <v>用途</v>
      </c>
      <c r="AA11" s="1569">
        <f t="shared" si="3"/>
        <v>1</v>
      </c>
      <c r="AB11" s="1569">
        <f t="shared" si="4"/>
        <v>1</v>
      </c>
      <c r="AC11" s="1569">
        <f t="shared" si="5"/>
        <v>1</v>
      </c>
    </row>
    <row r="12" spans="1:29" s="1336" customFormat="1" ht="27">
      <c r="A12" s="2939"/>
      <c r="B12" s="2944" t="s">
        <v>2763</v>
      </c>
      <c r="C12" s="527"/>
      <c r="D12" s="254">
        <v>100</v>
      </c>
      <c r="E12" s="527"/>
      <c r="F12" s="254">
        <f>ROUND(100/'数据-取费表'!G16,0)</f>
        <v>103</v>
      </c>
      <c r="G12" s="527"/>
      <c r="H12" s="254">
        <f>ROUND(100/'数据-取费表'!G16,0)</f>
        <v>103</v>
      </c>
      <c r="I12" s="527"/>
      <c r="J12" s="254">
        <f>ROUND(100/'数据-取费表'!G16,0)</f>
        <v>103</v>
      </c>
      <c r="K12" s="530"/>
      <c r="L12" s="2137"/>
      <c r="M12" s="2177"/>
      <c r="N12" s="2177"/>
      <c r="O12" s="2138"/>
      <c r="P12" s="3746"/>
      <c r="Q12" s="1149" t="str">
        <f t="shared" si="6"/>
        <v>土地使用年限（年）</v>
      </c>
      <c r="R12" s="1566" t="s">
        <v>8</v>
      </c>
      <c r="S12" s="1567">
        <f t="shared" si="0"/>
        <v>103</v>
      </c>
      <c r="T12" s="1566" t="s">
        <v>8</v>
      </c>
      <c r="U12" s="1567">
        <f t="shared" si="1"/>
        <v>103</v>
      </c>
      <c r="V12" s="1566" t="s">
        <v>8</v>
      </c>
      <c r="W12" s="1567">
        <f t="shared" si="2"/>
        <v>103</v>
      </c>
      <c r="X12" s="1568"/>
      <c r="Y12" s="3703"/>
      <c r="Z12" s="1148" t="str">
        <f t="shared" si="7"/>
        <v>土地使用年限（年）</v>
      </c>
      <c r="AA12" s="1569">
        <f t="shared" si="3"/>
        <v>0.970873786407767</v>
      </c>
      <c r="AB12" s="1569">
        <f t="shared" si="4"/>
        <v>0.970873786407767</v>
      </c>
      <c r="AC12" s="1569">
        <f t="shared" si="5"/>
        <v>0.970873786407767</v>
      </c>
    </row>
    <row r="13" spans="1:29" ht="15">
      <c r="A13" s="2940"/>
      <c r="B13" s="2944" t="s">
        <v>2764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746"/>
      <c r="Q13" s="1149" t="str">
        <f t="shared" si="6"/>
        <v>容积率</v>
      </c>
      <c r="R13" s="1566" t="s">
        <v>8</v>
      </c>
      <c r="S13" s="1567" t="e">
        <f t="shared" si="0"/>
        <v>#N/A</v>
      </c>
      <c r="T13" s="1566" t="s">
        <v>8</v>
      </c>
      <c r="U13" s="1567" t="e">
        <f t="shared" si="1"/>
        <v>#N/A</v>
      </c>
      <c r="V13" s="1566" t="s">
        <v>8</v>
      </c>
      <c r="W13" s="1567" t="e">
        <f t="shared" si="2"/>
        <v>#N/A</v>
      </c>
      <c r="X13" s="1568"/>
      <c r="Y13" s="3703"/>
      <c r="Z13" s="1148" t="str">
        <f t="shared" si="7"/>
        <v>容积率</v>
      </c>
      <c r="AA13" s="1569" t="e">
        <f t="shared" si="3"/>
        <v>#N/A</v>
      </c>
      <c r="AB13" s="1569" t="e">
        <f t="shared" si="4"/>
        <v>#N/A</v>
      </c>
      <c r="AC13" s="1569" t="e">
        <f t="shared" si="5"/>
        <v>#N/A</v>
      </c>
    </row>
    <row r="14" spans="1:29" s="1218"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746"/>
      <c r="Q14" s="1149">
        <f t="shared" si="6"/>
        <v>111</v>
      </c>
      <c r="R14" s="1566" t="s">
        <v>8</v>
      </c>
      <c r="S14" s="1567">
        <f t="shared" si="0"/>
        <v>100</v>
      </c>
      <c r="T14" s="1566" t="s">
        <v>8</v>
      </c>
      <c r="U14" s="1567">
        <f t="shared" si="1"/>
        <v>100</v>
      </c>
      <c r="V14" s="1566" t="s">
        <v>8</v>
      </c>
      <c r="W14" s="1567">
        <f t="shared" si="2"/>
        <v>100</v>
      </c>
      <c r="X14" s="1568"/>
      <c r="Y14" s="3703"/>
      <c r="Z14" s="1148">
        <f t="shared" si="7"/>
        <v>111</v>
      </c>
      <c r="AA14" s="1569">
        <f>D14/F14</f>
        <v>1</v>
      </c>
      <c r="AB14" s="1569">
        <f>D14/H14</f>
        <v>1</v>
      </c>
      <c r="AC14" s="1569">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746"/>
      <c r="Q15" s="1149">
        <f t="shared" si="6"/>
        <v>111</v>
      </c>
      <c r="R15" s="1566" t="s">
        <v>8</v>
      </c>
      <c r="S15" s="1567">
        <f t="shared" si="0"/>
        <v>100</v>
      </c>
      <c r="T15" s="1566" t="s">
        <v>8</v>
      </c>
      <c r="U15" s="1567">
        <f t="shared" si="1"/>
        <v>100</v>
      </c>
      <c r="V15" s="1566" t="s">
        <v>8</v>
      </c>
      <c r="W15" s="1567">
        <f t="shared" si="2"/>
        <v>100</v>
      </c>
      <c r="X15" s="1568"/>
      <c r="Y15" s="3703"/>
      <c r="Z15" s="1148">
        <f t="shared" si="7"/>
        <v>111</v>
      </c>
      <c r="AA15" s="1569">
        <f t="shared" si="3"/>
        <v>1</v>
      </c>
      <c r="AB15" s="1569">
        <f t="shared" si="4"/>
        <v>1</v>
      </c>
      <c r="AC15" s="1569">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746"/>
      <c r="Q16" s="1149">
        <f t="shared" si="6"/>
        <v>111</v>
      </c>
      <c r="R16" s="1566" t="s">
        <v>8</v>
      </c>
      <c r="S16" s="1567">
        <f t="shared" si="0"/>
        <v>100</v>
      </c>
      <c r="T16" s="1566" t="s">
        <v>8</v>
      </c>
      <c r="U16" s="1567">
        <f t="shared" si="1"/>
        <v>100</v>
      </c>
      <c r="V16" s="1566" t="s">
        <v>8</v>
      </c>
      <c r="W16" s="1567">
        <f t="shared" si="2"/>
        <v>100</v>
      </c>
      <c r="X16" s="1568"/>
      <c r="Y16" s="3703"/>
      <c r="Z16" s="1148">
        <f t="shared" si="7"/>
        <v>111</v>
      </c>
      <c r="AA16" s="1569">
        <f t="shared" si="3"/>
        <v>1</v>
      </c>
      <c r="AB16" s="1569">
        <f t="shared" si="4"/>
        <v>1</v>
      </c>
      <c r="AC16" s="1569">
        <f t="shared" si="5"/>
        <v>1</v>
      </c>
    </row>
    <row r="17" spans="1:29" ht="15">
      <c r="A17" s="2934" t="s">
        <v>2760</v>
      </c>
      <c r="B17" s="165" t="s">
        <v>599</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748" t="s">
        <v>541</v>
      </c>
      <c r="Q17" s="1570" t="str">
        <f t="shared" si="6"/>
        <v>产业集聚程度</v>
      </c>
      <c r="R17" s="1571" t="s">
        <v>8</v>
      </c>
      <c r="S17" s="1572">
        <f t="shared" si="0"/>
        <v>100</v>
      </c>
      <c r="T17" s="1571" t="s">
        <v>8</v>
      </c>
      <c r="U17" s="1572">
        <f t="shared" si="1"/>
        <v>100</v>
      </c>
      <c r="V17" s="1571" t="s">
        <v>8</v>
      </c>
      <c r="W17" s="1572">
        <f t="shared" si="2"/>
        <v>100</v>
      </c>
      <c r="X17" s="1565"/>
      <c r="Y17" s="3748" t="s">
        <v>541</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749"/>
      <c r="Q18" s="1570"/>
      <c r="R18" s="1571"/>
      <c r="S18" s="1572"/>
      <c r="T18" s="1571"/>
      <c r="U18" s="1572"/>
      <c r="V18" s="1571"/>
      <c r="W18" s="1572"/>
      <c r="X18" s="1565"/>
      <c r="Y18" s="3749"/>
      <c r="Z18" s="1573"/>
      <c r="AA18" s="1574">
        <v>1</v>
      </c>
      <c r="AB18" s="1574">
        <v>1</v>
      </c>
      <c r="AC18" s="1574">
        <v>1</v>
      </c>
    </row>
    <row r="19" spans="1:29" ht="15">
      <c r="A19" s="531"/>
      <c r="B19" s="870" t="s">
        <v>544</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749"/>
      <c r="Q19" s="1570" t="str">
        <f>B19</f>
        <v>交通便捷度</v>
      </c>
      <c r="R19" s="1571" t="s">
        <v>8</v>
      </c>
      <c r="S19" s="1572">
        <f>F19</f>
        <v>100</v>
      </c>
      <c r="T19" s="1571" t="s">
        <v>8</v>
      </c>
      <c r="U19" s="1572">
        <f>H19</f>
        <v>100</v>
      </c>
      <c r="V19" s="1571" t="s">
        <v>8</v>
      </c>
      <c r="W19" s="1572">
        <f>J19</f>
        <v>100</v>
      </c>
      <c r="X19" s="1565"/>
      <c r="Y19" s="3749"/>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749"/>
      <c r="Q20" s="1570"/>
      <c r="R20" s="1571"/>
      <c r="S20" s="1572"/>
      <c r="T20" s="1571"/>
      <c r="U20" s="1572"/>
      <c r="V20" s="1571"/>
      <c r="W20" s="1572"/>
      <c r="X20" s="1565"/>
      <c r="Y20" s="3749"/>
      <c r="Z20" s="1573"/>
      <c r="AA20" s="1574">
        <v>1</v>
      </c>
      <c r="AB20" s="1574">
        <v>1</v>
      </c>
      <c r="AC20" s="1574">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749"/>
      <c r="Q21" s="1570" t="str">
        <f t="shared" ref="Q21:Q35" si="8">B21</f>
        <v>区域土地利用方向</v>
      </c>
      <c r="R21" s="1571" t="s">
        <v>8</v>
      </c>
      <c r="S21" s="1572">
        <f>F21</f>
        <v>100</v>
      </c>
      <c r="T21" s="1571" t="s">
        <v>8</v>
      </c>
      <c r="U21" s="1572">
        <f>H21</f>
        <v>100</v>
      </c>
      <c r="V21" s="1571" t="s">
        <v>8</v>
      </c>
      <c r="W21" s="1572">
        <f>J21</f>
        <v>100</v>
      </c>
      <c r="X21" s="1565"/>
      <c r="Y21" s="3749"/>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749"/>
      <c r="Q22" s="1570"/>
      <c r="R22" s="1571"/>
      <c r="S22" s="1572"/>
      <c r="T22" s="1571"/>
      <c r="U22" s="1572"/>
      <c r="V22" s="1571"/>
      <c r="W22" s="1572"/>
      <c r="X22" s="1565"/>
      <c r="Y22" s="3749"/>
      <c r="Z22" s="1573"/>
      <c r="AA22" s="1574"/>
      <c r="AB22" s="1574"/>
      <c r="AC22" s="1574"/>
    </row>
    <row r="23" spans="1:29" ht="15">
      <c r="A23" s="514"/>
      <c r="B23" s="920" t="s">
        <v>600</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749"/>
      <c r="Q23" s="1570" t="str">
        <f t="shared" si="8"/>
        <v>环境状况</v>
      </c>
      <c r="R23" s="1571" t="s">
        <v>8</v>
      </c>
      <c r="S23" s="1572">
        <f>F23</f>
        <v>100</v>
      </c>
      <c r="T23" s="1571" t="s">
        <v>8</v>
      </c>
      <c r="U23" s="1572">
        <f>H23</f>
        <v>100</v>
      </c>
      <c r="V23" s="1571" t="s">
        <v>8</v>
      </c>
      <c r="W23" s="1572">
        <f>J23</f>
        <v>100</v>
      </c>
      <c r="X23" s="1565"/>
      <c r="Y23" s="3749"/>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749"/>
      <c r="Q24" s="1570"/>
      <c r="R24" s="1571"/>
      <c r="S24" s="1572"/>
      <c r="T24" s="1571"/>
      <c r="U24" s="1572"/>
      <c r="V24" s="1571"/>
      <c r="W24" s="1572"/>
      <c r="X24" s="1565"/>
      <c r="Y24" s="3749"/>
      <c r="Z24" s="1573"/>
      <c r="AA24" s="1574">
        <v>1</v>
      </c>
      <c r="AB24" s="1574">
        <v>1</v>
      </c>
      <c r="AC24" s="1574">
        <v>1</v>
      </c>
    </row>
    <row r="25" spans="1:29" s="1218" customFormat="1" ht="15">
      <c r="A25" s="576"/>
      <c r="B25" s="2616" t="s">
        <v>2554</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749"/>
      <c r="Q25" s="1149" t="str">
        <f t="shared" si="8"/>
        <v>公共配套设施</v>
      </c>
      <c r="R25" s="1566" t="s">
        <v>8</v>
      </c>
      <c r="S25" s="1567">
        <f>F25</f>
        <v>100</v>
      </c>
      <c r="T25" s="1566" t="s">
        <v>8</v>
      </c>
      <c r="U25" s="1567">
        <f>H25</f>
        <v>100</v>
      </c>
      <c r="V25" s="1566" t="s">
        <v>8</v>
      </c>
      <c r="W25" s="1567">
        <f>J25</f>
        <v>100</v>
      </c>
      <c r="X25" s="1568"/>
      <c r="Y25" s="3749"/>
      <c r="Z25" s="1148" t="str">
        <f>Q25</f>
        <v>公共配套设施</v>
      </c>
      <c r="AA25" s="1574">
        <f>D25/F25</f>
        <v>1</v>
      </c>
      <c r="AB25" s="1574">
        <f>D25/H25</f>
        <v>1</v>
      </c>
      <c r="AC25" s="1574">
        <f>D25/J25</f>
        <v>1</v>
      </c>
    </row>
    <row r="26" spans="1:29" s="1218" customFormat="1" ht="15">
      <c r="A26" s="576"/>
      <c r="B26" s="594"/>
      <c r="C26" s="2615"/>
      <c r="D26" s="554"/>
      <c r="E26" s="553"/>
      <c r="F26" s="554"/>
      <c r="G26" s="553"/>
      <c r="H26" s="554"/>
      <c r="I26" s="575"/>
      <c r="J26" s="554"/>
      <c r="K26" s="530"/>
      <c r="L26" s="2134"/>
      <c r="M26" s="2135"/>
      <c r="N26" s="2135"/>
      <c r="O26" s="2136"/>
      <c r="P26" s="3749"/>
      <c r="Q26" s="1149"/>
      <c r="R26" s="1566"/>
      <c r="S26" s="1567"/>
      <c r="T26" s="1566"/>
      <c r="U26" s="1567"/>
      <c r="V26" s="1566"/>
      <c r="W26" s="1567"/>
      <c r="X26" s="1568"/>
      <c r="Y26" s="3749"/>
      <c r="Z26" s="1148"/>
      <c r="AA26" s="1569">
        <v>1</v>
      </c>
      <c r="AB26" s="1569">
        <v>1</v>
      </c>
      <c r="AC26" s="1569">
        <v>1</v>
      </c>
    </row>
    <row r="27" spans="1:29" s="1218" customFormat="1" ht="15">
      <c r="A27" s="576"/>
      <c r="B27" s="2616" t="s">
        <v>2555</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749"/>
      <c r="Q27" s="2601" t="str">
        <f t="shared" ref="Q27" si="9">B27</f>
        <v>基础设施水平</v>
      </c>
      <c r="R27" s="1566" t="s">
        <v>8</v>
      </c>
      <c r="S27" s="1567">
        <f>F27</f>
        <v>100</v>
      </c>
      <c r="T27" s="1566" t="s">
        <v>8</v>
      </c>
      <c r="U27" s="1567">
        <f>H27</f>
        <v>100</v>
      </c>
      <c r="V27" s="1566" t="s">
        <v>8</v>
      </c>
      <c r="W27" s="1567">
        <f>J27</f>
        <v>100</v>
      </c>
      <c r="X27" s="1568"/>
      <c r="Y27" s="3749"/>
      <c r="Z27" s="2598" t="str">
        <f>Q27</f>
        <v>基础设施水平</v>
      </c>
      <c r="AA27" s="1574">
        <f>D27/F27</f>
        <v>1</v>
      </c>
      <c r="AB27" s="1574">
        <f>D27/H27</f>
        <v>1</v>
      </c>
      <c r="AC27" s="1574">
        <f>D27/J27</f>
        <v>1</v>
      </c>
    </row>
    <row r="28" spans="1:29" s="1218" customFormat="1" ht="15">
      <c r="A28" s="576"/>
      <c r="B28" s="594"/>
      <c r="C28" s="2615"/>
      <c r="D28" s="554"/>
      <c r="E28" s="578"/>
      <c r="F28" s="554"/>
      <c r="G28" s="578"/>
      <c r="H28" s="554"/>
      <c r="I28" s="578"/>
      <c r="J28" s="554"/>
      <c r="K28" s="530"/>
      <c r="L28" s="2134"/>
      <c r="M28" s="2135"/>
      <c r="N28" s="2135"/>
      <c r="O28" s="2136"/>
      <c r="P28" s="3749"/>
      <c r="Q28" s="2601"/>
      <c r="R28" s="1566"/>
      <c r="S28" s="1567"/>
      <c r="T28" s="1566"/>
      <c r="U28" s="1567"/>
      <c r="V28" s="1566"/>
      <c r="W28" s="1567"/>
      <c r="X28" s="1568"/>
      <c r="Y28" s="3749"/>
      <c r="Z28" s="2598"/>
      <c r="AA28" s="1569">
        <v>1</v>
      </c>
      <c r="AB28" s="1569">
        <v>1</v>
      </c>
      <c r="AC28" s="1569">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74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749"/>
      <c r="Z29" s="1573" t="str">
        <f t="shared" ref="Z29:Z42" si="13">Q29</f>
        <v>临街状况</v>
      </c>
      <c r="AA29" s="1574">
        <f t="shared" si="3"/>
        <v>1</v>
      </c>
      <c r="AB29" s="1574">
        <f t="shared" si="4"/>
        <v>1</v>
      </c>
      <c r="AC29" s="1574">
        <f t="shared" si="5"/>
        <v>1</v>
      </c>
    </row>
    <row r="30" spans="1:29" ht="27">
      <c r="A30" s="531"/>
      <c r="B30" s="920" t="s">
        <v>549</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749"/>
      <c r="Q30" s="1570" t="str">
        <f t="shared" si="8"/>
        <v>毗邻道路的类型与等级</v>
      </c>
      <c r="R30" s="1571" t="s">
        <v>8</v>
      </c>
      <c r="S30" s="1572">
        <f t="shared" si="10"/>
        <v>100</v>
      </c>
      <c r="T30" s="1571" t="s">
        <v>8</v>
      </c>
      <c r="U30" s="1572">
        <f t="shared" si="11"/>
        <v>100</v>
      </c>
      <c r="V30" s="1571" t="s">
        <v>8</v>
      </c>
      <c r="W30" s="1572">
        <f t="shared" si="12"/>
        <v>100</v>
      </c>
      <c r="X30" s="1565"/>
      <c r="Y30" s="3749"/>
      <c r="Z30" s="1573" t="str">
        <f t="shared" si="13"/>
        <v>毗邻道路的类型与等级</v>
      </c>
      <c r="AA30" s="1574">
        <f t="shared" si="3"/>
        <v>1</v>
      </c>
      <c r="AB30" s="1574">
        <f t="shared" si="4"/>
        <v>1</v>
      </c>
      <c r="AC30" s="1574">
        <f t="shared" si="5"/>
        <v>1</v>
      </c>
    </row>
    <row r="31" spans="1:29" ht="15">
      <c r="A31" s="531"/>
      <c r="B31" s="594"/>
      <c r="C31" s="575"/>
      <c r="D31" s="554"/>
      <c r="E31" s="553"/>
      <c r="F31" s="554"/>
      <c r="G31" s="553"/>
      <c r="H31" s="554"/>
      <c r="I31" s="575"/>
      <c r="J31" s="554"/>
      <c r="K31" s="580"/>
      <c r="L31" s="2141"/>
      <c r="M31" s="2133"/>
      <c r="N31" s="2133"/>
      <c r="O31" s="2140"/>
      <c r="P31" s="3749"/>
      <c r="Q31" s="1570"/>
      <c r="R31" s="1571"/>
      <c r="S31" s="1572"/>
      <c r="T31" s="1571"/>
      <c r="U31" s="1572"/>
      <c r="V31" s="1571"/>
      <c r="W31" s="1572"/>
      <c r="X31" s="1565"/>
      <c r="Y31" s="3749"/>
      <c r="Z31" s="1573"/>
      <c r="AA31" s="1574">
        <v>1</v>
      </c>
      <c r="AB31" s="1574">
        <v>1</v>
      </c>
      <c r="AC31" s="1574">
        <v>1</v>
      </c>
    </row>
    <row r="32" spans="1:29" ht="15">
      <c r="A32" s="531"/>
      <c r="B32" s="526" t="s">
        <v>550</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749"/>
      <c r="Q32" s="1570" t="str">
        <f t="shared" si="8"/>
        <v>土地级别</v>
      </c>
      <c r="R32" s="1571" t="s">
        <v>8</v>
      </c>
      <c r="S32" s="1572">
        <f t="shared" si="10"/>
        <v>100</v>
      </c>
      <c r="T32" s="1571" t="s">
        <v>8</v>
      </c>
      <c r="U32" s="1572">
        <f t="shared" si="11"/>
        <v>100</v>
      </c>
      <c r="V32" s="1571" t="s">
        <v>8</v>
      </c>
      <c r="W32" s="1572">
        <f t="shared" si="12"/>
        <v>100</v>
      </c>
      <c r="X32" s="1565"/>
      <c r="Y32" s="3749"/>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749"/>
      <c r="Q33" s="1570">
        <f t="shared" si="8"/>
        <v>111</v>
      </c>
      <c r="R33" s="1571" t="s">
        <v>8</v>
      </c>
      <c r="S33" s="1572">
        <f t="shared" si="10"/>
        <v>100</v>
      </c>
      <c r="T33" s="1571" t="s">
        <v>8</v>
      </c>
      <c r="U33" s="1572">
        <f t="shared" si="11"/>
        <v>100</v>
      </c>
      <c r="V33" s="1571" t="s">
        <v>8</v>
      </c>
      <c r="W33" s="1572">
        <f t="shared" si="12"/>
        <v>100</v>
      </c>
      <c r="X33" s="1565"/>
      <c r="Y33" s="3749"/>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750" t="s">
        <v>551</v>
      </c>
      <c r="Q34" s="1570">
        <f t="shared" si="8"/>
        <v>111</v>
      </c>
      <c r="R34" s="1571" t="s">
        <v>8</v>
      </c>
      <c r="S34" s="1572">
        <f t="shared" si="10"/>
        <v>100</v>
      </c>
      <c r="T34" s="1571" t="s">
        <v>8</v>
      </c>
      <c r="U34" s="1572">
        <f t="shared" si="11"/>
        <v>100</v>
      </c>
      <c r="V34" s="1571" t="s">
        <v>8</v>
      </c>
      <c r="W34" s="1572">
        <f t="shared" si="12"/>
        <v>100</v>
      </c>
      <c r="X34" s="1565"/>
      <c r="Y34" s="3751" t="s">
        <v>551</v>
      </c>
      <c r="Z34" s="1573">
        <f t="shared" si="13"/>
        <v>111</v>
      </c>
      <c r="AA34" s="1574">
        <f t="shared" si="3"/>
        <v>1</v>
      </c>
      <c r="AB34" s="1574">
        <f t="shared" si="4"/>
        <v>1</v>
      </c>
      <c r="AC34" s="1574">
        <f t="shared" si="5"/>
        <v>1</v>
      </c>
    </row>
    <row r="35" spans="1:29" s="1337"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751"/>
      <c r="Q35" s="1570">
        <f t="shared" si="8"/>
        <v>111</v>
      </c>
      <c r="R35" s="1575" t="s">
        <v>8</v>
      </c>
      <c r="S35" s="1576">
        <f t="shared" si="10"/>
        <v>100</v>
      </c>
      <c r="T35" s="1575" t="s">
        <v>8</v>
      </c>
      <c r="U35" s="1576">
        <f t="shared" si="11"/>
        <v>100</v>
      </c>
      <c r="V35" s="1575" t="s">
        <v>8</v>
      </c>
      <c r="W35" s="1576">
        <f t="shared" si="12"/>
        <v>100</v>
      </c>
      <c r="X35" s="1577"/>
      <c r="Y35" s="3751"/>
      <c r="Z35" s="1578">
        <f t="shared" si="13"/>
        <v>111</v>
      </c>
      <c r="AA35" s="1574">
        <f t="shared" si="3"/>
        <v>1</v>
      </c>
      <c r="AB35" s="1574">
        <f t="shared" si="4"/>
        <v>1</v>
      </c>
      <c r="AC35" s="1574">
        <f t="shared" si="5"/>
        <v>1</v>
      </c>
    </row>
    <row r="36" spans="1:29" ht="15">
      <c r="A36" s="2931" t="s">
        <v>2761</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751"/>
      <c r="Q36" s="1570" t="str">
        <f>B36</f>
        <v>宗地面积</v>
      </c>
      <c r="R36" s="1571" t="s">
        <v>8</v>
      </c>
      <c r="S36" s="1572" t="e">
        <f t="shared" si="10"/>
        <v>#N/A</v>
      </c>
      <c r="T36" s="1571" t="s">
        <v>8</v>
      </c>
      <c r="U36" s="1572" t="e">
        <f t="shared" si="11"/>
        <v>#N/A</v>
      </c>
      <c r="V36" s="1571" t="s">
        <v>8</v>
      </c>
      <c r="W36" s="1572" t="e">
        <f t="shared" si="12"/>
        <v>#N/A</v>
      </c>
      <c r="X36" s="1565"/>
      <c r="Y36" s="3751"/>
      <c r="Z36" s="1573" t="str">
        <f t="shared" si="13"/>
        <v>宗地面积</v>
      </c>
      <c r="AA36" s="1574" t="e">
        <f t="shared" si="3"/>
        <v>#N/A</v>
      </c>
      <c r="AB36" s="1574" t="e">
        <f t="shared" si="4"/>
        <v>#N/A</v>
      </c>
      <c r="AC36" s="1574"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751"/>
      <c r="Q37" s="1570" t="str">
        <f t="shared" ref="Q37:Q42" si="14">B37</f>
        <v>宗地形状</v>
      </c>
      <c r="R37" s="1571" t="s">
        <v>8</v>
      </c>
      <c r="S37" s="1572">
        <f t="shared" si="10"/>
        <v>100</v>
      </c>
      <c r="T37" s="1571" t="s">
        <v>8</v>
      </c>
      <c r="U37" s="1572">
        <f t="shared" si="11"/>
        <v>100</v>
      </c>
      <c r="V37" s="1571" t="s">
        <v>8</v>
      </c>
      <c r="W37" s="1572">
        <f t="shared" si="12"/>
        <v>100</v>
      </c>
      <c r="X37" s="1565"/>
      <c r="Y37" s="3751"/>
      <c r="Z37" s="1573" t="str">
        <f t="shared" si="13"/>
        <v>宗地形状</v>
      </c>
      <c r="AA37" s="1574">
        <f t="shared" si="3"/>
        <v>1</v>
      </c>
      <c r="AB37" s="1574">
        <f t="shared" si="4"/>
        <v>1</v>
      </c>
      <c r="AC37" s="1574">
        <f t="shared" si="5"/>
        <v>1</v>
      </c>
    </row>
    <row r="38" spans="1:29" s="1218" customFormat="1" ht="15">
      <c r="A38" s="599"/>
      <c r="B38" s="1894" t="s">
        <v>2428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751"/>
      <c r="Q38" s="1570" t="str">
        <f t="shared" si="14"/>
        <v>宗地开发程度</v>
      </c>
      <c r="R38" s="1566" t="s">
        <v>8</v>
      </c>
      <c r="S38" s="1567">
        <f t="shared" si="10"/>
        <v>100</v>
      </c>
      <c r="T38" s="1566" t="s">
        <v>8</v>
      </c>
      <c r="U38" s="1567">
        <f t="shared" si="11"/>
        <v>100</v>
      </c>
      <c r="V38" s="1566" t="s">
        <v>8</v>
      </c>
      <c r="W38" s="1567">
        <f t="shared" si="12"/>
        <v>100</v>
      </c>
      <c r="X38" s="1568"/>
      <c r="Y38" s="3751"/>
      <c r="Z38" s="1148" t="str">
        <f t="shared" si="13"/>
        <v>宗地开发程度</v>
      </c>
      <c r="AA38" s="1569">
        <f t="shared" si="3"/>
        <v>1</v>
      </c>
      <c r="AB38" s="1569">
        <f t="shared" si="4"/>
        <v>1</v>
      </c>
      <c r="AC38" s="1569">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51" t="s">
        <v>602</v>
      </c>
      <c r="Q39" s="1570" t="str">
        <f t="shared" si="14"/>
        <v>工程地质条件</v>
      </c>
      <c r="R39" s="1571" t="s">
        <v>8</v>
      </c>
      <c r="S39" s="1572">
        <f t="shared" si="10"/>
        <v>100</v>
      </c>
      <c r="T39" s="1571" t="s">
        <v>8</v>
      </c>
      <c r="U39" s="1572">
        <f t="shared" si="11"/>
        <v>100</v>
      </c>
      <c r="V39" s="1571" t="s">
        <v>8</v>
      </c>
      <c r="W39" s="1572">
        <f t="shared" si="12"/>
        <v>100</v>
      </c>
      <c r="X39" s="1565"/>
      <c r="Y39" s="3751" t="s">
        <v>602</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751"/>
      <c r="Q40" s="1570">
        <f t="shared" si="14"/>
        <v>111</v>
      </c>
      <c r="R40" s="1571" t="s">
        <v>8</v>
      </c>
      <c r="S40" s="1572">
        <f t="shared" si="10"/>
        <v>100</v>
      </c>
      <c r="T40" s="1571" t="s">
        <v>8</v>
      </c>
      <c r="U40" s="1572">
        <f t="shared" si="11"/>
        <v>100</v>
      </c>
      <c r="V40" s="1571" t="s">
        <v>8</v>
      </c>
      <c r="W40" s="1572">
        <f t="shared" si="12"/>
        <v>100</v>
      </c>
      <c r="X40" s="1565"/>
      <c r="Y40" s="3751"/>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751"/>
      <c r="Q41" s="1570">
        <f t="shared" si="14"/>
        <v>111</v>
      </c>
      <c r="R41" s="1571" t="s">
        <v>8</v>
      </c>
      <c r="S41" s="1572">
        <f t="shared" si="10"/>
        <v>100</v>
      </c>
      <c r="T41" s="1571" t="s">
        <v>8</v>
      </c>
      <c r="U41" s="1572">
        <f t="shared" si="11"/>
        <v>100</v>
      </c>
      <c r="V41" s="1571" t="s">
        <v>8</v>
      </c>
      <c r="W41" s="1572">
        <f t="shared" si="12"/>
        <v>100</v>
      </c>
      <c r="X41" s="1565"/>
      <c r="Y41" s="3751"/>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751"/>
      <c r="Q42" s="1570">
        <f t="shared" si="14"/>
        <v>111</v>
      </c>
      <c r="R42" s="1575" t="s">
        <v>8</v>
      </c>
      <c r="S42" s="1576">
        <f t="shared" si="10"/>
        <v>100</v>
      </c>
      <c r="T42" s="1575" t="s">
        <v>8</v>
      </c>
      <c r="U42" s="1576">
        <f t="shared" si="11"/>
        <v>100</v>
      </c>
      <c r="V42" s="1575" t="s">
        <v>8</v>
      </c>
      <c r="W42" s="1576">
        <f t="shared" si="12"/>
        <v>100</v>
      </c>
      <c r="X42" s="1577"/>
      <c r="Y42" s="3751"/>
      <c r="Z42" s="1578">
        <f t="shared" si="13"/>
        <v>111</v>
      </c>
      <c r="AA42" s="1574">
        <f t="shared" si="3"/>
        <v>1</v>
      </c>
      <c r="AB42" s="1574">
        <f t="shared" si="4"/>
        <v>1</v>
      </c>
      <c r="AC42" s="1574">
        <f t="shared" si="5"/>
        <v>1</v>
      </c>
    </row>
    <row r="43" spans="1:29" ht="15">
      <c r="A43" s="606" t="s">
        <v>557</v>
      </c>
      <c r="B43" s="607" t="s">
        <v>2932</v>
      </c>
      <c r="C43" s="608" t="s">
        <v>1</v>
      </c>
      <c r="D43" s="609"/>
      <c r="E43" s="610"/>
      <c r="F43" s="611"/>
      <c r="G43" s="612"/>
      <c r="H43" s="613"/>
      <c r="I43" s="610"/>
      <c r="J43" s="613"/>
      <c r="K43" s="1338"/>
      <c r="L43" s="2143"/>
      <c r="M43" s="2133"/>
      <c r="N43" s="2133"/>
      <c r="O43" s="2144"/>
      <c r="P43" s="3746" t="str">
        <f>A43</f>
        <v>成交单价</v>
      </c>
      <c r="Q43" s="3746"/>
      <c r="R43" s="3760">
        <f>E43</f>
        <v>0</v>
      </c>
      <c r="S43" s="3760"/>
      <c r="T43" s="3760">
        <f>G43</f>
        <v>0</v>
      </c>
      <c r="U43" s="3760"/>
      <c r="V43" s="3760">
        <f>I43</f>
        <v>0</v>
      </c>
      <c r="W43" s="3760"/>
      <c r="X43" s="1557"/>
      <c r="Y43" s="1579"/>
      <c r="Z43" s="1557"/>
      <c r="AA43" s="1557"/>
      <c r="AB43" s="1557"/>
      <c r="AC43" s="1557"/>
    </row>
    <row r="44" spans="1:29" ht="15.75" thickBot="1">
      <c r="A44" s="614" t="s">
        <v>2699</v>
      </c>
      <c r="B44" s="615"/>
      <c r="C44" s="616" t="e">
        <f>R45</f>
        <v>#DIV/0!</v>
      </c>
      <c r="D44" s="617"/>
      <c r="E44" s="616" t="e">
        <f>R44</f>
        <v>#DIV/0!</v>
      </c>
      <c r="F44" s="618"/>
      <c r="G44" s="619" t="e">
        <f>T44</f>
        <v>#DIV/0!</v>
      </c>
      <c r="H44" s="617"/>
      <c r="I44" s="616" t="e">
        <f>V44</f>
        <v>#DIV/0!</v>
      </c>
      <c r="J44" s="617"/>
      <c r="K44" s="1339"/>
      <c r="L44" s="2143"/>
      <c r="M44" s="2133"/>
      <c r="N44" s="2133"/>
      <c r="O44" s="2144"/>
      <c r="P44" s="3746" t="str">
        <f>A44</f>
        <v>比较价格（元/平方米）</v>
      </c>
      <c r="Q44" s="3746"/>
      <c r="R44" s="3773" t="e">
        <f>ROUND(PRODUCT(R43,AA9:AA42),0)</f>
        <v>#DIV/0!</v>
      </c>
      <c r="S44" s="3773"/>
      <c r="T44" s="3773" t="e">
        <f>ROUND(PRODUCT(T43,AB9:AB42),0)</f>
        <v>#DIV/0!</v>
      </c>
      <c r="U44" s="3773"/>
      <c r="V44" s="3773" t="e">
        <f>ROUND(PRODUCT(V43,AC9:AC42),0)</f>
        <v>#DIV/0!</v>
      </c>
      <c r="W44" s="3773"/>
      <c r="X44" s="1557"/>
      <c r="Y44" s="1557"/>
      <c r="Z44" s="1557"/>
      <c r="AA44" s="1557"/>
      <c r="AB44" s="1557"/>
      <c r="AC44" s="1557"/>
    </row>
    <row r="45" spans="1:29" ht="15.75" thickBot="1">
      <c r="A45" s="620" t="s">
        <v>2933</v>
      </c>
      <c r="B45" s="621"/>
      <c r="C45" s="622" t="e">
        <f>R45</f>
        <v>#DIV/0!</v>
      </c>
      <c r="D45" s="622"/>
      <c r="E45" s="622"/>
      <c r="F45" s="622"/>
      <c r="G45" s="622"/>
      <c r="H45" s="622"/>
      <c r="I45" s="622"/>
      <c r="J45" s="622"/>
      <c r="K45" s="1340"/>
      <c r="L45" s="2143"/>
      <c r="M45" s="2133"/>
      <c r="N45" s="2133"/>
      <c r="O45" s="2144"/>
      <c r="P45" s="3770" t="str">
        <f>A45</f>
        <v>估价对象XX用房的比较价格（楼面单价，元/平方米）</v>
      </c>
      <c r="Q45" s="3771"/>
      <c r="R45" s="3772" t="e">
        <f>ROUND(AVERAGE(R44:V44),0)</f>
        <v>#DIV/0!</v>
      </c>
      <c r="S45" s="3772"/>
      <c r="T45" s="3772"/>
      <c r="U45" s="3772"/>
      <c r="V45" s="3772"/>
      <c r="W45" s="3772"/>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561</v>
      </c>
      <c r="B52" s="629" t="s">
        <v>562</v>
      </c>
      <c r="C52" s="1558" t="s">
        <v>1726</v>
      </c>
      <c r="D52" s="2226" t="s">
        <v>2297</v>
      </c>
      <c r="E52" s="630" t="s">
        <v>563</v>
      </c>
      <c r="F52" s="1950" t="s">
        <v>564</v>
      </c>
      <c r="G52" s="3774" t="s">
        <v>2288</v>
      </c>
      <c r="H52" s="3775"/>
      <c r="I52" s="1951" t="s">
        <v>1949</v>
      </c>
      <c r="J52" s="1553">
        <f>项目基本情况!F41</f>
        <v>0</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565</v>
      </c>
      <c r="B53" s="633" t="e">
        <f>C45</f>
        <v>#DIV/0!</v>
      </c>
      <c r="C53" s="634">
        <v>1</v>
      </c>
      <c r="D53" s="2227">
        <v>1</v>
      </c>
      <c r="E53" s="634">
        <f>'数据-汇总表'!E8+'数据-汇总表'!E9</f>
        <v>219721</v>
      </c>
      <c r="F53" s="1949" t="e">
        <f t="shared" ref="F53:F62" si="15">ROUND(B53*E53/10000,0)</f>
        <v>#DIV/0!</v>
      </c>
      <c r="G53" s="3776"/>
      <c r="H53" s="3777"/>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566</v>
      </c>
      <c r="B54" s="637" t="e">
        <f>ROUND($C$45*C54*D54,0)</f>
        <v>#DIV/0!</v>
      </c>
      <c r="C54" s="377">
        <f t="shared" ref="C54:C62" si="16">IF($C$52="北京市系数",I54,J54)</f>
        <v>0</v>
      </c>
      <c r="D54" s="2228">
        <v>0.25</v>
      </c>
      <c r="E54" s="638"/>
      <c r="F54" s="1949" t="e">
        <f t="shared" si="15"/>
        <v>#DIV/0!</v>
      </c>
      <c r="G54" s="3778" t="s">
        <v>2289</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567</v>
      </c>
      <c r="B55" s="637" t="e">
        <f t="shared" ref="B55:B62" si="17">ROUND($C$45*C55*D55,0)</f>
        <v>#DIV/0!</v>
      </c>
      <c r="C55" s="377">
        <f t="shared" si="16"/>
        <v>0</v>
      </c>
      <c r="D55" s="2228">
        <v>0.25</v>
      </c>
      <c r="E55" s="638"/>
      <c r="F55" s="1949" t="e">
        <f t="shared" si="15"/>
        <v>#DIV/0!</v>
      </c>
      <c r="G55" s="3778"/>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568</v>
      </c>
      <c r="B56" s="637" t="e">
        <f t="shared" si="17"/>
        <v>#DIV/0!</v>
      </c>
      <c r="C56" s="377">
        <f t="shared" si="16"/>
        <v>0</v>
      </c>
      <c r="D56" s="2228">
        <v>0.25</v>
      </c>
      <c r="E56" s="638"/>
      <c r="F56" s="1949" t="e">
        <f t="shared" si="15"/>
        <v>#DIV/0!</v>
      </c>
      <c r="G56" s="3778"/>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569</v>
      </c>
      <c r="B57" s="637" t="e">
        <f t="shared" si="17"/>
        <v>#DIV/0!</v>
      </c>
      <c r="C57" s="377">
        <f t="shared" si="16"/>
        <v>0</v>
      </c>
      <c r="D57" s="2228">
        <v>0.25</v>
      </c>
      <c r="E57" s="638"/>
      <c r="F57" s="1949" t="e">
        <f t="shared" si="15"/>
        <v>#DIV/0!</v>
      </c>
      <c r="G57" s="3778"/>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2332</v>
      </c>
      <c r="B58" s="637" t="e">
        <f t="shared" si="17"/>
        <v>#DIV/0!</v>
      </c>
      <c r="C58" s="377">
        <f t="shared" si="16"/>
        <v>0</v>
      </c>
      <c r="D58" s="2228">
        <v>0.25</v>
      </c>
      <c r="E58" s="640">
        <f>'数据-汇总表'!E11</f>
        <v>0</v>
      </c>
      <c r="F58" s="1949" t="e">
        <f t="shared" si="15"/>
        <v>#DIV/0!</v>
      </c>
      <c r="G58" s="1955" t="s">
        <v>2290</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570</v>
      </c>
      <c r="B59" s="637" t="e">
        <f t="shared" si="17"/>
        <v>#DIV/0!</v>
      </c>
      <c r="C59" s="377">
        <f t="shared" si="16"/>
        <v>0</v>
      </c>
      <c r="D59" s="2228">
        <v>0.25</v>
      </c>
      <c r="E59" s="640">
        <f>'数据-汇总表'!E12</f>
        <v>0</v>
      </c>
      <c r="F59" s="1949" t="e">
        <f t="shared" si="15"/>
        <v>#DIV/0!</v>
      </c>
      <c r="G59" s="1945" t="s">
        <v>1679</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571</v>
      </c>
      <c r="B60" s="637" t="e">
        <f t="shared" si="17"/>
        <v>#DIV/0!</v>
      </c>
      <c r="C60" s="377">
        <f t="shared" si="16"/>
        <v>0</v>
      </c>
      <c r="D60" s="2228">
        <v>0.25</v>
      </c>
      <c r="E60" s="640">
        <f>'数据-汇总表'!E13</f>
        <v>66075</v>
      </c>
      <c r="F60" s="1949" t="e">
        <f t="shared" si="15"/>
        <v>#DIV/0!</v>
      </c>
      <c r="G60" s="1945" t="s">
        <v>924</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572</v>
      </c>
      <c r="B61" s="637" t="e">
        <f t="shared" si="17"/>
        <v>#DIV/0!</v>
      </c>
      <c r="C61" s="377">
        <f t="shared" si="16"/>
        <v>0</v>
      </c>
      <c r="D61" s="2228">
        <v>0.25</v>
      </c>
      <c r="E61" s="640">
        <f>'数据-汇总表'!E14</f>
        <v>0</v>
      </c>
      <c r="F61" s="1949" t="e">
        <f t="shared" si="15"/>
        <v>#DIV/0!</v>
      </c>
      <c r="G61" s="1955" t="s">
        <v>2289</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573</v>
      </c>
      <c r="B62" s="637" t="e">
        <f t="shared" si="17"/>
        <v>#DIV/0!</v>
      </c>
      <c r="C62" s="377">
        <f t="shared" si="16"/>
        <v>0</v>
      </c>
      <c r="D62" s="2228">
        <v>0.25</v>
      </c>
      <c r="E62" s="640">
        <f>'数据-汇总表'!E15</f>
        <v>0</v>
      </c>
      <c r="F62" s="1949" t="e">
        <f t="shared" si="15"/>
        <v>#DIV/0!</v>
      </c>
      <c r="G62" s="1956" t="s">
        <v>2290</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574</v>
      </c>
      <c r="B63" s="642" t="s">
        <v>17</v>
      </c>
      <c r="C63" s="642" t="s">
        <v>18</v>
      </c>
      <c r="D63" s="642" t="s">
        <v>2298</v>
      </c>
      <c r="E63" s="642">
        <f>IF(B43="楼面地价",SUM(E53:E62),'数据-汇总表'!D3)</f>
        <v>96912.82</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2018-3-1</v>
      </c>
      <c r="D65" s="2823">
        <f>EDATE(C65,-3)</f>
        <v>43070</v>
      </c>
      <c r="E65" s="2823">
        <f t="shared" ref="E65:N65" si="18">EDATE(D65,-3)</f>
        <v>42979</v>
      </c>
      <c r="F65" s="2823">
        <f t="shared" si="18"/>
        <v>42887</v>
      </c>
      <c r="G65" s="2823">
        <f t="shared" si="18"/>
        <v>42795</v>
      </c>
      <c r="H65" s="2823">
        <f t="shared" si="18"/>
        <v>42705</v>
      </c>
      <c r="I65" s="2823">
        <f t="shared" si="18"/>
        <v>42614</v>
      </c>
      <c r="J65" s="2823">
        <f t="shared" si="18"/>
        <v>42522</v>
      </c>
      <c r="K65" s="2823">
        <f t="shared" si="18"/>
        <v>42430</v>
      </c>
      <c r="L65" s="2823">
        <f t="shared" si="18"/>
        <v>42339</v>
      </c>
      <c r="M65" s="2823">
        <f t="shared" si="18"/>
        <v>42248</v>
      </c>
      <c r="N65" s="2823">
        <f t="shared" si="18"/>
        <v>42156</v>
      </c>
      <c r="O65" s="2144"/>
      <c r="P65" s="2144"/>
      <c r="Q65" s="2144"/>
      <c r="R65" s="2144"/>
      <c r="S65" s="2144"/>
      <c r="T65" s="2144"/>
      <c r="U65" s="2144"/>
      <c r="V65" s="2144"/>
      <c r="W65" s="2144"/>
      <c r="X65" s="2144"/>
      <c r="Y65" s="2144"/>
      <c r="Z65" s="2144"/>
      <c r="AA65" s="2144"/>
      <c r="AB65" s="2144"/>
      <c r="AC65" s="2144"/>
    </row>
    <row r="66" spans="1:29" ht="21.75" thickBot="1">
      <c r="A66" s="1582" t="s">
        <v>575</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2539</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8" customFormat="1" ht="27.75" customHeight="1">
      <c r="A68" s="2822" t="s">
        <v>2655</v>
      </c>
      <c r="B68" s="478" t="str">
        <f>"北京市平均增长率"&amp;TEXT(基准地价!P24,"0.00%")</f>
        <v>北京市平均增长率1.31%</v>
      </c>
      <c r="C68" s="892">
        <v>100</v>
      </c>
      <c r="D68" s="729"/>
      <c r="E68" s="729"/>
      <c r="F68" s="729"/>
      <c r="G68" s="729"/>
      <c r="H68" s="729"/>
      <c r="I68" s="729"/>
      <c r="J68" s="729"/>
      <c r="K68" s="729"/>
      <c r="L68" s="729"/>
      <c r="M68" s="2816"/>
      <c r="N68" s="2817"/>
      <c r="O68" s="2161"/>
      <c r="P68" s="2157"/>
      <c r="Q68" s="1992"/>
      <c r="R68" s="1992"/>
      <c r="S68" s="1992"/>
      <c r="T68" s="1992"/>
      <c r="U68" s="1992"/>
      <c r="V68" s="1992"/>
      <c r="W68" s="1992"/>
      <c r="X68" s="1992"/>
      <c r="Y68" s="1992"/>
      <c r="Z68" s="1992"/>
      <c r="AA68" s="1992"/>
      <c r="AB68" s="1992"/>
      <c r="AC68" s="1992"/>
    </row>
    <row r="69" spans="1:29" s="1218" customFormat="1" ht="15.75" thickBot="1">
      <c r="A69" s="652" t="s">
        <v>576</v>
      </c>
      <c r="B69" s="653"/>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8" customFormat="1" ht="15">
      <c r="A70" s="658" t="s">
        <v>532</v>
      </c>
      <c r="B70" s="647"/>
      <c r="C70" s="659" t="s">
        <v>577</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578</v>
      </c>
      <c r="B72" s="664" t="s">
        <v>535</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538</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540</v>
      </c>
      <c r="B85" s="664" t="s">
        <v>603</v>
      </c>
      <c r="C85" s="702" t="s">
        <v>580</v>
      </c>
      <c r="D85" s="702" t="s">
        <v>581</v>
      </c>
      <c r="E85" s="702" t="s">
        <v>582</v>
      </c>
      <c r="F85" s="702" t="s">
        <v>583</v>
      </c>
      <c r="G85" s="702" t="s">
        <v>584</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587</v>
      </c>
      <c r="C87" s="707" t="s">
        <v>580</v>
      </c>
      <c r="D87" s="707" t="s">
        <v>581</v>
      </c>
      <c r="E87" s="707" t="s">
        <v>582</v>
      </c>
      <c r="F87" s="707" t="s">
        <v>583</v>
      </c>
      <c r="G87" s="707" t="s">
        <v>584</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588</v>
      </c>
      <c r="C89" s="707" t="s">
        <v>580</v>
      </c>
      <c r="D89" s="707" t="s">
        <v>581</v>
      </c>
      <c r="E89" s="707" t="s">
        <v>582</v>
      </c>
      <c r="F89" s="707" t="s">
        <v>583</v>
      </c>
      <c r="G89" s="707" t="s">
        <v>584</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589</v>
      </c>
      <c r="C91" s="702" t="s">
        <v>580</v>
      </c>
      <c r="D91" s="702" t="s">
        <v>581</v>
      </c>
      <c r="E91" s="702" t="s">
        <v>582</v>
      </c>
      <c r="F91" s="702" t="s">
        <v>583</v>
      </c>
      <c r="G91" s="702" t="s">
        <v>584</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2554</v>
      </c>
      <c r="C93" s="702" t="s">
        <v>580</v>
      </c>
      <c r="D93" s="702" t="s">
        <v>581</v>
      </c>
      <c r="E93" s="702" t="s">
        <v>582</v>
      </c>
      <c r="F93" s="702" t="s">
        <v>583</v>
      </c>
      <c r="G93" s="702" t="s">
        <v>584</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620" t="s">
        <v>2556</v>
      </c>
      <c r="C95" s="2621" t="s">
        <v>2557</v>
      </c>
      <c r="D95" s="2621" t="s">
        <v>2558</v>
      </c>
      <c r="E95" s="2621" t="s">
        <v>2559</v>
      </c>
      <c r="F95" s="2621" t="s">
        <v>2560</v>
      </c>
      <c r="G95" s="2621" t="s">
        <v>2561</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590</v>
      </c>
      <c r="D97" s="673" t="s">
        <v>591</v>
      </c>
      <c r="E97" s="673" t="s">
        <v>592</v>
      </c>
      <c r="F97" s="673" t="s">
        <v>593</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549</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550</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7" t="str">
        <f t="shared" si="25"/>
        <v>(含)-</v>
      </c>
      <c r="L109" s="3118" t="str">
        <f t="shared" si="25"/>
        <v>(含)-</v>
      </c>
      <c r="M109" s="311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595</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2429</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597</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1696</v>
      </c>
      <c r="B1" s="1398"/>
      <c r="C1" s="1404" t="s">
        <v>2430</v>
      </c>
      <c r="D1" s="1519">
        <f>SUM(D29:D30,D33:D39)</f>
        <v>0</v>
      </c>
      <c r="E1" s="1404" t="s">
        <v>2431</v>
      </c>
      <c r="F1" s="2475"/>
      <c r="G1" s="1399"/>
      <c r="H1" s="1399"/>
      <c r="I1" s="1399"/>
      <c r="J1" s="1399"/>
      <c r="K1" s="1399"/>
      <c r="L1" s="1881" t="s">
        <v>2242</v>
      </c>
      <c r="M1" s="1882">
        <f>SUMPRODUCT((区片价!B5:B9=I2)*(区片价!C3:F3=E2)*(区片价!C5:F9))</f>
        <v>0</v>
      </c>
      <c r="N1" s="1883">
        <f>SUMPRODUCT((因素修正幅度!B5:B9=I2)*(因素修正幅度!C3:F3=E2)*(因素修正幅度!C5:F9))</f>
        <v>0</v>
      </c>
      <c r="O1" s="2188"/>
      <c r="P1" s="2188"/>
      <c r="Q1" s="2188"/>
      <c r="R1" s="2960" t="s">
        <v>2768</v>
      </c>
      <c r="S1" s="2960" t="s">
        <v>2769</v>
      </c>
      <c r="T1" s="2960" t="s">
        <v>2790</v>
      </c>
      <c r="U1" s="2960" t="s">
        <v>2791</v>
      </c>
      <c r="V1" s="2960" t="s">
        <v>2792</v>
      </c>
      <c r="W1" s="2188"/>
      <c r="X1" s="2188"/>
      <c r="Y1" s="2188"/>
      <c r="Z1" s="2188"/>
      <c r="AA1" s="2188"/>
      <c r="AB1" s="2188"/>
      <c r="AC1" s="2189"/>
    </row>
    <row r="2" spans="1:39" ht="15.75">
      <c r="A2" s="1404" t="s">
        <v>921</v>
      </c>
      <c r="B2" s="1036" t="e">
        <f>C26</f>
        <v>#DIV/0!</v>
      </c>
      <c r="C2" s="1405" t="s">
        <v>922</v>
      </c>
      <c r="D2" s="1406" t="s">
        <v>923</v>
      </c>
      <c r="E2" s="1407"/>
      <c r="F2" s="1406" t="s">
        <v>925</v>
      </c>
      <c r="G2" s="1650">
        <f>IF(E2="商业",项目基本情况!B43,IF(E2="办公",项目基本情况!C43,IF(E2="住宅",项目基本情况!D43,项目基本情况!E43)))</f>
        <v>0</v>
      </c>
      <c r="H2" s="1406" t="s">
        <v>927</v>
      </c>
      <c r="I2" s="1651">
        <f>IF(E2="商业",项目基本情况!B44,IF(E2="办公",项目基本情况!C44,IF(E2="住宅",项目基本情况!D44,项目基本情况!E44)))</f>
        <v>0</v>
      </c>
      <c r="J2" s="1408"/>
      <c r="K2" s="1399"/>
      <c r="L2" s="1884" t="s">
        <v>2243</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09" t="s">
        <v>1689</v>
      </c>
      <c r="B3" s="1036" t="e">
        <f>ROUND(B2*10000/D1,0)</f>
        <v>#DIV/0!</v>
      </c>
      <c r="C3" s="1405" t="s">
        <v>928</v>
      </c>
      <c r="D3" s="1406" t="s">
        <v>929</v>
      </c>
      <c r="E3" s="1410"/>
      <c r="F3" s="1411" t="s">
        <v>2934</v>
      </c>
      <c r="G3" s="1037">
        <f>IF(F3="宗地容积率",'数据-汇总表'!I4,IF(F3="估价对象容积率",'数据-汇总表'!I6,'数据-汇总表'!I7))</f>
        <v>2.29</v>
      </c>
      <c r="H3" s="1412" t="s">
        <v>930</v>
      </c>
      <c r="I3" s="1038">
        <v>8</v>
      </c>
      <c r="J3" s="1408" t="s">
        <v>931</v>
      </c>
      <c r="K3" s="1399"/>
      <c r="L3" s="1884" t="s">
        <v>2244</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2284</v>
      </c>
      <c r="B4" s="2476" t="e">
        <f>ROUND(B2*10000/F1,0)</f>
        <v>#DIV/0!</v>
      </c>
      <c r="C4" s="1893" t="s">
        <v>2258</v>
      </c>
      <c r="D4" s="1893" t="e">
        <f>ROUND(B2/(F1/666.67),0)</f>
        <v>#DIV/0!</v>
      </c>
      <c r="E4" s="1893" t="s">
        <v>2259</v>
      </c>
      <c r="F4" s="1891"/>
      <c r="G4" s="1891"/>
      <c r="H4" s="1891"/>
      <c r="I4" s="1891"/>
      <c r="J4" s="1892"/>
      <c r="K4" s="1399"/>
      <c r="L4" s="1884" t="s">
        <v>2245</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19" customFormat="1" ht="15.75" thickBot="1">
      <c r="A5" s="1636" t="s">
        <v>1825</v>
      </c>
      <c r="B5" s="1413" t="s">
        <v>932</v>
      </c>
      <c r="C5" s="1039" t="e">
        <f>ROUND(IF(E2="商业",IF(F16="增加",C6*C7+C16,C6*C7-C16),IF(E2="住宅",IF(F16="增加",C6*C12+C16,C6*C12-C16),IF(F16="增加",C6+C16,C6-C16))),0)</f>
        <v>#DIV/0!</v>
      </c>
      <c r="D5" s="3149">
        <f>ROUND(IF(E2="商业",IF(F16="增加",C6+C16,C6-C16)),0)</f>
        <v>0</v>
      </c>
      <c r="E5" s="1414"/>
      <c r="F5" s="1414"/>
      <c r="G5" s="1415"/>
      <c r="H5" s="1415"/>
      <c r="I5" s="1415"/>
      <c r="J5" s="1416"/>
      <c r="K5" s="1592"/>
      <c r="L5" s="1884" t="s">
        <v>2246</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1872</v>
      </c>
      <c r="B6" s="1420" t="s">
        <v>932</v>
      </c>
      <c r="C6" s="1040">
        <f>SUMIF(L1:L12,基准地价!G2,M1:M12)</f>
        <v>0</v>
      </c>
      <c r="D6" s="1421" t="s">
        <v>1697</v>
      </c>
      <c r="E6" s="1422"/>
      <c r="F6" s="1422"/>
      <c r="G6" s="1423"/>
      <c r="H6" s="1423"/>
      <c r="I6" s="1423"/>
      <c r="J6" s="1424"/>
      <c r="K6" s="1593"/>
      <c r="L6" s="1884" t="s">
        <v>2247</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7"/>
      <c r="AE6" s="1417"/>
      <c r="AF6" s="1417"/>
      <c r="AG6" s="1417"/>
      <c r="AH6" s="1417"/>
      <c r="AI6" s="1417"/>
      <c r="AJ6" s="1418"/>
    </row>
    <row r="7" spans="1:39" ht="24">
      <c r="A7" s="3787" t="str">
        <f>IF(E2="商业",IF(C8="不临58条商业街","",2),"")</f>
        <v/>
      </c>
      <c r="B7" s="1425" t="s">
        <v>933</v>
      </c>
      <c r="C7" s="1041" t="e">
        <f>IF(C8="不临58条商业街",1,ROUND(1+(1.6*E8+1.2*E9+0.8*E10+0.4*E11)*C9,4))</f>
        <v>#DIV/0!</v>
      </c>
      <c r="D7" s="1426" t="s">
        <v>934</v>
      </c>
      <c r="E7" s="1042"/>
      <c r="F7" s="1427"/>
      <c r="G7" s="1428"/>
      <c r="H7" s="1428"/>
      <c r="I7" s="1428"/>
      <c r="J7" s="1429"/>
      <c r="K7" s="1593"/>
      <c r="L7" s="1884" t="s">
        <v>2248</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2771</v>
      </c>
      <c r="X7" s="2951">
        <f>G2</f>
        <v>0</v>
      </c>
      <c r="Y7" s="2951" t="s">
        <v>2772</v>
      </c>
      <c r="Z7" s="2952">
        <f>G3</f>
        <v>2.29</v>
      </c>
      <c r="AA7" s="2191"/>
      <c r="AB7" s="2191"/>
      <c r="AC7" s="2192"/>
      <c r="AD7" s="2953"/>
      <c r="AE7" s="2953"/>
      <c r="AF7" s="2953"/>
      <c r="AG7" s="2953"/>
      <c r="AH7" s="2953"/>
      <c r="AI7" s="2953"/>
      <c r="AJ7" s="2954"/>
    </row>
    <row r="8" spans="1:39" ht="15">
      <c r="A8" s="3788"/>
      <c r="B8" s="1412" t="s">
        <v>935</v>
      </c>
      <c r="C8" s="1527"/>
      <c r="D8" s="1043" t="s">
        <v>936</v>
      </c>
      <c r="E8" s="1044" t="e">
        <f>ROUND(C11/E7,4)</f>
        <v>#DIV/0!</v>
      </c>
      <c r="F8" s="1430" t="s">
        <v>937</v>
      </c>
      <c r="G8" s="1431"/>
      <c r="H8" s="1431"/>
      <c r="I8" s="1431"/>
      <c r="J8" s="1432"/>
      <c r="K8" s="1399"/>
      <c r="L8" s="1884" t="s">
        <v>2249</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797" t="s">
        <v>2789</v>
      </c>
      <c r="X8" s="3798"/>
      <c r="Y8" s="1848" t="s">
        <v>2773</v>
      </c>
      <c r="Z8" s="1848" t="s">
        <v>2774</v>
      </c>
      <c r="AA8" s="1848" t="s">
        <v>2775</v>
      </c>
      <c r="AB8" s="1848" t="s">
        <v>2776</v>
      </c>
      <c r="AC8" s="1848" t="s">
        <v>2777</v>
      </c>
      <c r="AD8" s="1848" t="s">
        <v>2778</v>
      </c>
      <c r="AE8" s="1848" t="s">
        <v>2779</v>
      </c>
      <c r="AF8" s="1848" t="s">
        <v>2780</v>
      </c>
      <c r="AG8" s="1848" t="s">
        <v>2781</v>
      </c>
      <c r="AH8" s="1848" t="s">
        <v>2782</v>
      </c>
      <c r="AI8" s="1848" t="s">
        <v>2783</v>
      </c>
      <c r="AJ8" s="1848" t="s">
        <v>2784</v>
      </c>
    </row>
    <row r="9" spans="1:39" ht="15">
      <c r="A9" s="3788"/>
      <c r="B9" s="1412" t="s">
        <v>938</v>
      </c>
      <c r="C9" s="1045">
        <f>SUMIF(修正!C59:C119,C8,修正!E59:E119)</f>
        <v>0</v>
      </c>
      <c r="D9" s="1046" t="s">
        <v>939</v>
      </c>
      <c r="E9" s="1046" t="e">
        <f>ROUND(C11/E7,4)</f>
        <v>#DIV/0!</v>
      </c>
      <c r="F9" s="1430" t="s">
        <v>940</v>
      </c>
      <c r="G9" s="1431"/>
      <c r="H9" s="1431"/>
      <c r="I9" s="1431"/>
      <c r="J9" s="1432"/>
      <c r="K9" s="1399"/>
      <c r="L9" s="1884" t="s">
        <v>2250</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796" t="s">
        <v>2785</v>
      </c>
      <c r="X9" s="2955" t="s">
        <v>2786</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88"/>
      <c r="B10" s="1412" t="s">
        <v>941</v>
      </c>
      <c r="C10" s="1046">
        <f>SUMIF(修正!C59:C119,C8,修正!F59:F119)</f>
        <v>0</v>
      </c>
      <c r="D10" s="1046" t="s">
        <v>942</v>
      </c>
      <c r="E10" s="1046" t="e">
        <f>ROUND(C11/E7,4)</f>
        <v>#DIV/0!</v>
      </c>
      <c r="F10" s="1430" t="s">
        <v>943</v>
      </c>
      <c r="G10" s="1431"/>
      <c r="H10" s="1431"/>
      <c r="I10" s="1431"/>
      <c r="J10" s="1432"/>
      <c r="K10" s="1399"/>
      <c r="L10" s="1884" t="s">
        <v>2251</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796"/>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88"/>
      <c r="B11" s="1433" t="s">
        <v>944</v>
      </c>
      <c r="C11" s="1047">
        <f>C10/4</f>
        <v>0</v>
      </c>
      <c r="D11" s="1047" t="s">
        <v>945</v>
      </c>
      <c r="E11" s="1047" t="e">
        <f>ROUND(C11/E7,4)</f>
        <v>#DIV/0!</v>
      </c>
      <c r="F11" s="1434" t="s">
        <v>946</v>
      </c>
      <c r="G11" s="1435"/>
      <c r="H11" s="1435"/>
      <c r="I11" s="1435"/>
      <c r="J11" s="1436"/>
      <c r="K11" s="1399"/>
      <c r="L11" s="1884" t="s">
        <v>2252</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796" t="s">
        <v>2787</v>
      </c>
      <c r="X11" s="1046" t="s">
        <v>2772</v>
      </c>
      <c r="Y11" s="1651">
        <f>$G$3</f>
        <v>2.29</v>
      </c>
      <c r="Z11" s="1651">
        <f t="shared" ref="Z11:AJ11" si="3">$G$3</f>
        <v>2.29</v>
      </c>
      <c r="AA11" s="1651">
        <f t="shared" si="3"/>
        <v>2.29</v>
      </c>
      <c r="AB11" s="1651">
        <f t="shared" si="3"/>
        <v>2.29</v>
      </c>
      <c r="AC11" s="1651">
        <f t="shared" si="3"/>
        <v>2.29</v>
      </c>
      <c r="AD11" s="1651">
        <f t="shared" si="3"/>
        <v>2.29</v>
      </c>
      <c r="AE11" s="1651">
        <f t="shared" si="3"/>
        <v>2.29</v>
      </c>
      <c r="AF11" s="1651">
        <f t="shared" si="3"/>
        <v>2.29</v>
      </c>
      <c r="AG11" s="1651">
        <f t="shared" si="3"/>
        <v>2.29</v>
      </c>
      <c r="AH11" s="1651">
        <f t="shared" si="3"/>
        <v>2.29</v>
      </c>
      <c r="AI11" s="1651">
        <f t="shared" si="3"/>
        <v>2.29</v>
      </c>
      <c r="AJ11" s="1651">
        <f t="shared" si="3"/>
        <v>2.29</v>
      </c>
    </row>
    <row r="12" spans="1:39" ht="25.5" thickBot="1">
      <c r="A12" s="3787" t="s">
        <v>1873</v>
      </c>
      <c r="B12" s="1437" t="s">
        <v>947</v>
      </c>
      <c r="C12" s="1041">
        <f>ROUND(C15*D15*E15*F15*G15*H15*I15*J15,4)</f>
        <v>1</v>
      </c>
      <c r="D12" s="1438" t="s">
        <v>948</v>
      </c>
      <c r="E12" s="1439"/>
      <c r="F12" s="1439"/>
      <c r="G12" s="1440"/>
      <c r="H12" s="1440"/>
      <c r="I12" s="1440"/>
      <c r="J12" s="1441"/>
      <c r="K12" s="1399"/>
      <c r="L12" s="1887" t="s">
        <v>2253</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796"/>
      <c r="X12" s="2958" t="s">
        <v>2788</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89"/>
      <c r="B13" s="1442" t="s">
        <v>1698</v>
      </c>
      <c r="C13" s="1443" t="s">
        <v>1699</v>
      </c>
      <c r="D13" s="1087" t="s">
        <v>1700</v>
      </c>
      <c r="E13" s="1087" t="s">
        <v>1701</v>
      </c>
      <c r="F13" s="1444" t="s">
        <v>949</v>
      </c>
      <c r="G13" s="1445" t="s">
        <v>1644</v>
      </c>
      <c r="H13" s="1446" t="s">
        <v>1644</v>
      </c>
      <c r="I13" s="1447" t="s">
        <v>1644</v>
      </c>
      <c r="J13" s="1448" t="s">
        <v>1644</v>
      </c>
      <c r="K13" s="1399"/>
      <c r="L13" s="2188"/>
      <c r="M13" s="2188"/>
      <c r="N13" s="2188"/>
      <c r="O13" s="2188"/>
      <c r="P13" s="2188"/>
      <c r="Q13" s="2188"/>
      <c r="R13" s="2961">
        <v>12</v>
      </c>
      <c r="S13" s="2950"/>
      <c r="T13" s="2961" t="e">
        <f t="shared" si="0"/>
        <v>#DIV/0!</v>
      </c>
      <c r="U13" s="2950"/>
      <c r="V13" s="2961" t="e">
        <f t="shared" si="1"/>
        <v>#DIV/0!</v>
      </c>
      <c r="W13" s="3796"/>
      <c r="X13" s="2958"/>
      <c r="Y13" s="2957">
        <f>(-0.163*(Y12^2)-0.59*Y12+7617)*(10^(-4))/Y11</f>
        <v>0.33262008733624454</v>
      </c>
      <c r="Z13" s="2957">
        <f t="shared" ref="Z13:AJ13" si="5">(-0.163*(Z12^2)-0.59*Z12+7617)*(10^(-4))/Z11</f>
        <v>0.33262008733624454</v>
      </c>
      <c r="AA13" s="2957">
        <f t="shared" si="5"/>
        <v>0.33262008733624454</v>
      </c>
      <c r="AB13" s="2957">
        <f t="shared" si="5"/>
        <v>0.33262008733624454</v>
      </c>
      <c r="AC13" s="2957">
        <f t="shared" si="5"/>
        <v>0.33262008733624454</v>
      </c>
      <c r="AD13" s="2957">
        <f t="shared" si="5"/>
        <v>0.33262008733624454</v>
      </c>
      <c r="AE13" s="2957">
        <f t="shared" si="5"/>
        <v>0.33262008733624454</v>
      </c>
      <c r="AF13" s="2957">
        <f t="shared" si="5"/>
        <v>0.33262008733624454</v>
      </c>
      <c r="AG13" s="2957">
        <f t="shared" si="5"/>
        <v>0.33262008733624454</v>
      </c>
      <c r="AH13" s="2957">
        <f t="shared" si="5"/>
        <v>0.33262008733624454</v>
      </c>
      <c r="AI13" s="2957">
        <f t="shared" si="5"/>
        <v>0.33262008733624454</v>
      </c>
      <c r="AJ13" s="2957">
        <f t="shared" si="5"/>
        <v>0.33262008733624454</v>
      </c>
    </row>
    <row r="14" spans="1:39" ht="12.75" customHeight="1" thickBot="1">
      <c r="A14" s="3789"/>
      <c r="B14" s="1449"/>
      <c r="C14" s="1450"/>
      <c r="D14" s="1451"/>
      <c r="E14" s="1451"/>
      <c r="F14" s="1452"/>
      <c r="G14" s="1453" t="s">
        <v>950</v>
      </c>
      <c r="H14" s="1454"/>
      <c r="I14" s="1455"/>
      <c r="J14" s="1456"/>
      <c r="K14" s="1399"/>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790"/>
      <c r="B15" s="1457" t="s">
        <v>1702</v>
      </c>
      <c r="C15" s="1049">
        <f>IF(C14="有",1.1,1)</f>
        <v>1</v>
      </c>
      <c r="D15" s="1049">
        <f>IF(D14="有",1.1,1)</f>
        <v>1</v>
      </c>
      <c r="E15" s="1049">
        <f>IF(E14="有",1.1,1)</f>
        <v>1</v>
      </c>
      <c r="F15" s="1049">
        <f>IF(F14="500米范围内",1.2,IF(F14="500-1000米",1.1,1))</f>
        <v>1</v>
      </c>
      <c r="G15" s="1050">
        <v>1</v>
      </c>
      <c r="H15" s="1050">
        <v>1</v>
      </c>
      <c r="I15" s="1050">
        <v>1</v>
      </c>
      <c r="J15" s="1051">
        <v>1</v>
      </c>
      <c r="K15" s="1399"/>
      <c r="L15" s="1596" t="s">
        <v>899</v>
      </c>
      <c r="M15" s="1426" t="s">
        <v>985</v>
      </c>
      <c r="N15" s="1426" t="s">
        <v>986</v>
      </c>
      <c r="O15" s="1426" t="s">
        <v>903</v>
      </c>
      <c r="P15" s="1474" t="s">
        <v>987</v>
      </c>
      <c r="Q15" s="2188"/>
      <c r="R15" s="2961">
        <v>14</v>
      </c>
      <c r="S15" s="2950"/>
      <c r="T15" s="2961" t="e">
        <f t="shared" si="0"/>
        <v>#DIV/0!</v>
      </c>
      <c r="U15" s="2950"/>
      <c r="V15" s="2961" t="e">
        <f t="shared" si="1"/>
        <v>#DIV/0!</v>
      </c>
      <c r="W15" s="2188"/>
      <c r="X15" s="2188"/>
      <c r="Y15" s="2188"/>
      <c r="Z15" s="2188"/>
      <c r="AA15" s="2188"/>
      <c r="AB15" s="2188"/>
      <c r="AC15" s="2189"/>
    </row>
    <row r="16" spans="1:39" ht="24">
      <c r="A16" s="3787" t="s">
        <v>1840</v>
      </c>
      <c r="B16" s="1425" t="s">
        <v>951</v>
      </c>
      <c r="C16" s="1052" t="e">
        <f>ROUND(SUM(G17:J17)/C17,0)</f>
        <v>#DIV/0!</v>
      </c>
      <c r="D16" s="1458" t="s">
        <v>952</v>
      </c>
      <c r="E16" s="1459"/>
      <c r="F16" s="1460"/>
      <c r="G16" s="1461"/>
      <c r="H16" s="1461"/>
      <c r="I16" s="1461"/>
      <c r="J16" s="1461"/>
      <c r="K16" s="1399"/>
      <c r="L16" s="1462" t="s">
        <v>989</v>
      </c>
      <c r="M16" s="1045">
        <v>0.25</v>
      </c>
      <c r="N16" s="1045">
        <v>0.2</v>
      </c>
      <c r="O16" s="1045">
        <v>0.15</v>
      </c>
      <c r="P16" s="1537">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788"/>
      <c r="B17" s="1463" t="s">
        <v>954</v>
      </c>
      <c r="C17" s="1053">
        <f>SUMPRODUCT((修正!A2:A5=E2)*(修正!B1:M1=G2)*(修正!B2:M5))</f>
        <v>0</v>
      </c>
      <c r="D17" s="1465" t="s">
        <v>955</v>
      </c>
      <c r="E17" s="1466" t="str">
        <f>IF(OR(G2="八级",G2="九级",G2="十级",G2="十一级",G2="十二级"),"五通一平","七通一平")</f>
        <v>七通一平</v>
      </c>
      <c r="F17" s="1464"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975</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1831</v>
      </c>
      <c r="B18" s="2796" t="s">
        <v>957</v>
      </c>
      <c r="C18" s="2797">
        <f>SUMIF(修正!C18:C39,E3,修正!E18:E39)</f>
        <v>0</v>
      </c>
      <c r="D18" s="2798"/>
      <c r="E18" s="2799"/>
      <c r="F18" s="2800"/>
      <c r="G18" s="2794"/>
      <c r="H18" s="2794"/>
      <c r="I18" s="2794"/>
      <c r="J18" s="2801"/>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1837</v>
      </c>
      <c r="B19" s="1468" t="s">
        <v>958</v>
      </c>
      <c r="C19" s="1055" t="e">
        <f>ROUND(IF(H19="按公示增长率计算",SUMPRODUCT((地价!A3:A21=YEAR(G19)&amp;"-"&amp;ROUNDUP(MONTH(G19)/3,0))*(地价!X2:AB2=E2)*(地价!X3:AB21)),IF(H19="地价指数",M20/M19,(1+I19)^O19)),4)</f>
        <v>#DIV/0!</v>
      </c>
      <c r="D19" s="1472" t="s">
        <v>959</v>
      </c>
      <c r="E19" s="1056">
        <v>41640</v>
      </c>
      <c r="F19" s="1472" t="s">
        <v>960</v>
      </c>
      <c r="G19" s="1057">
        <f>'数据-取费表'!B2</f>
        <v>43171</v>
      </c>
      <c r="H19" s="1473" t="s">
        <v>2935</v>
      </c>
      <c r="I19" s="2808" t="str">
        <f>IF(H19="季度增幅（自定义）",SUMIF(N21:N24,E2,O21:O24),"")</f>
        <v/>
      </c>
      <c r="J19" s="1469"/>
      <c r="K19" s="1479"/>
      <c r="L19" s="3064" t="s">
        <v>2847</v>
      </c>
      <c r="M19" s="3065">
        <f>ROUND(SUMIF(地价!B2:F2,E2,地价!B21:F21),0)</f>
        <v>0</v>
      </c>
      <c r="N19" s="2810" t="s">
        <v>1678</v>
      </c>
      <c r="O19" s="2809">
        <f>ROUNDDOWN(DATEDIF(E19,G19,"M")/3,0)</f>
        <v>16</v>
      </c>
      <c r="P19" s="1594"/>
      <c r="R19" s="2949"/>
      <c r="S19" s="2949"/>
      <c r="T19" s="2949"/>
      <c r="U19" s="2949"/>
      <c r="V19" s="2949"/>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2" t="s">
        <v>1838</v>
      </c>
      <c r="B20" s="2803" t="s">
        <v>973</v>
      </c>
      <c r="C20" s="2804" t="e">
        <f>ROUND(POWER(1+G20,J20-I20)*(POWER(1+G20,I20)-1)/(POWER(1+G20,J20)-1),4)</f>
        <v>#DIV/0!</v>
      </c>
      <c r="D20" s="2805" t="s">
        <v>974</v>
      </c>
      <c r="E20" s="3120">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79"/>
      <c r="L20" s="3066" t="s">
        <v>2848</v>
      </c>
      <c r="M20" s="3067">
        <f>ROUND(SUMPRODUCT((地价!A4:A21=YEAR(G19)&amp;"-"&amp;ROUNDUP(MONTH(G19)/3,0))*(地价!B2:F2=E2)*(地价!B4:F21)),0)</f>
        <v>0</v>
      </c>
      <c r="N20" s="2813" t="s">
        <v>2651</v>
      </c>
      <c r="O20" s="2811" t="s">
        <v>2650</v>
      </c>
      <c r="P20" s="2812" t="s">
        <v>2656</v>
      </c>
      <c r="R20" s="2949"/>
      <c r="S20" s="2949"/>
      <c r="T20" s="2949"/>
      <c r="U20" s="2949"/>
      <c r="V20" s="2949"/>
      <c r="W20" s="2194"/>
      <c r="X20" s="2194"/>
      <c r="Y20" s="2194"/>
      <c r="Z20" s="2194"/>
      <c r="AA20" s="2194"/>
      <c r="AB20" s="2194"/>
      <c r="AC20" s="2194"/>
      <c r="AD20" s="1470"/>
      <c r="AE20" s="1470"/>
      <c r="AF20" s="1470"/>
      <c r="AG20" s="1470"/>
      <c r="AH20" s="1470"/>
      <c r="AI20" s="1470"/>
    </row>
    <row r="21" spans="1:40" s="1419" customFormat="1" ht="14.25">
      <c r="A21" s="1640" t="s">
        <v>1839</v>
      </c>
      <c r="B21" s="1478" t="s">
        <v>2767</v>
      </c>
      <c r="C21" s="1156">
        <f>IF(B21="容积率修正",IF(G3&lt;=10,D22,J22),C23)</f>
        <v>0</v>
      </c>
      <c r="D21" s="1479"/>
      <c r="E21" s="1479"/>
      <c r="F21" s="1479"/>
      <c r="G21" s="1479"/>
      <c r="H21" s="1479"/>
      <c r="I21" s="1479"/>
      <c r="J21" s="1480"/>
      <c r="K21" s="1479"/>
      <c r="L21" s="1479"/>
      <c r="M21" s="1479"/>
      <c r="N21" s="1476" t="s">
        <v>977</v>
      </c>
      <c r="O21" s="1540"/>
      <c r="P21" s="2793">
        <f>SUMPRODUCT((地价!A3:A21=YEAR(G19)&amp;"-"&amp;ROUNDUP(MONTH(G19)/3,0))*(地价!AD2:AH2=N21)*(地价!AD3:AH21))</f>
        <v>1.55E-2</v>
      </c>
      <c r="R21" s="2949"/>
      <c r="S21" s="2949"/>
      <c r="T21" s="2949"/>
      <c r="U21" s="2949"/>
      <c r="V21" s="2949"/>
      <c r="W21" s="2194"/>
      <c r="X21" s="2194"/>
      <c r="Y21" s="2194"/>
      <c r="Z21" s="2194"/>
      <c r="AA21" s="2194"/>
      <c r="AB21" s="2194"/>
      <c r="AC21" s="2194"/>
      <c r="AD21" s="1401"/>
      <c r="AE21" s="1401"/>
      <c r="AF21" s="1401"/>
      <c r="AG21" s="1401"/>
      <c r="AH21" s="1470"/>
      <c r="AI21" s="1470"/>
    </row>
    <row r="22" spans="1:40" s="1419" customFormat="1" ht="14.25">
      <c r="A22" s="1641" t="s">
        <v>1872</v>
      </c>
      <c r="B22" s="1481" t="s">
        <v>978</v>
      </c>
      <c r="C22" s="1058" t="s">
        <v>1704</v>
      </c>
      <c r="D22" s="1058">
        <f>IF(E22=G22,F22,IF(G3&lt;=10,ROUND(F22+(H22-F22)*(G3-E22)/(G22-E22),4),"——"))</f>
        <v>0</v>
      </c>
      <c r="E22" s="1037">
        <f>ROUNDDOWN(G3,1)</f>
        <v>2.2000000000000002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2.3000000000000003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79"/>
      <c r="L22" s="1479"/>
      <c r="M22" s="1479"/>
      <c r="N22" s="1476" t="s">
        <v>980</v>
      </c>
      <c r="O22" s="1540"/>
      <c r="P22" s="2793">
        <f>SUMPRODUCT((地价!A3:A21=YEAR(G19)&amp;"-"&amp;ROUNDUP(MONTH(G19)/3,0))*(地价!AD2:AH2=N22)*(地价!AD3:AH21))</f>
        <v>1.55E-2</v>
      </c>
      <c r="R22" s="2949"/>
      <c r="S22" s="2949"/>
      <c r="T22" s="2949"/>
      <c r="U22" s="2949"/>
      <c r="V22" s="2949"/>
      <c r="W22" s="2194"/>
      <c r="X22" s="2194"/>
      <c r="Y22" s="2194"/>
      <c r="Z22" s="2194"/>
      <c r="AA22" s="2194"/>
      <c r="AB22" s="2194"/>
      <c r="AC22" s="2194"/>
      <c r="AD22" s="1470"/>
      <c r="AE22" s="1470"/>
      <c r="AF22" s="1470"/>
      <c r="AG22" s="1470"/>
      <c r="AH22" s="1470"/>
      <c r="AI22" s="1470"/>
    </row>
    <row r="23" spans="1:40" ht="27.75" thickBot="1">
      <c r="A23" s="1641" t="s">
        <v>1873</v>
      </c>
      <c r="B23" s="1481" t="s">
        <v>981</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924</v>
      </c>
      <c r="O23" s="1540"/>
      <c r="P23" s="2793">
        <f>SUMPRODUCT((地价!A3:A21=YEAR(G19)&amp;"-"&amp;ROUNDUP(MONTH(G19)/3,0))*(地价!AD2:AH2=N23)*(地价!AD3:AH21))</f>
        <v>2.5499999999999998E-2</v>
      </c>
      <c r="R23" s="2949"/>
      <c r="S23" s="2949"/>
      <c r="T23" s="2949"/>
      <c r="U23" s="2949"/>
      <c r="V23" s="2949"/>
      <c r="W23" s="2194"/>
      <c r="X23" s="2194"/>
      <c r="Y23" s="2194"/>
      <c r="Z23" s="2194"/>
      <c r="AA23" s="2194"/>
      <c r="AB23" s="2194"/>
      <c r="AC23" s="2194"/>
      <c r="AN23" s="1402"/>
    </row>
    <row r="24" spans="1:40" s="1419" customFormat="1" ht="15.75" thickBot="1">
      <c r="A24" s="1639" t="s">
        <v>1874</v>
      </c>
      <c r="B24" s="1413" t="s">
        <v>982</v>
      </c>
      <c r="C24" s="1060">
        <f>SUMIF(A44:A87,E2,B44:B87)</f>
        <v>0</v>
      </c>
      <c r="D24" s="1533"/>
      <c r="E24" s="1534"/>
      <c r="F24" s="1534"/>
      <c r="G24" s="1534"/>
      <c r="H24" s="1534"/>
      <c r="I24" s="1534"/>
      <c r="J24" s="1534"/>
      <c r="K24" s="1479"/>
      <c r="L24" s="1479"/>
      <c r="M24" s="1479"/>
      <c r="N24" s="1482" t="s">
        <v>983</v>
      </c>
      <c r="O24" s="1541"/>
      <c r="P24" s="1539">
        <f>SUMPRODUCT((地价!A3:A21=YEAR(G19)&amp;"-"&amp;ROUNDUP(MONTH(G19)/3,0))*(地价!AD2:AH2=N24)*(地价!AD3:AH21))</f>
        <v>1.3100000000000001E-2</v>
      </c>
      <c r="R24" s="2949"/>
      <c r="S24" s="2949"/>
      <c r="T24" s="2949"/>
      <c r="U24" s="2949"/>
      <c r="V24" s="2949"/>
      <c r="W24" s="2194"/>
      <c r="X24" s="2194"/>
      <c r="Y24" s="2194"/>
      <c r="Z24" s="2194"/>
      <c r="AA24" s="2194"/>
      <c r="AB24" s="2194"/>
      <c r="AC24" s="2194"/>
      <c r="AD24" s="1470"/>
      <c r="AE24" s="1470"/>
      <c r="AF24" s="1470"/>
      <c r="AG24" s="1470"/>
      <c r="AH24" s="1470"/>
      <c r="AI24" s="1470"/>
    </row>
    <row r="25" spans="1:40" ht="15" thickBot="1">
      <c r="A25" s="1639" t="s">
        <v>1875</v>
      </c>
      <c r="B25" s="1484" t="s">
        <v>984</v>
      </c>
      <c r="C25" s="1485"/>
      <c r="D25" s="1428"/>
      <c r="E25" s="1428"/>
      <c r="F25" s="1486"/>
      <c r="G25" s="1428"/>
      <c r="H25" s="1428"/>
      <c r="I25" s="1428"/>
      <c r="J25" s="1429"/>
      <c r="K25" s="1399"/>
      <c r="L25" s="2194"/>
      <c r="M25" s="2194"/>
      <c r="N25" s="2821" t="s">
        <v>2654</v>
      </c>
      <c r="O25" s="2194"/>
      <c r="P25" s="1539">
        <f>SUMPRODUCT((地价!A3:A21=YEAR(G19)&amp;"-"&amp;ROUNDUP(MONTH(G19)/3,0))*(地价!AD2:AH2=N25)*(地价!AD3:AH21))</f>
        <v>2.3E-2</v>
      </c>
      <c r="R25" s="2949"/>
      <c r="S25" s="2949"/>
      <c r="T25" s="2949"/>
      <c r="U25" s="2949"/>
      <c r="V25" s="2949"/>
      <c r="W25" s="2194"/>
      <c r="X25" s="2194"/>
      <c r="Y25" s="2194"/>
      <c r="Z25" s="2194"/>
      <c r="AA25" s="2194"/>
      <c r="AB25" s="2194"/>
      <c r="AC25" s="2194"/>
    </row>
    <row r="26" spans="1:40" ht="14.25">
      <c r="A26" s="1487"/>
      <c r="B26" s="1481" t="s">
        <v>988</v>
      </c>
      <c r="C26" s="1061" t="e">
        <f>E29+SUM(E33:E39)</f>
        <v>#DIV/0!</v>
      </c>
      <c r="D26" s="1488"/>
      <c r="E26" s="1454"/>
      <c r="F26" s="1489"/>
      <c r="G26" s="1454"/>
      <c r="H26" s="1454"/>
      <c r="I26" s="1454"/>
      <c r="J26" s="1490"/>
      <c r="K26" s="1399"/>
      <c r="L26" s="2194"/>
      <c r="M26" s="2194"/>
      <c r="N26" s="2194"/>
      <c r="O26" s="2194"/>
      <c r="P26" s="2194"/>
      <c r="Q26" s="2194"/>
      <c r="R26" s="2949"/>
      <c r="S26" s="2949"/>
      <c r="T26" s="2949"/>
      <c r="U26" s="2949"/>
      <c r="V26" s="2949"/>
      <c r="W26" s="2194"/>
      <c r="X26" s="2194"/>
      <c r="Y26" s="2194"/>
      <c r="Z26" s="2194"/>
      <c r="AA26" s="2194"/>
      <c r="AB26" s="2194"/>
      <c r="AC26" s="2194"/>
      <c r="AD26" s="1470"/>
      <c r="AE26" s="1470"/>
      <c r="AF26" s="1470"/>
      <c r="AG26" s="1470"/>
    </row>
    <row r="27" spans="1:40" ht="15" thickBot="1">
      <c r="A27" s="1487"/>
      <c r="B27" s="1491" t="s">
        <v>990</v>
      </c>
      <c r="C27" s="1062" t="e">
        <f>E30+SUM(I33:I39)</f>
        <v>#DIV/0!</v>
      </c>
      <c r="D27" s="1492"/>
      <c r="E27" s="1493"/>
      <c r="F27" s="1494"/>
      <c r="G27" s="1493"/>
      <c r="H27" s="1493"/>
      <c r="I27" s="1493"/>
      <c r="J27" s="1495"/>
      <c r="K27" s="1399"/>
      <c r="L27" s="2194"/>
      <c r="M27" s="2194"/>
      <c r="N27" s="2194"/>
      <c r="O27" s="2194"/>
      <c r="P27" s="2194"/>
      <c r="Q27" s="2194"/>
      <c r="R27" s="2949"/>
      <c r="S27" s="2949"/>
      <c r="T27" s="2949"/>
      <c r="U27" s="2949"/>
      <c r="V27" s="2949"/>
      <c r="W27" s="2194"/>
      <c r="X27" s="2194"/>
      <c r="Y27" s="2194"/>
      <c r="Z27" s="2194"/>
      <c r="AA27" s="2194"/>
      <c r="AB27" s="2194"/>
      <c r="AC27" s="2194"/>
    </row>
    <row r="28" spans="1:40" ht="14.25">
      <c r="A28" s="1483"/>
      <c r="B28" s="1496" t="s">
        <v>991</v>
      </c>
      <c r="C28" s="1497" t="s">
        <v>992</v>
      </c>
      <c r="D28" s="1497" t="s">
        <v>993</v>
      </c>
      <c r="E28" s="1498" t="s">
        <v>994</v>
      </c>
      <c r="F28" s="1499"/>
      <c r="G28" s="1440"/>
      <c r="H28" s="1440"/>
      <c r="I28" s="1440"/>
      <c r="J28" s="1441"/>
      <c r="K28" s="1399"/>
      <c r="L28" s="2194"/>
      <c r="M28" s="2194"/>
      <c r="N28" s="2194"/>
      <c r="O28" s="2194"/>
      <c r="P28" s="2194"/>
      <c r="Q28" s="2194"/>
      <c r="R28" s="2949"/>
      <c r="S28" s="2949"/>
      <c r="T28" s="2949"/>
      <c r="U28" s="2949"/>
      <c r="V28" s="2949"/>
      <c r="W28" s="2194"/>
      <c r="X28" s="2194"/>
      <c r="Y28" s="2194"/>
      <c r="Z28" s="2194"/>
      <c r="AA28" s="2194"/>
      <c r="AB28" s="2194"/>
      <c r="AC28" s="2194"/>
      <c r="AD28" s="1470"/>
      <c r="AE28" s="1470"/>
      <c r="AF28" s="1470"/>
      <c r="AG28" s="1470"/>
    </row>
    <row r="29" spans="1:40" ht="24">
      <c r="A29" s="1500"/>
      <c r="B29" s="1501" t="s">
        <v>995</v>
      </c>
      <c r="C29" s="1061" t="e">
        <f>ROUND(C5*C18*C19*C20*C21*C24,0)</f>
        <v>#DIV/0!</v>
      </c>
      <c r="D29" s="1502"/>
      <c r="E29" s="1848" t="e">
        <f>ROUND(C29*D29/10000,0)</f>
        <v>#DIV/0!</v>
      </c>
      <c r="F29" s="1503" t="s">
        <v>1703</v>
      </c>
      <c r="G29" s="1504"/>
      <c r="H29" s="1504"/>
      <c r="I29" s="1504"/>
      <c r="J29" s="1505"/>
      <c r="K29" s="1399"/>
      <c r="L29" s="2194"/>
      <c r="M29" s="2194"/>
      <c r="N29" s="2194"/>
      <c r="O29" s="2194"/>
      <c r="P29" s="2194"/>
      <c r="Q29" s="2194"/>
      <c r="R29" s="2949"/>
      <c r="S29" s="2949"/>
      <c r="T29" s="2949"/>
      <c r="U29" s="2949"/>
      <c r="V29" s="2949"/>
      <c r="W29" s="2194"/>
      <c r="X29" s="2194"/>
      <c r="Y29" s="2194"/>
      <c r="Z29" s="2194"/>
      <c r="AA29" s="2194"/>
      <c r="AB29" s="2194"/>
      <c r="AC29" s="2194"/>
      <c r="AH29" s="1400"/>
      <c r="AI29" s="1400"/>
      <c r="AJ29" s="1403"/>
      <c r="AK29" s="1403"/>
      <c r="AL29" s="1403"/>
      <c r="AM29" s="1403"/>
    </row>
    <row r="30" spans="1:40" ht="24.75" thickBot="1">
      <c r="A30" s="1506"/>
      <c r="B30" s="1507" t="s">
        <v>996</v>
      </c>
      <c r="C30" s="1049" t="e">
        <f>ROUND(IF(E2="工业",C29*M39,C29*M38),0)</f>
        <v>#DIV/0!</v>
      </c>
      <c r="D30" s="1508"/>
      <c r="E30" s="1848" t="e">
        <f>ROUND(C30*D30/10000,0)</f>
        <v>#DIV/0!</v>
      </c>
      <c r="F30" s="1509" t="s">
        <v>997</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998</v>
      </c>
      <c r="C31" s="1514" t="s">
        <v>999</v>
      </c>
      <c r="D31" s="1440"/>
      <c r="E31" s="1514"/>
      <c r="F31" s="1514"/>
      <c r="G31" s="1438" t="s">
        <v>997</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992</v>
      </c>
      <c r="D32" s="1518" t="s">
        <v>993</v>
      </c>
      <c r="E32" s="1518" t="s">
        <v>994</v>
      </c>
      <c r="F32" s="1519" t="s">
        <v>1000</v>
      </c>
      <c r="G32" s="1477" t="s">
        <v>992</v>
      </c>
      <c r="H32" s="1477" t="s">
        <v>993</v>
      </c>
      <c r="I32" s="1477" t="s">
        <v>994</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793" t="s">
        <v>2962</v>
      </c>
      <c r="B33" s="1522" t="s">
        <v>1001</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794"/>
      <c r="B34" s="1443" t="s">
        <v>1002</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794"/>
      <c r="B35" s="1443" t="s">
        <v>1003</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795"/>
      <c r="B36" s="1443" t="s">
        <v>1004</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1005</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1705</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1006</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1707</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1007</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1706</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1008</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1009</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1010</v>
      </c>
      <c r="B46" s="2431" t="s">
        <v>1011</v>
      </c>
      <c r="C46" s="2453" t="s">
        <v>1012</v>
      </c>
      <c r="D46" s="2454" t="s">
        <v>1013</v>
      </c>
      <c r="E46" s="2455" t="s">
        <v>1015</v>
      </c>
      <c r="F46" s="2456" t="s">
        <v>2254</v>
      </c>
      <c r="G46" s="2454" t="s">
        <v>1016</v>
      </c>
      <c r="H46" s="2437" t="s">
        <v>2422</v>
      </c>
      <c r="I46" s="2454" t="s">
        <v>1014</v>
      </c>
      <c r="J46" s="2457" t="s">
        <v>1017</v>
      </c>
      <c r="K46" s="2457" t="s">
        <v>1018</v>
      </c>
      <c r="L46" s="2457" t="s">
        <v>1019</v>
      </c>
      <c r="M46" s="2457" t="s">
        <v>1020</v>
      </c>
      <c r="N46" s="2457" t="s">
        <v>1021</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24">
      <c r="A47" s="1065" t="s">
        <v>1022</v>
      </c>
      <c r="B47" s="2434">
        <f>估价对象房地状况!C16</f>
        <v>0</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14.25">
      <c r="A48" s="1065" t="s">
        <v>1023</v>
      </c>
      <c r="B48" s="2431">
        <f>估价对象房地状况!C18</f>
        <v>0</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1024</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1025</v>
      </c>
      <c r="B50" s="3122" t="s">
        <v>2937</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1026</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1027</v>
      </c>
      <c r="B52" s="3121" t="s">
        <v>2936</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63" t="s">
        <v>1028</v>
      </c>
      <c r="B53" s="2432">
        <f>估价对象房地状况!C21</f>
        <v>0</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1029</v>
      </c>
      <c r="B54" s="2431">
        <f>估价对象房地状况!C22</f>
        <v>0</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24.75" thickBot="1">
      <c r="A55" s="2464" t="s">
        <v>1030</v>
      </c>
      <c r="B55" s="2435">
        <f>估价对象房地状况!C20</f>
        <v>0</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1031</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1010</v>
      </c>
      <c r="B57" s="2431"/>
      <c r="C57" s="2453" t="s">
        <v>1012</v>
      </c>
      <c r="D57" s="2454" t="s">
        <v>1013</v>
      </c>
      <c r="E57" s="2455" t="s">
        <v>1015</v>
      </c>
      <c r="F57" s="2456" t="s">
        <v>2255</v>
      </c>
      <c r="G57" s="2454" t="s">
        <v>1016</v>
      </c>
      <c r="H57" s="2437" t="s">
        <v>2422</v>
      </c>
      <c r="I57" s="2454" t="s">
        <v>1014</v>
      </c>
      <c r="J57" s="2457" t="s">
        <v>1017</v>
      </c>
      <c r="K57" s="2457" t="s">
        <v>1018</v>
      </c>
      <c r="L57" s="2457" t="s">
        <v>1019</v>
      </c>
      <c r="M57" s="2457" t="s">
        <v>1020</v>
      </c>
      <c r="N57" s="2457" t="s">
        <v>1021</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24">
      <c r="A58" s="1065" t="s">
        <v>1032</v>
      </c>
      <c r="B58" s="2434">
        <f>估价对象房地状况!C17</f>
        <v>0</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14.25">
      <c r="A59" s="1065" t="s">
        <v>1023</v>
      </c>
      <c r="B59" s="2431">
        <f>估价对象房地状况!C18</f>
        <v>0</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1024</v>
      </c>
      <c r="B60" s="2431">
        <f>估价对象房地状况!C19</f>
        <v>0</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1025</v>
      </c>
      <c r="B61" s="3122" t="s">
        <v>2938</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1026</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1027</v>
      </c>
      <c r="B63" s="3121" t="s">
        <v>2936</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1028</v>
      </c>
      <c r="B64" s="2432">
        <f>估价对象房地状况!C21</f>
        <v>0</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1029</v>
      </c>
      <c r="B65" s="2432">
        <f>估价对象房地状况!C22</f>
        <v>0</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24.75" thickBot="1">
      <c r="A66" s="2464" t="s">
        <v>1030</v>
      </c>
      <c r="B66" s="2436">
        <f>估价对象房地状况!C20</f>
        <v>0</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1033</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1010</v>
      </c>
      <c r="B68" s="2431"/>
      <c r="C68" s="2453" t="s">
        <v>1012</v>
      </c>
      <c r="D68" s="2454" t="s">
        <v>1013</v>
      </c>
      <c r="E68" s="2455" t="s">
        <v>1015</v>
      </c>
      <c r="F68" s="2456" t="s">
        <v>2256</v>
      </c>
      <c r="G68" s="2454" t="s">
        <v>1016</v>
      </c>
      <c r="H68" s="2437" t="s">
        <v>2422</v>
      </c>
      <c r="I68" s="2454" t="s">
        <v>1014</v>
      </c>
      <c r="J68" s="2457" t="s">
        <v>1017</v>
      </c>
      <c r="K68" s="2457" t="s">
        <v>1018</v>
      </c>
      <c r="L68" s="2457" t="s">
        <v>1019</v>
      </c>
      <c r="M68" s="2457" t="s">
        <v>1020</v>
      </c>
      <c r="N68" s="2457" t="s">
        <v>1021</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24">
      <c r="A69" s="1065" t="s">
        <v>1034</v>
      </c>
      <c r="B69" s="2434">
        <f>估价对象房地状况!C15</f>
        <v>0</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14.25">
      <c r="A70" s="1065" t="s">
        <v>1035</v>
      </c>
      <c r="B70" s="2431">
        <f>估价对象房地状况!C18</f>
        <v>0</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1024</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1036</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1028</v>
      </c>
      <c r="B73" s="2432">
        <f>估价对象房地状况!C21</f>
        <v>0</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1029</v>
      </c>
      <c r="B74" s="2432">
        <f>估价对象房地状况!C22</f>
        <v>0</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1027</v>
      </c>
      <c r="B75" s="3121" t="s">
        <v>2936</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24">
      <c r="A76" s="1065" t="s">
        <v>1030</v>
      </c>
      <c r="B76" s="2434">
        <f>估价对象房地状况!C20</f>
        <v>0</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1037</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1038</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1010</v>
      </c>
      <c r="B79" s="2431"/>
      <c r="C79" s="2453" t="s">
        <v>1012</v>
      </c>
      <c r="D79" s="2454" t="s">
        <v>1013</v>
      </c>
      <c r="E79" s="2455" t="s">
        <v>1015</v>
      </c>
      <c r="F79" s="2456" t="s">
        <v>2257</v>
      </c>
      <c r="G79" s="2454" t="s">
        <v>1016</v>
      </c>
      <c r="H79" s="2437" t="s">
        <v>2422</v>
      </c>
      <c r="I79" s="2454" t="s">
        <v>1014</v>
      </c>
      <c r="J79" s="2457" t="s">
        <v>1017</v>
      </c>
      <c r="K79" s="2457" t="s">
        <v>1018</v>
      </c>
      <c r="L79" s="2457" t="s">
        <v>1019</v>
      </c>
      <c r="M79" s="2457" t="s">
        <v>1020</v>
      </c>
      <c r="N79" s="2457" t="s">
        <v>1021</v>
      </c>
      <c r="AC79" s="1403"/>
      <c r="AD79" s="1402"/>
      <c r="AJ79" s="1401"/>
      <c r="AN79" s="1402"/>
    </row>
    <row r="80" spans="1:40" ht="24">
      <c r="A80" s="1065" t="s">
        <v>1039</v>
      </c>
      <c r="B80" s="2431">
        <f>估价对象房地状况!G15</f>
        <v>0</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14.25">
      <c r="A81" s="1065" t="s">
        <v>1035</v>
      </c>
      <c r="B81" s="2431">
        <f>估价对象房地状况!G16</f>
        <v>0</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1024</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1036</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1028</v>
      </c>
      <c r="B84" s="2432">
        <f>估价对象房地状况!G19</f>
        <v>0</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1029</v>
      </c>
      <c r="B85" s="2432">
        <f>估价对象房地状况!G20</f>
        <v>0</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1027</v>
      </c>
      <c r="B86" s="3121" t="s">
        <v>2936</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15" thickBot="1">
      <c r="A87" s="2464" t="s">
        <v>1040</v>
      </c>
      <c r="B87" s="2433">
        <f>估价对象房地状况!G18</f>
        <v>0</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791" t="s">
        <v>1635</v>
      </c>
      <c r="B90" s="3791"/>
      <c r="C90" s="3791"/>
      <c r="D90" s="3791"/>
      <c r="E90" s="3791"/>
      <c r="F90" s="3791"/>
      <c r="G90" s="3791"/>
      <c r="H90" s="3791"/>
      <c r="I90" s="3791"/>
      <c r="J90" s="3791"/>
      <c r="K90" s="2473"/>
      <c r="L90" s="2473"/>
      <c r="M90" s="2473"/>
      <c r="N90" s="2473"/>
    </row>
    <row r="91" spans="1:40">
      <c r="A91" s="3792" t="s">
        <v>1445</v>
      </c>
      <c r="B91" s="3792" t="s">
        <v>1636</v>
      </c>
      <c r="C91" s="1138" t="s">
        <v>1637</v>
      </c>
      <c r="D91" s="1139"/>
      <c r="E91" s="1139"/>
      <c r="F91" s="1139"/>
      <c r="G91" s="1139"/>
      <c r="H91" s="1139"/>
      <c r="I91" s="1139"/>
      <c r="J91" s="1140"/>
      <c r="K91" s="1132"/>
      <c r="L91" s="1132"/>
      <c r="M91" s="1132"/>
      <c r="N91" s="1132"/>
    </row>
    <row r="92" spans="1:40">
      <c r="A92" s="3792"/>
      <c r="B92" s="3792"/>
      <c r="C92" s="2472" t="s">
        <v>908</v>
      </c>
      <c r="D92" s="2472" t="s">
        <v>886</v>
      </c>
      <c r="E92" s="2472" t="s">
        <v>887</v>
      </c>
      <c r="F92" s="2472" t="s">
        <v>911</v>
      </c>
      <c r="G92" s="2472" t="s">
        <v>889</v>
      </c>
      <c r="H92" s="2472" t="s">
        <v>890</v>
      </c>
      <c r="I92" s="2472" t="s">
        <v>891</v>
      </c>
      <c r="J92" s="2472" t="s">
        <v>892</v>
      </c>
      <c r="K92" s="2472" t="s">
        <v>916</v>
      </c>
      <c r="L92" s="2472" t="s">
        <v>894</v>
      </c>
      <c r="M92" s="2472" t="s">
        <v>895</v>
      </c>
      <c r="N92" s="2472" t="s">
        <v>919</v>
      </c>
    </row>
    <row r="93" spans="1:40">
      <c r="A93" s="3799" t="s">
        <v>2770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80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80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80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80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80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800"/>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80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799" t="s">
        <v>1639</v>
      </c>
      <c r="B101" s="1145" t="s">
        <v>907</v>
      </c>
      <c r="C101" s="1146">
        <f>$G$3</f>
        <v>2.29</v>
      </c>
      <c r="D101" s="1146">
        <f t="shared" ref="D101:N101" si="31">$G$3</f>
        <v>2.29</v>
      </c>
      <c r="E101" s="1146">
        <f t="shared" si="31"/>
        <v>2.29</v>
      </c>
      <c r="F101" s="1146">
        <f t="shared" si="31"/>
        <v>2.29</v>
      </c>
      <c r="G101" s="1146">
        <f t="shared" si="31"/>
        <v>2.29</v>
      </c>
      <c r="H101" s="1146">
        <f t="shared" si="31"/>
        <v>2.29</v>
      </c>
      <c r="I101" s="1146">
        <f t="shared" si="31"/>
        <v>2.29</v>
      </c>
      <c r="J101" s="1146">
        <f t="shared" si="31"/>
        <v>2.29</v>
      </c>
      <c r="K101" s="1146">
        <f t="shared" si="31"/>
        <v>2.29</v>
      </c>
      <c r="L101" s="1146">
        <f t="shared" si="31"/>
        <v>2.29</v>
      </c>
      <c r="M101" s="1146">
        <f t="shared" si="31"/>
        <v>2.29</v>
      </c>
      <c r="N101" s="1146">
        <f t="shared" si="31"/>
        <v>2.29</v>
      </c>
    </row>
    <row r="102" spans="1:14">
      <c r="A102" s="3800"/>
      <c r="B102" s="1141">
        <v>1</v>
      </c>
      <c r="C102" s="1142">
        <f>1.9362/C101</f>
        <v>0.84550218340611349</v>
      </c>
      <c r="D102" s="1142">
        <f>1.9362/D101</f>
        <v>0.84550218340611349</v>
      </c>
      <c r="E102" s="1142">
        <f>1.8629/E101</f>
        <v>0.81349344978165938</v>
      </c>
      <c r="F102" s="1142">
        <f>1.8629/F101</f>
        <v>0.81349344978165938</v>
      </c>
      <c r="G102" s="1142">
        <f>1.8629/G101</f>
        <v>0.81349344978165938</v>
      </c>
      <c r="H102" s="1142">
        <f>1.8629/H101</f>
        <v>0.81349344978165938</v>
      </c>
      <c r="I102" s="1142">
        <f>1.8629/I101</f>
        <v>0.81349344978165938</v>
      </c>
      <c r="J102" s="1142">
        <f>1.942/J101</f>
        <v>0.84803493449781653</v>
      </c>
      <c r="K102" s="1142">
        <f>1.942/K101</f>
        <v>0.84803493449781653</v>
      </c>
      <c r="L102" s="1142">
        <f>1.942/L101</f>
        <v>0.84803493449781653</v>
      </c>
      <c r="M102" s="1142">
        <f>1.942/M101</f>
        <v>0.84803493449781653</v>
      </c>
      <c r="N102" s="1142">
        <f>1.942/N101</f>
        <v>0.84803493449781653</v>
      </c>
    </row>
    <row r="103" spans="1:14">
      <c r="A103" s="3800"/>
      <c r="B103" s="1141">
        <v>2</v>
      </c>
      <c r="C103" s="1142">
        <f>1.4198/C101</f>
        <v>0.62</v>
      </c>
      <c r="D103" s="1142">
        <f>1.4198/D101</f>
        <v>0.62</v>
      </c>
      <c r="E103" s="1142">
        <f>1.3372/E101</f>
        <v>0.58393013100436675</v>
      </c>
      <c r="F103" s="1142">
        <f>1.3372/F101</f>
        <v>0.58393013100436675</v>
      </c>
      <c r="G103" s="1142">
        <f>1.3372/G101</f>
        <v>0.58393013100436675</v>
      </c>
      <c r="H103" s="1142">
        <f>1.3372/H101</f>
        <v>0.58393013100436675</v>
      </c>
      <c r="I103" s="1142">
        <f>1.3372/I101</f>
        <v>0.58393013100436675</v>
      </c>
      <c r="J103" s="1142">
        <f>1.2799/J101</f>
        <v>0.55890829694323141</v>
      </c>
      <c r="K103" s="1142">
        <f>1.2799/K101</f>
        <v>0.55890829694323141</v>
      </c>
      <c r="L103" s="1142">
        <f>1.2799/L101</f>
        <v>0.55890829694323141</v>
      </c>
      <c r="M103" s="1142">
        <f>1.2799/M101</f>
        <v>0.55890829694323141</v>
      </c>
      <c r="N103" s="1142">
        <f>1.2799/N101</f>
        <v>0.55890829694323141</v>
      </c>
    </row>
    <row r="104" spans="1:14">
      <c r="A104" s="3800"/>
      <c r="B104" s="1141">
        <v>3</v>
      </c>
      <c r="C104" s="1142">
        <f>1.1594/C101</f>
        <v>0.50628820960698684</v>
      </c>
      <c r="D104" s="1142">
        <f>1.1594/D101</f>
        <v>0.50628820960698684</v>
      </c>
      <c r="E104" s="1142">
        <f>1.0788/E101</f>
        <v>0.47109170305676856</v>
      </c>
      <c r="F104" s="1142">
        <f>1.0788/F101</f>
        <v>0.47109170305676856</v>
      </c>
      <c r="G104" s="1142">
        <f>1.0788/G101</f>
        <v>0.47109170305676856</v>
      </c>
      <c r="H104" s="1142">
        <f>1.0788/H101</f>
        <v>0.47109170305676856</v>
      </c>
      <c r="I104" s="1142">
        <f>1.0788/I101</f>
        <v>0.47109170305676856</v>
      </c>
      <c r="J104" s="1142">
        <f>1.0072/J101</f>
        <v>0.43982532751091707</v>
      </c>
      <c r="K104" s="1142">
        <f>1.0072/K101</f>
        <v>0.43982532751091707</v>
      </c>
      <c r="L104" s="1142">
        <f>1.0072/L101</f>
        <v>0.43982532751091707</v>
      </c>
      <c r="M104" s="1142">
        <f>1.0072/M101</f>
        <v>0.43982532751091707</v>
      </c>
      <c r="N104" s="1142">
        <f>1.0072/N101</f>
        <v>0.43982532751091707</v>
      </c>
    </row>
    <row r="105" spans="1:14">
      <c r="A105" s="3800"/>
      <c r="B105" s="1141">
        <v>4</v>
      </c>
      <c r="C105" s="1142">
        <f>0.9622/C101</f>
        <v>0.42017467248908297</v>
      </c>
      <c r="D105" s="1142">
        <f>0.9622/D101</f>
        <v>0.42017467248908297</v>
      </c>
      <c r="E105" s="1142">
        <f>0.8656/E101</f>
        <v>0.37799126637554586</v>
      </c>
      <c r="F105" s="1142">
        <f>0.8656/F101</f>
        <v>0.37799126637554586</v>
      </c>
      <c r="G105" s="1142">
        <f>0.8656/G101</f>
        <v>0.37799126637554586</v>
      </c>
      <c r="H105" s="1142">
        <f>0.8656/H101</f>
        <v>0.37799126637554586</v>
      </c>
      <c r="I105" s="1142">
        <f>0.8656/I101</f>
        <v>0.37799126637554586</v>
      </c>
      <c r="J105" s="1142">
        <f>0.7525/J101</f>
        <v>0.32860262008733621</v>
      </c>
      <c r="K105" s="1142">
        <f>0.7525/K101</f>
        <v>0.32860262008733621</v>
      </c>
      <c r="L105" s="1142">
        <f>0.7525/L101</f>
        <v>0.32860262008733621</v>
      </c>
      <c r="M105" s="1142">
        <f>0.7525/M101</f>
        <v>0.32860262008733621</v>
      </c>
      <c r="N105" s="1142">
        <f>0.7525/N101</f>
        <v>0.32860262008733621</v>
      </c>
    </row>
    <row r="106" spans="1:14">
      <c r="A106" s="3800"/>
      <c r="B106" s="1141">
        <v>5</v>
      </c>
      <c r="C106" s="1142">
        <f>0.8417/C101</f>
        <v>0.3675545851528384</v>
      </c>
      <c r="D106" s="1142">
        <f>0.8417/D101</f>
        <v>0.3675545851528384</v>
      </c>
      <c r="E106" s="1142">
        <f>0.7371/E101</f>
        <v>0.32187772925764191</v>
      </c>
      <c r="F106" s="1142">
        <f>0.7371/F101</f>
        <v>0.32187772925764191</v>
      </c>
      <c r="G106" s="1142">
        <f>0.7371/G101</f>
        <v>0.32187772925764191</v>
      </c>
      <c r="H106" s="1142">
        <f>0.7371/H101</f>
        <v>0.32187772925764191</v>
      </c>
      <c r="I106" s="1142">
        <f>0.7371/I101</f>
        <v>0.32187772925764191</v>
      </c>
      <c r="J106" s="1142">
        <f>0.5659/J101</f>
        <v>0.24711790393013097</v>
      </c>
      <c r="K106" s="1142">
        <f>0.5659/K101</f>
        <v>0.24711790393013097</v>
      </c>
      <c r="L106" s="1142">
        <f>0.5659/L101</f>
        <v>0.24711790393013097</v>
      </c>
      <c r="M106" s="1142">
        <f>0.5659/M101</f>
        <v>0.24711790393013097</v>
      </c>
      <c r="N106" s="1142">
        <f>0.5659/N101</f>
        <v>0.24711790393013097</v>
      </c>
    </row>
    <row r="107" spans="1:14">
      <c r="A107" s="3800"/>
      <c r="B107" s="1141">
        <v>6</v>
      </c>
      <c r="C107" s="1142">
        <f>0.7608/C101</f>
        <v>0.33222707423580788</v>
      </c>
      <c r="D107" s="1142">
        <f>0.7608/D101</f>
        <v>0.33222707423580788</v>
      </c>
      <c r="E107" s="1142">
        <f>0.6482/E101</f>
        <v>0.28305676855895195</v>
      </c>
      <c r="F107" s="1142">
        <f>0.6482/F101</f>
        <v>0.28305676855895195</v>
      </c>
      <c r="G107" s="1142">
        <f>0.6482/G101</f>
        <v>0.28305676855895195</v>
      </c>
      <c r="H107" s="1142">
        <f>0.6482/H101</f>
        <v>0.28305676855895195</v>
      </c>
      <c r="I107" s="1142">
        <f>0.6482/I101</f>
        <v>0.28305676855895195</v>
      </c>
      <c r="J107" s="1142">
        <f>0.4525/J101</f>
        <v>0.19759825327510919</v>
      </c>
      <c r="K107" s="1142">
        <f>0.4525/K101</f>
        <v>0.19759825327510919</v>
      </c>
      <c r="L107" s="1142">
        <f>0.4525/L101</f>
        <v>0.19759825327510919</v>
      </c>
      <c r="M107" s="1142">
        <f>0.4525/M101</f>
        <v>0.19759825327510919</v>
      </c>
      <c r="N107" s="1142">
        <f>0.4525/N101</f>
        <v>0.19759825327510919</v>
      </c>
    </row>
    <row r="108" spans="1:14">
      <c r="A108" s="3800"/>
      <c r="B108" s="3802"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801"/>
      <c r="B109" s="3803"/>
      <c r="C109" s="1144">
        <f>(-0.163*(C108^2)-0.59*C108+7617)*(10^(-4))/C101</f>
        <v>0.33195842794759822</v>
      </c>
      <c r="D109" s="1144">
        <f>(-0.163*(D108^2)-0.59*D108+7617)*(10^(-4))/D101</f>
        <v>0.33195842794759822</v>
      </c>
      <c r="E109" s="1144">
        <f>(-0.161*(E108^2)-7.509*E108+6533)*(10^(-4))/E101</f>
        <v>0.28221065502183407</v>
      </c>
      <c r="F109" s="1144">
        <f>(-0.161*(F108^2)-7.509*F108+6533)*(10^(-4))/F101</f>
        <v>0.28221065502183407</v>
      </c>
      <c r="G109" s="1144">
        <f>(-0.161*(G108^2)-7.509*G108+6533)*(10^(-4))/G101</f>
        <v>0.28221065502183407</v>
      </c>
      <c r="H109" s="1144">
        <f>(-0.161*(H108^2)-7.509*H108+6533)*(10^(-4))/H101</f>
        <v>0.28221065502183407</v>
      </c>
      <c r="I109" s="1144">
        <f>(-0.161*(I108^2)-7.509*I108+6533)*(10^(-4))/I101</f>
        <v>0.28221065502183407</v>
      </c>
      <c r="J109" s="1144">
        <f>(-0.214*(J108^2)-21.991*J108+4665)*(10^(-4))/J101</f>
        <v>0.19543126637554586</v>
      </c>
      <c r="K109" s="1144">
        <f>(-0.214*(K108^2)-21.991*K108+4665)*(10^(-4))/K101</f>
        <v>0.19543126637554586</v>
      </c>
      <c r="L109" s="1144">
        <f>(-0.214*(L108^2)-21.991*L108+4665)*(10^(-4))/L101</f>
        <v>0.19543126637554586</v>
      </c>
      <c r="M109" s="1144">
        <f>(-0.214*(M108^2)-21.991*M108+4665)*(10^(-4))/M101</f>
        <v>0.19543126637554586</v>
      </c>
      <c r="N109" s="1144">
        <f>(-0.214*(N108^2)-21.991*N108+4665)*(10^(-4))/N101</f>
        <v>0.19543126637554586</v>
      </c>
    </row>
    <row r="110" spans="1:14">
      <c r="A110" s="3786" t="s">
        <v>1641</v>
      </c>
      <c r="B110" s="3786"/>
      <c r="C110" s="3786"/>
      <c r="D110" s="3786"/>
      <c r="E110" s="3786"/>
      <c r="F110" s="3786"/>
      <c r="G110" s="3786"/>
      <c r="H110" s="3786"/>
      <c r="I110" s="3786"/>
      <c r="J110" s="3786"/>
      <c r="K110" s="2471"/>
      <c r="L110" s="2471"/>
      <c r="M110" s="2471"/>
      <c r="N110" s="2471"/>
    </row>
    <row r="112" spans="1:14" ht="12.75" thickBot="1"/>
    <row r="113" spans="1:13" ht="25.5" thickBot="1">
      <c r="A113" s="1014" t="s">
        <v>897</v>
      </c>
      <c r="B113" s="2474">
        <f>G3</f>
        <v>2.29</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0.91200000000000003</v>
      </c>
      <c r="C115" s="1028">
        <f>B115</f>
        <v>0.91200000000000003</v>
      </c>
      <c r="D115" s="1028">
        <f>ROUND(0.8331-0.0109*B113,4)</f>
        <v>0.80810000000000004</v>
      </c>
      <c r="E115" s="1028">
        <f>D115</f>
        <v>0.80810000000000004</v>
      </c>
      <c r="F115" s="1028">
        <f>E115</f>
        <v>0.80810000000000004</v>
      </c>
      <c r="G115" s="1028">
        <f>F115</f>
        <v>0.80810000000000004</v>
      </c>
      <c r="H115" s="1028">
        <f>G115</f>
        <v>0.80810000000000004</v>
      </c>
      <c r="I115" s="1028">
        <f>ROUND(0.689-0.0155*B113,4)</f>
        <v>0.65349999999999997</v>
      </c>
      <c r="J115" s="1028">
        <f t="shared" ref="J115:M118" si="33">I115</f>
        <v>0.65349999999999997</v>
      </c>
      <c r="K115" s="1028">
        <f t="shared" si="33"/>
        <v>0.65349999999999997</v>
      </c>
      <c r="L115" s="1028">
        <f t="shared" si="33"/>
        <v>0.65349999999999997</v>
      </c>
      <c r="M115" s="1029">
        <f t="shared" si="33"/>
        <v>0.65349999999999997</v>
      </c>
    </row>
    <row r="116" spans="1:13" ht="12.75">
      <c r="A116" s="1027" t="s">
        <v>902</v>
      </c>
      <c r="B116" s="1028">
        <f>ROUND(0.949-0.012*B113,4)</f>
        <v>0.92149999999999999</v>
      </c>
      <c r="C116" s="1028">
        <f>B116</f>
        <v>0.92149999999999999</v>
      </c>
      <c r="D116" s="1028">
        <f>ROUND(0.8567-0.013*B113,4)</f>
        <v>0.82689999999999997</v>
      </c>
      <c r="E116" s="1028">
        <f t="shared" ref="E116:H117" si="34">D116</f>
        <v>0.82689999999999997</v>
      </c>
      <c r="F116" s="1028">
        <f t="shared" si="34"/>
        <v>0.82689999999999997</v>
      </c>
      <c r="G116" s="1028">
        <f t="shared" si="34"/>
        <v>0.82689999999999997</v>
      </c>
      <c r="H116" s="1028">
        <f t="shared" si="34"/>
        <v>0.82689999999999997</v>
      </c>
      <c r="I116" s="1028">
        <f>ROUND(0.7694-0.014*B113,4)</f>
        <v>0.73729999999999996</v>
      </c>
      <c r="J116" s="1028">
        <f t="shared" si="33"/>
        <v>0.73729999999999996</v>
      </c>
      <c r="K116" s="1028">
        <f t="shared" si="33"/>
        <v>0.73729999999999996</v>
      </c>
      <c r="L116" s="1028">
        <f t="shared" si="33"/>
        <v>0.73729999999999996</v>
      </c>
      <c r="M116" s="1029">
        <f t="shared" si="33"/>
        <v>0.73729999999999996</v>
      </c>
    </row>
    <row r="117" spans="1:13" ht="12.75">
      <c r="A117" s="1030" t="s">
        <v>903</v>
      </c>
      <c r="B117" s="1028">
        <f>ROUND(0.8808-0.006*B113,4)</f>
        <v>0.86709999999999998</v>
      </c>
      <c r="C117" s="1028">
        <f>B117</f>
        <v>0.86709999999999998</v>
      </c>
      <c r="D117" s="1028">
        <f>ROUND(0.8748-0.008*B113,4)</f>
        <v>0.85650000000000004</v>
      </c>
      <c r="E117" s="1028">
        <f t="shared" si="34"/>
        <v>0.85650000000000004</v>
      </c>
      <c r="F117" s="1028">
        <f t="shared" si="34"/>
        <v>0.85650000000000004</v>
      </c>
      <c r="G117" s="1028">
        <f t="shared" si="34"/>
        <v>0.85650000000000004</v>
      </c>
      <c r="H117" s="1028">
        <f t="shared" si="34"/>
        <v>0.85650000000000004</v>
      </c>
      <c r="I117" s="1028">
        <f>ROUND(0.7412-0.0095*B113,4)</f>
        <v>0.71940000000000004</v>
      </c>
      <c r="J117" s="1028">
        <f t="shared" si="33"/>
        <v>0.71940000000000004</v>
      </c>
      <c r="K117" s="1028">
        <f t="shared" si="33"/>
        <v>0.71940000000000004</v>
      </c>
      <c r="L117" s="1028">
        <f t="shared" si="33"/>
        <v>0.71940000000000004</v>
      </c>
      <c r="M117" s="1029">
        <f t="shared" si="33"/>
        <v>0.71940000000000004</v>
      </c>
    </row>
    <row r="118" spans="1:13" ht="13.5" thickBot="1">
      <c r="A118" s="1031" t="s">
        <v>904</v>
      </c>
      <c r="B118" s="1032">
        <f>ROUND(0.7275-0.01*B113,4)</f>
        <v>0.7046</v>
      </c>
      <c r="C118" s="1032">
        <f>B118</f>
        <v>0.7046</v>
      </c>
      <c r="D118" s="1032">
        <f>ROUND(0.7043-0.012*B113,4)</f>
        <v>0.67679999999999996</v>
      </c>
      <c r="E118" s="1032">
        <f>D118</f>
        <v>0.67679999999999996</v>
      </c>
      <c r="F118" s="1032">
        <f>E118</f>
        <v>0.67679999999999996</v>
      </c>
      <c r="G118" s="1032">
        <f>ROUND(0.6299-0.0122*B113,4)</f>
        <v>0.60199999999999998</v>
      </c>
      <c r="H118" s="1032">
        <f>G118</f>
        <v>0.60199999999999998</v>
      </c>
      <c r="I118" s="1032">
        <f>ROUND(0.5667-0.0136*B113,4)</f>
        <v>0.53559999999999997</v>
      </c>
      <c r="J118" s="1032">
        <f t="shared" si="33"/>
        <v>0.53559999999999997</v>
      </c>
      <c r="K118" s="1032">
        <f t="shared" si="33"/>
        <v>0.53559999999999997</v>
      </c>
      <c r="L118" s="1032">
        <f t="shared" si="33"/>
        <v>0.53559999999999997</v>
      </c>
      <c r="M118" s="1033">
        <f t="shared" si="33"/>
        <v>0.53559999999999997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7" customFormat="1" ht="19.5" customHeight="1">
      <c r="A18" s="3792" t="s">
        <v>1009</v>
      </c>
      <c r="B18" s="1152" t="s">
        <v>1448</v>
      </c>
      <c r="C18" s="1129" t="s">
        <v>1449</v>
      </c>
      <c r="D18" s="1130"/>
      <c r="E18" s="1152">
        <v>1</v>
      </c>
      <c r="F18" s="1131" t="s">
        <v>1450</v>
      </c>
      <c r="G18" s="1132"/>
      <c r="H18" s="1103"/>
      <c r="I18" s="1103"/>
    </row>
    <row r="19" spans="1:9" s="1597" customFormat="1" ht="19.5" customHeight="1">
      <c r="A19" s="3792"/>
      <c r="B19" s="3792" t="s">
        <v>1451</v>
      </c>
      <c r="C19" s="1129" t="s">
        <v>1452</v>
      </c>
      <c r="D19" s="1130"/>
      <c r="E19" s="1152">
        <v>0.9</v>
      </c>
      <c r="F19" s="1131" t="s">
        <v>1453</v>
      </c>
      <c r="G19" s="1132"/>
      <c r="H19" s="1103"/>
      <c r="I19" s="1103"/>
    </row>
    <row r="20" spans="1:9" s="1597" customFormat="1" ht="19.5" customHeight="1">
      <c r="A20" s="3792"/>
      <c r="B20" s="3792"/>
      <c r="C20" s="1129" t="s">
        <v>1454</v>
      </c>
      <c r="D20" s="1130"/>
      <c r="E20" s="1152">
        <v>1.1000000000000001</v>
      </c>
      <c r="F20" s="1131" t="s">
        <v>1455</v>
      </c>
      <c r="G20" s="1132"/>
      <c r="H20" s="1103"/>
      <c r="I20" s="1103"/>
    </row>
    <row r="21" spans="1:9" s="1597" customFormat="1" ht="19.5" customHeight="1">
      <c r="A21" s="3792"/>
      <c r="B21" s="3792"/>
      <c r="C21" s="1129" t="s">
        <v>1456</v>
      </c>
      <c r="D21" s="1130"/>
      <c r="E21" s="1152">
        <v>0.8</v>
      </c>
      <c r="F21" s="1131" t="s">
        <v>1457</v>
      </c>
      <c r="G21" s="1132"/>
      <c r="H21" s="1103"/>
      <c r="I21" s="1103"/>
    </row>
    <row r="22" spans="1:9" s="1597" customFormat="1" ht="19.5" customHeight="1">
      <c r="A22" s="3792"/>
      <c r="B22" s="3792"/>
      <c r="C22" s="1129" t="s">
        <v>1458</v>
      </c>
      <c r="D22" s="1130"/>
      <c r="E22" s="1152">
        <v>0.5</v>
      </c>
      <c r="F22" s="1131"/>
      <c r="G22" s="1132"/>
      <c r="H22" s="1103"/>
      <c r="I22" s="1103"/>
    </row>
    <row r="23" spans="1:9" s="1597" customFormat="1" ht="19.5" customHeight="1">
      <c r="A23" s="3792" t="s">
        <v>1031</v>
      </c>
      <c r="B23" s="1152" t="s">
        <v>1448</v>
      </c>
      <c r="C23" s="1129" t="s">
        <v>1459</v>
      </c>
      <c r="D23" s="1130"/>
      <c r="E23" s="1152">
        <v>1</v>
      </c>
      <c r="F23" s="1131" t="s">
        <v>1460</v>
      </c>
      <c r="G23" s="1132"/>
      <c r="H23" s="1103"/>
      <c r="I23" s="1103"/>
    </row>
    <row r="24" spans="1:9" s="1597" customFormat="1" ht="19.5" customHeight="1">
      <c r="A24" s="3792"/>
      <c r="B24" s="3792" t="s">
        <v>1451</v>
      </c>
      <c r="C24" s="1129" t="s">
        <v>1461</v>
      </c>
      <c r="D24" s="1130"/>
      <c r="E24" s="1152">
        <v>0.5</v>
      </c>
      <c r="F24" s="1131"/>
      <c r="G24" s="1132"/>
      <c r="H24" s="1103"/>
      <c r="I24" s="1103"/>
    </row>
    <row r="25" spans="1:9" s="1597" customFormat="1" ht="19.5" customHeight="1">
      <c r="A25" s="3792"/>
      <c r="B25" s="3792"/>
      <c r="C25" s="1129" t="s">
        <v>1462</v>
      </c>
      <c r="D25" s="1130"/>
      <c r="E25" s="1152">
        <v>1.1000000000000001</v>
      </c>
      <c r="F25" s="1131"/>
      <c r="G25" s="1132"/>
      <c r="H25" s="1103"/>
      <c r="I25" s="1103"/>
    </row>
    <row r="26" spans="1:9" s="1597" customFormat="1" ht="19.5" customHeight="1">
      <c r="A26" s="3792"/>
      <c r="B26" s="3792"/>
      <c r="C26" s="1129" t="s">
        <v>1463</v>
      </c>
      <c r="D26" s="1130"/>
      <c r="E26" s="1152">
        <v>1.1000000000000001</v>
      </c>
      <c r="F26" s="1131"/>
      <c r="G26" s="1132"/>
      <c r="H26" s="1103"/>
      <c r="I26" s="1103"/>
    </row>
    <row r="27" spans="1:9" s="1597" customFormat="1" ht="19.5" customHeight="1">
      <c r="A27" s="3792"/>
      <c r="B27" s="3792"/>
      <c r="C27" s="1129" t="s">
        <v>1464</v>
      </c>
      <c r="D27" s="1130"/>
      <c r="E27" s="1152">
        <v>0.9</v>
      </c>
      <c r="F27" s="1131" t="s">
        <v>1465</v>
      </c>
      <c r="G27" s="1132"/>
      <c r="H27" s="1103"/>
      <c r="I27" s="1103"/>
    </row>
    <row r="28" spans="1:9" s="1597" customFormat="1" ht="19.5" customHeight="1">
      <c r="A28" s="3792"/>
      <c r="B28" s="3792"/>
      <c r="C28" s="1129" t="s">
        <v>1466</v>
      </c>
      <c r="D28" s="1130"/>
      <c r="E28" s="1152">
        <v>0.9</v>
      </c>
      <c r="F28" s="1131" t="s">
        <v>1467</v>
      </c>
      <c r="G28" s="1132"/>
      <c r="H28" s="1103"/>
      <c r="I28" s="1103"/>
    </row>
    <row r="29" spans="1:9" s="1597" customFormat="1" ht="19.5" customHeight="1">
      <c r="A29" s="3792"/>
      <c r="B29" s="3792"/>
      <c r="C29" s="1129" t="s">
        <v>1468</v>
      </c>
      <c r="D29" s="1130"/>
      <c r="E29" s="1152">
        <v>0.9</v>
      </c>
      <c r="F29" s="1131" t="s">
        <v>1469</v>
      </c>
      <c r="G29" s="1132"/>
      <c r="H29" s="1103"/>
      <c r="I29" s="1103"/>
    </row>
    <row r="30" spans="1:9" s="1597" customFormat="1" ht="19.5" customHeight="1">
      <c r="A30" s="3792"/>
      <c r="B30" s="3792"/>
      <c r="C30" s="1129" t="s">
        <v>1470</v>
      </c>
      <c r="D30" s="1130"/>
      <c r="E30" s="1152">
        <v>0.9</v>
      </c>
      <c r="F30" s="1131" t="s">
        <v>1471</v>
      </c>
      <c r="G30" s="1132"/>
      <c r="H30" s="1103"/>
      <c r="I30" s="1103"/>
    </row>
    <row r="31" spans="1:9" s="1597" customFormat="1" ht="19.5" customHeight="1">
      <c r="A31" s="3792"/>
      <c r="B31" s="3792"/>
      <c r="C31" s="1129" t="s">
        <v>1472</v>
      </c>
      <c r="D31" s="1130"/>
      <c r="E31" s="1152">
        <v>0.8</v>
      </c>
      <c r="F31" s="1131" t="s">
        <v>1473</v>
      </c>
      <c r="G31" s="1132"/>
      <c r="H31" s="1103"/>
      <c r="I31" s="1103"/>
    </row>
    <row r="32" spans="1:9" s="1597" customFormat="1" ht="19.5" customHeight="1">
      <c r="A32" s="3792"/>
      <c r="B32" s="3792"/>
      <c r="C32" s="1129" t="s">
        <v>1474</v>
      </c>
      <c r="D32" s="1130"/>
      <c r="E32" s="1152">
        <v>0.8</v>
      </c>
      <c r="F32" s="1131" t="s">
        <v>1475</v>
      </c>
      <c r="G32" s="1132"/>
      <c r="H32" s="1103"/>
      <c r="I32" s="1103"/>
    </row>
    <row r="33" spans="1:9" s="1597" customFormat="1" ht="19.5" customHeight="1">
      <c r="A33" s="3792" t="s">
        <v>1476</v>
      </c>
      <c r="B33" s="1152" t="s">
        <v>1448</v>
      </c>
      <c r="C33" s="1129" t="s">
        <v>1477</v>
      </c>
      <c r="D33" s="1130"/>
      <c r="E33" s="1152">
        <v>1</v>
      </c>
      <c r="F33" s="1131" t="s">
        <v>1478</v>
      </c>
      <c r="G33" s="1132"/>
      <c r="H33" s="1103"/>
      <c r="I33" s="1103"/>
    </row>
    <row r="34" spans="1:9" s="1597" customFormat="1" ht="19.5" customHeight="1">
      <c r="A34" s="3792"/>
      <c r="B34" s="1152" t="s">
        <v>1451</v>
      </c>
      <c r="C34" s="1129" t="s">
        <v>1479</v>
      </c>
      <c r="D34" s="1130"/>
      <c r="E34" s="1152">
        <v>1.5</v>
      </c>
      <c r="F34" s="1131" t="s">
        <v>1480</v>
      </c>
      <c r="G34" s="1132"/>
      <c r="H34" s="1103"/>
      <c r="I34" s="1103"/>
    </row>
    <row r="35" spans="1:9" s="1597" customFormat="1" ht="19.5" customHeight="1">
      <c r="A35" s="3792" t="s">
        <v>1434</v>
      </c>
      <c r="B35" s="1152" t="s">
        <v>1448</v>
      </c>
      <c r="C35" s="1129" t="s">
        <v>1481</v>
      </c>
      <c r="D35" s="1130"/>
      <c r="E35" s="1152">
        <v>1</v>
      </c>
      <c r="F35" s="1131" t="s">
        <v>1482</v>
      </c>
      <c r="G35" s="1132"/>
      <c r="H35" s="1103"/>
      <c r="I35" s="1103"/>
    </row>
    <row r="36" spans="1:9" s="1597" customFormat="1" ht="19.5" customHeight="1">
      <c r="A36" s="3792"/>
      <c r="B36" s="3792" t="s">
        <v>1451</v>
      </c>
      <c r="C36" s="1129" t="s">
        <v>1483</v>
      </c>
      <c r="D36" s="1130"/>
      <c r="E36" s="1152">
        <v>1</v>
      </c>
      <c r="F36" s="1131" t="s">
        <v>1484</v>
      </c>
      <c r="G36" s="1132"/>
      <c r="H36" s="1103"/>
      <c r="I36" s="1103"/>
    </row>
    <row r="37" spans="1:9" s="1597" customFormat="1" ht="19.5" customHeight="1">
      <c r="A37" s="3792"/>
      <c r="B37" s="3792"/>
      <c r="C37" s="1129" t="s">
        <v>1485</v>
      </c>
      <c r="D37" s="1130"/>
      <c r="E37" s="1152">
        <v>1.5</v>
      </c>
      <c r="F37" s="1131" t="s">
        <v>1486</v>
      </c>
      <c r="G37" s="1132"/>
      <c r="H37" s="1103"/>
      <c r="I37" s="1103"/>
    </row>
    <row r="38" spans="1:9" s="1597" customFormat="1" ht="19.5" customHeight="1">
      <c r="A38" s="3792"/>
      <c r="B38" s="3792"/>
      <c r="C38" s="1129" t="s">
        <v>1487</v>
      </c>
      <c r="D38" s="1130"/>
      <c r="E38" s="1152">
        <v>1</v>
      </c>
      <c r="F38" s="1131" t="s">
        <v>1488</v>
      </c>
      <c r="G38" s="1132"/>
      <c r="H38" s="1103"/>
      <c r="I38" s="1103"/>
    </row>
    <row r="39" spans="1:9" s="1597" customFormat="1" ht="19.5" customHeight="1">
      <c r="A39" s="3792"/>
      <c r="B39" s="3792"/>
      <c r="C39" s="1129" t="s">
        <v>1489</v>
      </c>
      <c r="D39" s="1130"/>
      <c r="E39" s="1152">
        <v>1</v>
      </c>
      <c r="F39" s="1131" t="s">
        <v>1490</v>
      </c>
      <c r="G39" s="1132"/>
      <c r="H39" s="1103"/>
      <c r="I39" s="1103"/>
    </row>
    <row r="40" spans="1:9" s="1597" customFormat="1" ht="19.5" customHeight="1">
      <c r="A40" s="1598" t="s">
        <v>1491</v>
      </c>
      <c r="B40" s="1598"/>
      <c r="C40" s="1598"/>
      <c r="D40" s="1598"/>
      <c r="E40" s="1598"/>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792" t="s">
        <v>1503</v>
      </c>
      <c r="C61" s="1066" t="s">
        <v>1504</v>
      </c>
      <c r="D61" s="1066" t="s">
        <v>1505</v>
      </c>
      <c r="E61" s="1137">
        <v>0.5</v>
      </c>
      <c r="F61" s="1152">
        <v>80</v>
      </c>
      <c r="H61" s="1103">
        <f>SUMIF(C59:C119,基准地价!C8,E59:E119)</f>
        <v>0</v>
      </c>
    </row>
    <row r="62" spans="1:8" s="1103" customFormat="1" ht="24">
      <c r="A62" s="1152">
        <v>2</v>
      </c>
      <c r="B62" s="3792"/>
      <c r="C62" s="1066" t="s">
        <v>1506</v>
      </c>
      <c r="D62" s="1066" t="s">
        <v>1507</v>
      </c>
      <c r="E62" s="1137">
        <v>0.5</v>
      </c>
      <c r="F62" s="1152">
        <v>80</v>
      </c>
    </row>
    <row r="63" spans="1:8" s="1103" customFormat="1" ht="36">
      <c r="A63" s="1152">
        <v>3</v>
      </c>
      <c r="B63" s="3792"/>
      <c r="C63" s="1066" t="s">
        <v>1508</v>
      </c>
      <c r="D63" s="1066" t="s">
        <v>1509</v>
      </c>
      <c r="E63" s="1137">
        <v>0.5</v>
      </c>
      <c r="F63" s="1152">
        <v>80</v>
      </c>
    </row>
    <row r="64" spans="1:8" s="1103" customFormat="1" ht="36">
      <c r="A64" s="1152">
        <v>4</v>
      </c>
      <c r="B64" s="3792"/>
      <c r="C64" s="1066" t="s">
        <v>1510</v>
      </c>
      <c r="D64" s="1066" t="s">
        <v>1511</v>
      </c>
      <c r="E64" s="1137">
        <v>0.4</v>
      </c>
      <c r="F64" s="1152">
        <v>60</v>
      </c>
    </row>
    <row r="65" spans="1:6" s="1103" customFormat="1" ht="36">
      <c r="A65" s="1152">
        <v>5</v>
      </c>
      <c r="B65" s="3792"/>
      <c r="C65" s="1066" t="s">
        <v>1512</v>
      </c>
      <c r="D65" s="1066" t="s">
        <v>1513</v>
      </c>
      <c r="E65" s="1137">
        <v>0.2</v>
      </c>
      <c r="F65" s="1152">
        <v>30</v>
      </c>
    </row>
    <row r="66" spans="1:6" s="1103" customFormat="1" ht="36">
      <c r="A66" s="1152">
        <v>6</v>
      </c>
      <c r="B66" s="3792"/>
      <c r="C66" s="1066" t="s">
        <v>1514</v>
      </c>
      <c r="D66" s="1066" t="s">
        <v>1515</v>
      </c>
      <c r="E66" s="1137">
        <v>0.3</v>
      </c>
      <c r="F66" s="1152">
        <v>50</v>
      </c>
    </row>
    <row r="67" spans="1:6" s="1103" customFormat="1" ht="36">
      <c r="A67" s="1152">
        <v>7</v>
      </c>
      <c r="B67" s="3792"/>
      <c r="C67" s="1066" t="s">
        <v>1516</v>
      </c>
      <c r="D67" s="1066" t="s">
        <v>1517</v>
      </c>
      <c r="E67" s="1137">
        <v>0.2</v>
      </c>
      <c r="F67" s="1152">
        <v>30</v>
      </c>
    </row>
    <row r="68" spans="1:6" s="1103" customFormat="1" ht="36">
      <c r="A68" s="1152">
        <v>8</v>
      </c>
      <c r="B68" s="3792"/>
      <c r="C68" s="1066" t="s">
        <v>1518</v>
      </c>
      <c r="D68" s="1066" t="s">
        <v>1519</v>
      </c>
      <c r="E68" s="1137">
        <v>0.2</v>
      </c>
      <c r="F68" s="1152">
        <v>30</v>
      </c>
    </row>
    <row r="69" spans="1:6" s="1103" customFormat="1" ht="36">
      <c r="A69" s="1152">
        <v>9</v>
      </c>
      <c r="B69" s="3792"/>
      <c r="C69" s="1066" t="s">
        <v>1520</v>
      </c>
      <c r="D69" s="1066" t="s">
        <v>1521</v>
      </c>
      <c r="E69" s="1137">
        <v>0.2</v>
      </c>
      <c r="F69" s="1152">
        <v>30</v>
      </c>
    </row>
    <row r="70" spans="1:6" s="1103" customFormat="1" ht="48">
      <c r="A70" s="1152">
        <v>10</v>
      </c>
      <c r="B70" s="3792"/>
      <c r="C70" s="1066" t="s">
        <v>1522</v>
      </c>
      <c r="D70" s="1066" t="s">
        <v>1523</v>
      </c>
      <c r="E70" s="1137">
        <v>0.2</v>
      </c>
      <c r="F70" s="1152">
        <v>30</v>
      </c>
    </row>
    <row r="71" spans="1:6" s="1103" customFormat="1" ht="48">
      <c r="A71" s="1152">
        <v>11</v>
      </c>
      <c r="B71" s="3792"/>
      <c r="C71" s="1066" t="s">
        <v>1524</v>
      </c>
      <c r="D71" s="1066" t="s">
        <v>1525</v>
      </c>
      <c r="E71" s="1137">
        <v>0.2</v>
      </c>
      <c r="F71" s="1152">
        <v>30</v>
      </c>
    </row>
    <row r="72" spans="1:6" s="1103" customFormat="1" ht="36">
      <c r="A72" s="1152">
        <v>12</v>
      </c>
      <c r="B72" s="3792"/>
      <c r="C72" s="1066" t="s">
        <v>1526</v>
      </c>
      <c r="D72" s="1066" t="s">
        <v>1527</v>
      </c>
      <c r="E72" s="1137">
        <v>0.5</v>
      </c>
      <c r="F72" s="1152">
        <v>80</v>
      </c>
    </row>
    <row r="73" spans="1:6" s="1103" customFormat="1" ht="24">
      <c r="A73" s="1152">
        <v>13</v>
      </c>
      <c r="B73" s="3792"/>
      <c r="C73" s="1066" t="s">
        <v>1528</v>
      </c>
      <c r="D73" s="1066" t="s">
        <v>1529</v>
      </c>
      <c r="E73" s="1137">
        <v>0.4</v>
      </c>
      <c r="F73" s="1152">
        <v>60</v>
      </c>
    </row>
    <row r="74" spans="1:6" s="1103" customFormat="1" ht="24">
      <c r="A74" s="1152">
        <v>14</v>
      </c>
      <c r="B74" s="3792"/>
      <c r="C74" s="1066" t="s">
        <v>1530</v>
      </c>
      <c r="D74" s="1066" t="s">
        <v>1531</v>
      </c>
      <c r="E74" s="1137">
        <v>0.2</v>
      </c>
      <c r="F74" s="1152">
        <v>30</v>
      </c>
    </row>
    <row r="75" spans="1:6" s="1103" customFormat="1" ht="24">
      <c r="A75" s="1152">
        <v>15</v>
      </c>
      <c r="B75" s="3792"/>
      <c r="C75" s="1066" t="s">
        <v>1532</v>
      </c>
      <c r="D75" s="1066" t="s">
        <v>1533</v>
      </c>
      <c r="E75" s="1137">
        <v>0.2</v>
      </c>
      <c r="F75" s="1152">
        <v>30</v>
      </c>
    </row>
    <row r="76" spans="1:6" s="1103" customFormat="1" ht="24">
      <c r="A76" s="1152">
        <v>16</v>
      </c>
      <c r="B76" s="3792" t="s">
        <v>1534</v>
      </c>
      <c r="C76" s="1066" t="s">
        <v>1535</v>
      </c>
      <c r="D76" s="1066" t="s">
        <v>1536</v>
      </c>
      <c r="E76" s="1137">
        <v>0.5</v>
      </c>
      <c r="F76" s="1152">
        <v>80</v>
      </c>
    </row>
    <row r="77" spans="1:6" s="1103" customFormat="1" ht="24">
      <c r="A77" s="1152">
        <v>17</v>
      </c>
      <c r="B77" s="3792"/>
      <c r="C77" s="1066" t="s">
        <v>1537</v>
      </c>
      <c r="D77" s="1066" t="s">
        <v>1538</v>
      </c>
      <c r="E77" s="1137">
        <v>0.5</v>
      </c>
      <c r="F77" s="1152">
        <v>80</v>
      </c>
    </row>
    <row r="78" spans="1:6" s="1103" customFormat="1" ht="24">
      <c r="A78" s="1152">
        <v>18</v>
      </c>
      <c r="B78" s="3792"/>
      <c r="C78" s="1066" t="s">
        <v>1539</v>
      </c>
      <c r="D78" s="1066" t="s">
        <v>1540</v>
      </c>
      <c r="E78" s="1137">
        <v>0.2</v>
      </c>
      <c r="F78" s="1152">
        <v>30</v>
      </c>
    </row>
    <row r="79" spans="1:6" s="1103" customFormat="1" ht="24">
      <c r="A79" s="1152">
        <v>19</v>
      </c>
      <c r="B79" s="3792"/>
      <c r="C79" s="1066" t="s">
        <v>1541</v>
      </c>
      <c r="D79" s="1066" t="s">
        <v>1542</v>
      </c>
      <c r="E79" s="1137">
        <v>0.5</v>
      </c>
      <c r="F79" s="1152">
        <v>80</v>
      </c>
    </row>
    <row r="80" spans="1:6" s="1103" customFormat="1" ht="36">
      <c r="A80" s="1152">
        <v>20</v>
      </c>
      <c r="B80" s="3792"/>
      <c r="C80" s="1066" t="s">
        <v>1543</v>
      </c>
      <c r="D80" s="1066" t="s">
        <v>1544</v>
      </c>
      <c r="E80" s="1137">
        <v>0.2</v>
      </c>
      <c r="F80" s="1152">
        <v>30</v>
      </c>
    </row>
    <row r="81" spans="1:6" s="1103" customFormat="1" ht="36">
      <c r="A81" s="1152">
        <v>21</v>
      </c>
      <c r="B81" s="3792"/>
      <c r="C81" s="1066" t="s">
        <v>1545</v>
      </c>
      <c r="D81" s="1066" t="s">
        <v>1546</v>
      </c>
      <c r="E81" s="1137">
        <v>0.2</v>
      </c>
      <c r="F81" s="1152">
        <v>30</v>
      </c>
    </row>
    <row r="82" spans="1:6" s="1103" customFormat="1" ht="48">
      <c r="A82" s="1152">
        <v>22</v>
      </c>
      <c r="B82" s="3792"/>
      <c r="C82" s="1066" t="s">
        <v>1547</v>
      </c>
      <c r="D82" s="1066" t="s">
        <v>1548</v>
      </c>
      <c r="E82" s="1137">
        <v>0.2</v>
      </c>
      <c r="F82" s="1152">
        <v>30</v>
      </c>
    </row>
    <row r="83" spans="1:6" s="1103" customFormat="1" ht="48">
      <c r="A83" s="1152">
        <v>23</v>
      </c>
      <c r="B83" s="3792"/>
      <c r="C83" s="1066" t="s">
        <v>1549</v>
      </c>
      <c r="D83" s="1066" t="s">
        <v>1550</v>
      </c>
      <c r="E83" s="1137">
        <v>0.2</v>
      </c>
      <c r="F83" s="1152">
        <v>30</v>
      </c>
    </row>
    <row r="84" spans="1:6" s="1103" customFormat="1" ht="36">
      <c r="A84" s="1152">
        <v>24</v>
      </c>
      <c r="B84" s="3792"/>
      <c r="C84" s="1066" t="s">
        <v>1551</v>
      </c>
      <c r="D84" s="1066" t="s">
        <v>1552</v>
      </c>
      <c r="E84" s="1137">
        <v>0.2</v>
      </c>
      <c r="F84" s="1152">
        <v>30</v>
      </c>
    </row>
    <row r="85" spans="1:6" s="1103" customFormat="1" ht="36">
      <c r="A85" s="1152">
        <v>25</v>
      </c>
      <c r="B85" s="3792"/>
      <c r="C85" s="1066" t="s">
        <v>1553</v>
      </c>
      <c r="D85" s="1066" t="s">
        <v>1554</v>
      </c>
      <c r="E85" s="1137">
        <v>0.5</v>
      </c>
      <c r="F85" s="1152">
        <v>80</v>
      </c>
    </row>
    <row r="86" spans="1:6" s="1103" customFormat="1" ht="36">
      <c r="A86" s="1152">
        <v>26</v>
      </c>
      <c r="B86" s="3792"/>
      <c r="C86" s="1066" t="s">
        <v>1555</v>
      </c>
      <c r="D86" s="1066" t="s">
        <v>1556</v>
      </c>
      <c r="E86" s="1137">
        <v>0.2</v>
      </c>
      <c r="F86" s="1152">
        <v>30</v>
      </c>
    </row>
    <row r="87" spans="1:6" s="1103" customFormat="1" ht="36">
      <c r="A87" s="1152">
        <v>27</v>
      </c>
      <c r="B87" s="3792"/>
      <c r="C87" s="1066" t="s">
        <v>1557</v>
      </c>
      <c r="D87" s="1066" t="s">
        <v>1558</v>
      </c>
      <c r="E87" s="1137">
        <v>0.2</v>
      </c>
      <c r="F87" s="1152">
        <v>30</v>
      </c>
    </row>
    <row r="88" spans="1:6" s="1103" customFormat="1" ht="36">
      <c r="A88" s="1152">
        <v>28</v>
      </c>
      <c r="B88" s="3792"/>
      <c r="C88" s="1066" t="s">
        <v>1559</v>
      </c>
      <c r="D88" s="1066" t="s">
        <v>1560</v>
      </c>
      <c r="E88" s="1137">
        <v>0.2</v>
      </c>
      <c r="F88" s="1152">
        <v>30</v>
      </c>
    </row>
    <row r="89" spans="1:6" s="1103" customFormat="1" ht="24">
      <c r="A89" s="1152">
        <v>29</v>
      </c>
      <c r="B89" s="3792"/>
      <c r="C89" s="1066" t="s">
        <v>1561</v>
      </c>
      <c r="D89" s="1066" t="s">
        <v>1562</v>
      </c>
      <c r="E89" s="1137">
        <v>0.2</v>
      </c>
      <c r="F89" s="1152">
        <v>30</v>
      </c>
    </row>
    <row r="90" spans="1:6" s="1103" customFormat="1" ht="24">
      <c r="A90" s="1152">
        <v>30</v>
      </c>
      <c r="B90" s="3792"/>
      <c r="C90" s="1066" t="s">
        <v>1563</v>
      </c>
      <c r="D90" s="1066" t="s">
        <v>1564</v>
      </c>
      <c r="E90" s="1137">
        <v>0.2</v>
      </c>
      <c r="F90" s="1152">
        <v>30</v>
      </c>
    </row>
    <row r="91" spans="1:6" s="1103" customFormat="1" ht="36">
      <c r="A91" s="1152">
        <v>31</v>
      </c>
      <c r="B91" s="3792"/>
      <c r="C91" s="1066" t="s">
        <v>1565</v>
      </c>
      <c r="D91" s="1066" t="s">
        <v>1566</v>
      </c>
      <c r="E91" s="1137">
        <v>0.2</v>
      </c>
      <c r="F91" s="1152">
        <v>30</v>
      </c>
    </row>
    <row r="92" spans="1:6" s="1103" customFormat="1" ht="24">
      <c r="A92" s="1152">
        <v>32</v>
      </c>
      <c r="B92" s="3792" t="s">
        <v>1567</v>
      </c>
      <c r="C92" s="1152" t="s">
        <v>1568</v>
      </c>
      <c r="D92" s="1066" t="s">
        <v>1569</v>
      </c>
      <c r="E92" s="1137">
        <v>0.2</v>
      </c>
      <c r="F92" s="1152">
        <v>30</v>
      </c>
    </row>
    <row r="93" spans="1:6" s="1103" customFormat="1" ht="36">
      <c r="A93" s="1152">
        <v>33</v>
      </c>
      <c r="B93" s="3792"/>
      <c r="C93" s="1152" t="s">
        <v>1570</v>
      </c>
      <c r="D93" s="1066" t="s">
        <v>1571</v>
      </c>
      <c r="E93" s="1137">
        <v>0.2</v>
      </c>
      <c r="F93" s="1152">
        <v>30</v>
      </c>
    </row>
    <row r="94" spans="1:6" s="1103" customFormat="1" ht="48">
      <c r="A94" s="1152">
        <v>34</v>
      </c>
      <c r="B94" s="3792"/>
      <c r="C94" s="1152" t="s">
        <v>1572</v>
      </c>
      <c r="D94" s="1066" t="s">
        <v>1573</v>
      </c>
      <c r="E94" s="1137">
        <v>0.2</v>
      </c>
      <c r="F94" s="1152">
        <v>30</v>
      </c>
    </row>
    <row r="95" spans="1:6" s="1103" customFormat="1" ht="36">
      <c r="A95" s="1152">
        <v>35</v>
      </c>
      <c r="B95" s="3792"/>
      <c r="C95" s="1152" t="s">
        <v>1574</v>
      </c>
      <c r="D95" s="1066" t="s">
        <v>1575</v>
      </c>
      <c r="E95" s="1137">
        <v>0.2</v>
      </c>
      <c r="F95" s="1152">
        <v>30</v>
      </c>
    </row>
    <row r="96" spans="1:6" s="1103" customFormat="1" ht="48">
      <c r="A96" s="1152">
        <v>36</v>
      </c>
      <c r="B96" s="3792"/>
      <c r="C96" s="1066" t="s">
        <v>1576</v>
      </c>
      <c r="D96" s="1066" t="s">
        <v>1577</v>
      </c>
      <c r="E96" s="1137">
        <v>0.2</v>
      </c>
      <c r="F96" s="1152">
        <v>30</v>
      </c>
    </row>
    <row r="97" spans="1:6" s="1103" customFormat="1" ht="36">
      <c r="A97" s="1152">
        <v>37</v>
      </c>
      <c r="B97" s="3792"/>
      <c r="C97" s="1152" t="s">
        <v>1578</v>
      </c>
      <c r="D97" s="1066" t="s">
        <v>1579</v>
      </c>
      <c r="E97" s="1137">
        <v>0.2</v>
      </c>
      <c r="F97" s="1152">
        <v>30</v>
      </c>
    </row>
    <row r="98" spans="1:6" s="1103" customFormat="1" ht="36">
      <c r="A98" s="1152">
        <v>38</v>
      </c>
      <c r="B98" s="3792"/>
      <c r="C98" s="1152" t="s">
        <v>1580</v>
      </c>
      <c r="D98" s="1066" t="s">
        <v>1581</v>
      </c>
      <c r="E98" s="1137">
        <v>0.2</v>
      </c>
      <c r="F98" s="1152">
        <v>30</v>
      </c>
    </row>
    <row r="99" spans="1:6" s="1103" customFormat="1" ht="36">
      <c r="A99" s="1152">
        <v>39</v>
      </c>
      <c r="B99" s="3792" t="s">
        <v>1582</v>
      </c>
      <c r="C99" s="1152" t="s">
        <v>1583</v>
      </c>
      <c r="D99" s="1066" t="s">
        <v>1584</v>
      </c>
      <c r="E99" s="1137">
        <v>0.3</v>
      </c>
      <c r="F99" s="1152">
        <v>50</v>
      </c>
    </row>
    <row r="100" spans="1:6" s="1103" customFormat="1" ht="24">
      <c r="A100" s="1152">
        <v>40</v>
      </c>
      <c r="B100" s="3792"/>
      <c r="C100" s="1152" t="s">
        <v>1585</v>
      </c>
      <c r="D100" s="1066" t="s">
        <v>1586</v>
      </c>
      <c r="E100" s="1137">
        <v>0.2</v>
      </c>
      <c r="F100" s="1152">
        <v>30</v>
      </c>
    </row>
    <row r="101" spans="1:6" s="1103" customFormat="1" ht="36">
      <c r="A101" s="1152">
        <v>41</v>
      </c>
      <c r="B101" s="3792"/>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792" t="s">
        <v>1597</v>
      </c>
      <c r="C105" s="1152" t="s">
        <v>1598</v>
      </c>
      <c r="D105" s="1066" t="s">
        <v>1599</v>
      </c>
      <c r="E105" s="1137">
        <v>0.2</v>
      </c>
      <c r="F105" s="1152">
        <v>30</v>
      </c>
    </row>
    <row r="106" spans="1:6" s="1103" customFormat="1" ht="36">
      <c r="A106" s="1152">
        <v>46</v>
      </c>
      <c r="B106" s="3792"/>
      <c r="C106" s="1152" t="s">
        <v>1600</v>
      </c>
      <c r="D106" s="1066" t="s">
        <v>1601</v>
      </c>
      <c r="E106" s="1137">
        <v>0.2</v>
      </c>
      <c r="F106" s="1152">
        <v>30</v>
      </c>
    </row>
    <row r="107" spans="1:6" s="1103" customFormat="1" ht="36">
      <c r="A107" s="1152">
        <v>47</v>
      </c>
      <c r="B107" s="3792" t="s">
        <v>1602</v>
      </c>
      <c r="C107" s="1152" t="s">
        <v>1603</v>
      </c>
      <c r="D107" s="1066" t="s">
        <v>1604</v>
      </c>
      <c r="E107" s="1137">
        <v>0.3</v>
      </c>
      <c r="F107" s="1152">
        <v>50</v>
      </c>
    </row>
    <row r="108" spans="1:6" s="1103" customFormat="1" ht="36">
      <c r="A108" s="1152">
        <v>48</v>
      </c>
      <c r="B108" s="3792"/>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792" t="s">
        <v>1613</v>
      </c>
      <c r="C111" s="1152" t="s">
        <v>1614</v>
      </c>
      <c r="D111" s="1066" t="s">
        <v>1615</v>
      </c>
      <c r="E111" s="1137">
        <v>0.2</v>
      </c>
      <c r="F111" s="1152">
        <v>30</v>
      </c>
    </row>
    <row r="112" spans="1:6" s="1103" customFormat="1" ht="24">
      <c r="A112" s="1152">
        <v>52</v>
      </c>
      <c r="B112" s="3792"/>
      <c r="C112" s="1152" t="s">
        <v>1616</v>
      </c>
      <c r="D112" s="1066" t="s">
        <v>1617</v>
      </c>
      <c r="E112" s="1137">
        <v>0.2</v>
      </c>
      <c r="F112" s="1152">
        <v>30</v>
      </c>
    </row>
    <row r="113" spans="1:14" s="1103" customFormat="1" ht="24">
      <c r="A113" s="1152">
        <v>53</v>
      </c>
      <c r="B113" s="3792"/>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792" t="s">
        <v>1626</v>
      </c>
      <c r="C116" s="1152" t="s">
        <v>1627</v>
      </c>
      <c r="D116" s="1066" t="s">
        <v>1628</v>
      </c>
      <c r="E116" s="1137">
        <v>0.2</v>
      </c>
      <c r="F116" s="1152">
        <v>30</v>
      </c>
    </row>
    <row r="117" spans="1:14" ht="36">
      <c r="A117" s="1152">
        <v>57</v>
      </c>
      <c r="B117" s="3792"/>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791" t="s">
        <v>1635</v>
      </c>
      <c r="B121" s="3791"/>
      <c r="C121" s="3791"/>
      <c r="D121" s="3791"/>
      <c r="E121" s="3791"/>
      <c r="F121" s="3791"/>
      <c r="G121" s="3791"/>
      <c r="H121" s="3791"/>
      <c r="I121" s="3791"/>
      <c r="J121" s="379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804" t="s">
        <v>1041</v>
      </c>
      <c r="B1" s="3804"/>
      <c r="C1" s="3804"/>
      <c r="D1" s="3804"/>
      <c r="E1" s="3804"/>
      <c r="F1" s="3804"/>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805" t="s">
        <v>1054</v>
      </c>
      <c r="B2" s="3805"/>
      <c r="C2" s="3805"/>
      <c r="D2" s="3805"/>
      <c r="E2" s="3805"/>
      <c r="F2" s="3805"/>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806"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807"/>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2426</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2427</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808" t="s">
        <v>2083</v>
      </c>
      <c r="B1" s="3808"/>
    </row>
    <row r="2" spans="1:6" ht="14.25" thickBot="1">
      <c r="A2" s="1850"/>
      <c r="B2" s="1850"/>
    </row>
    <row r="3" spans="1:6" ht="14.25" thickBot="1">
      <c r="A3" s="1850"/>
      <c r="B3" s="1850"/>
      <c r="C3" s="1851" t="s">
        <v>2084</v>
      </c>
      <c r="D3" s="1851" t="s">
        <v>2085</v>
      </c>
      <c r="E3" s="1851" t="s">
        <v>2086</v>
      </c>
      <c r="F3" s="1851" t="s">
        <v>2087</v>
      </c>
    </row>
    <row r="4" spans="1:6" ht="14.25" thickBot="1">
      <c r="A4" s="1852" t="s">
        <v>2088</v>
      </c>
      <c r="B4" s="1853" t="s">
        <v>2089</v>
      </c>
      <c r="C4" s="1851"/>
      <c r="D4" s="1851"/>
      <c r="E4" s="1851"/>
      <c r="F4" s="1851"/>
    </row>
    <row r="5" spans="1:6" ht="14.25" thickBot="1">
      <c r="A5" s="1854" t="s">
        <v>2090</v>
      </c>
      <c r="B5" s="1855" t="s">
        <v>2091</v>
      </c>
      <c r="C5" s="1856">
        <v>8.8999999999999996E-2</v>
      </c>
      <c r="D5" s="1856">
        <v>7.3999999999999996E-2</v>
      </c>
      <c r="E5" s="1856">
        <v>7.4999999999999997E-2</v>
      </c>
      <c r="F5" s="1857">
        <v>0.1</v>
      </c>
    </row>
    <row r="6" spans="1:6" ht="14.25" thickBot="1">
      <c r="A6" s="1854" t="s">
        <v>1098</v>
      </c>
      <c r="B6" s="1858" t="s">
        <v>2092</v>
      </c>
      <c r="C6" s="1859">
        <v>0.1</v>
      </c>
      <c r="D6" s="1859">
        <v>9.0999999999999998E-2</v>
      </c>
      <c r="E6" s="1859">
        <v>9.0999999999999998E-2</v>
      </c>
      <c r="F6" s="1860">
        <v>0.1</v>
      </c>
    </row>
    <row r="7" spans="1:6" ht="14.25" thickBot="1">
      <c r="A7" s="1854" t="s">
        <v>1098</v>
      </c>
      <c r="B7" s="1861" t="s">
        <v>1086</v>
      </c>
      <c r="C7" s="1859">
        <v>8.5999999999999993E-2</v>
      </c>
      <c r="D7" s="1859">
        <v>9.6000000000000002E-2</v>
      </c>
      <c r="E7" s="1859">
        <v>7.5999999999999998E-2</v>
      </c>
      <c r="F7" s="1860">
        <v>0.1</v>
      </c>
    </row>
    <row r="8" spans="1:6" ht="14.25" thickBot="1">
      <c r="A8" s="1854" t="s">
        <v>1098</v>
      </c>
      <c r="B8" s="1858" t="s">
        <v>1099</v>
      </c>
      <c r="C8" s="1859">
        <v>9.9000000000000005E-2</v>
      </c>
      <c r="D8" s="1859">
        <v>9.8000000000000004E-2</v>
      </c>
      <c r="E8" s="1859">
        <v>9.8000000000000004E-2</v>
      </c>
      <c r="F8" s="1860">
        <v>0.1</v>
      </c>
    </row>
    <row r="9" spans="1:6" ht="14.25" thickBot="1">
      <c r="A9" s="1862" t="s">
        <v>1098</v>
      </c>
      <c r="B9" s="1863" t="s">
        <v>1113</v>
      </c>
      <c r="C9" s="1864">
        <v>0.05</v>
      </c>
      <c r="D9" s="1865"/>
      <c r="E9" s="1865"/>
      <c r="F9" s="1866"/>
    </row>
    <row r="10" spans="1:6" ht="14.25" thickBot="1">
      <c r="A10" s="1854" t="s">
        <v>1157</v>
      </c>
      <c r="B10" s="1855" t="s">
        <v>2093</v>
      </c>
      <c r="C10" s="1856">
        <v>8.8999999999999996E-2</v>
      </c>
      <c r="D10" s="1856">
        <v>7.2999999999999995E-2</v>
      </c>
      <c r="E10" s="1856">
        <v>8.2000000000000003E-2</v>
      </c>
      <c r="F10" s="1857">
        <v>0.1</v>
      </c>
    </row>
    <row r="11" spans="1:6" ht="14.25" thickBot="1">
      <c r="A11" s="1854" t="s">
        <v>1157</v>
      </c>
      <c r="B11" s="1861" t="s">
        <v>1073</v>
      </c>
      <c r="C11" s="1859">
        <v>8.8999999999999996E-2</v>
      </c>
      <c r="D11" s="1859">
        <v>7.2999999999999995E-2</v>
      </c>
      <c r="E11" s="1859">
        <v>8.2000000000000003E-2</v>
      </c>
      <c r="F11" s="1860">
        <v>0.1</v>
      </c>
    </row>
    <row r="12" spans="1:6" ht="14.25" thickBot="1">
      <c r="A12" s="1854" t="s">
        <v>1157</v>
      </c>
      <c r="B12" s="1861" t="s">
        <v>1087</v>
      </c>
      <c r="C12" s="1859">
        <v>6.0999999999999999E-2</v>
      </c>
      <c r="D12" s="1859">
        <v>7.0999999999999994E-2</v>
      </c>
      <c r="E12" s="1859">
        <v>9.6000000000000002E-2</v>
      </c>
      <c r="F12" s="1860">
        <v>0.1</v>
      </c>
    </row>
    <row r="13" spans="1:6" ht="14.25" thickBot="1">
      <c r="A13" s="1854" t="s">
        <v>1157</v>
      </c>
      <c r="B13" s="1861" t="s">
        <v>1100</v>
      </c>
      <c r="C13" s="1859">
        <v>6.9000000000000006E-2</v>
      </c>
      <c r="D13" s="1859">
        <v>6.5000000000000002E-2</v>
      </c>
      <c r="E13" s="1859">
        <v>6.6000000000000003E-2</v>
      </c>
      <c r="F13" s="1860">
        <v>0.1</v>
      </c>
    </row>
    <row r="14" spans="1:6" ht="14.25" thickBot="1">
      <c r="A14" s="1854" t="s">
        <v>1157</v>
      </c>
      <c r="B14" s="1861" t="s">
        <v>1114</v>
      </c>
      <c r="C14" s="1859">
        <v>0.1</v>
      </c>
      <c r="D14" s="1859">
        <v>6.5000000000000002E-2</v>
      </c>
      <c r="E14" s="1859">
        <v>7.0000000000000007E-2</v>
      </c>
      <c r="F14" s="1860">
        <v>0.1</v>
      </c>
    </row>
    <row r="15" spans="1:6" ht="14.25" thickBot="1">
      <c r="A15" s="1854" t="s">
        <v>1157</v>
      </c>
      <c r="B15" s="1861" t="s">
        <v>1125</v>
      </c>
      <c r="C15" s="1859">
        <v>9.8000000000000004E-2</v>
      </c>
      <c r="D15" s="1859">
        <v>8.8999999999999996E-2</v>
      </c>
      <c r="E15" s="1859">
        <v>8.8999999999999996E-2</v>
      </c>
      <c r="F15" s="1860">
        <v>0.1</v>
      </c>
    </row>
    <row r="16" spans="1:6" ht="14.25" thickBot="1">
      <c r="A16" s="1854" t="s">
        <v>1157</v>
      </c>
      <c r="B16" s="1861" t="s">
        <v>1136</v>
      </c>
      <c r="C16" s="1859">
        <v>7.0000000000000007E-2</v>
      </c>
      <c r="D16" s="1859">
        <v>9.2999999999999999E-2</v>
      </c>
      <c r="E16" s="1859">
        <v>9.6000000000000002E-2</v>
      </c>
      <c r="F16" s="1860">
        <v>0.1</v>
      </c>
    </row>
    <row r="17" spans="1:6" ht="14.25" thickBot="1">
      <c r="A17" s="1854" t="s">
        <v>1157</v>
      </c>
      <c r="B17" s="1861" t="s">
        <v>1147</v>
      </c>
      <c r="C17" s="1859">
        <v>9.5000000000000001E-2</v>
      </c>
      <c r="D17" s="1859">
        <v>0.1</v>
      </c>
      <c r="E17" s="1859">
        <v>0.1</v>
      </c>
      <c r="F17" s="1867"/>
    </row>
    <row r="18" spans="1:6" ht="14.25" thickBot="1">
      <c r="A18" s="1854" t="s">
        <v>1157</v>
      </c>
      <c r="B18" s="1861" t="s">
        <v>1159</v>
      </c>
      <c r="C18" s="1859">
        <v>7.3999999999999996E-2</v>
      </c>
      <c r="D18" s="1859">
        <v>9.9000000000000005E-2</v>
      </c>
      <c r="E18" s="1859">
        <v>0.1</v>
      </c>
      <c r="F18" s="1867"/>
    </row>
    <row r="19" spans="1:6" ht="14.25" thickBot="1">
      <c r="A19" s="1854" t="s">
        <v>1157</v>
      </c>
      <c r="B19" s="1861" t="s">
        <v>1169</v>
      </c>
      <c r="C19" s="1859">
        <v>9.9000000000000005E-2</v>
      </c>
      <c r="D19" s="1859">
        <v>7.5999999999999998E-2</v>
      </c>
      <c r="E19" s="1859">
        <v>8.6999999999999994E-2</v>
      </c>
      <c r="F19" s="1867"/>
    </row>
    <row r="20" spans="1:6" ht="14.25" thickBot="1">
      <c r="A20" s="1854" t="s">
        <v>1157</v>
      </c>
      <c r="B20" s="1861" t="s">
        <v>1179</v>
      </c>
      <c r="C20" s="1859">
        <v>9.8000000000000004E-2</v>
      </c>
      <c r="D20" s="1859">
        <v>8.5000000000000006E-2</v>
      </c>
      <c r="E20" s="1859">
        <v>8.2000000000000003E-2</v>
      </c>
      <c r="F20" s="1867"/>
    </row>
    <row r="21" spans="1:6" ht="14.25" thickBot="1">
      <c r="A21" s="1854" t="s">
        <v>1157</v>
      </c>
      <c r="B21" s="1861" t="s">
        <v>1189</v>
      </c>
      <c r="C21" s="1859">
        <v>6.6000000000000003E-2</v>
      </c>
      <c r="D21" s="1859">
        <v>6.4000000000000001E-2</v>
      </c>
      <c r="E21" s="1859">
        <v>6.5000000000000002E-2</v>
      </c>
      <c r="F21" s="1867"/>
    </row>
    <row r="22" spans="1:6" ht="14.25" thickBot="1">
      <c r="A22" s="1854" t="s">
        <v>1157</v>
      </c>
      <c r="B22" s="1861" t="s">
        <v>2094</v>
      </c>
      <c r="C22" s="1859">
        <v>0.08</v>
      </c>
      <c r="D22" s="1859">
        <v>9.8000000000000004E-2</v>
      </c>
      <c r="E22" s="1859">
        <v>9.8000000000000004E-2</v>
      </c>
      <c r="F22" s="1867"/>
    </row>
    <row r="23" spans="1:6" ht="14.25" thickBot="1">
      <c r="A23" s="1854" t="s">
        <v>1157</v>
      </c>
      <c r="B23" s="1861" t="s">
        <v>1209</v>
      </c>
      <c r="C23" s="1859">
        <v>9.9000000000000005E-2</v>
      </c>
      <c r="D23" s="1859">
        <v>9.8000000000000004E-2</v>
      </c>
      <c r="E23" s="1859">
        <v>9.0999999999999998E-2</v>
      </c>
      <c r="F23" s="1867"/>
    </row>
    <row r="24" spans="1:6" ht="14.25" thickBot="1">
      <c r="A24" s="1854" t="s">
        <v>1157</v>
      </c>
      <c r="B24" s="1861" t="s">
        <v>1219</v>
      </c>
      <c r="C24" s="1859">
        <v>8.8999999999999996E-2</v>
      </c>
      <c r="D24" s="1859">
        <v>9.7000000000000003E-2</v>
      </c>
      <c r="E24" s="1859">
        <v>7.0000000000000007E-2</v>
      </c>
      <c r="F24" s="1867"/>
    </row>
    <row r="25" spans="1:6" ht="14.25" thickBot="1">
      <c r="A25" s="1854" t="s">
        <v>1157</v>
      </c>
      <c r="B25" s="1861" t="s">
        <v>1229</v>
      </c>
      <c r="C25" s="1859">
        <v>8.8999999999999996E-2</v>
      </c>
      <c r="D25" s="1859">
        <v>0.1</v>
      </c>
      <c r="E25" s="1859">
        <v>8.1000000000000003E-2</v>
      </c>
      <c r="F25" s="1867"/>
    </row>
    <row r="26" spans="1:6" ht="14.25" thickBot="1">
      <c r="A26" s="1854" t="s">
        <v>1157</v>
      </c>
      <c r="B26" s="1861" t="s">
        <v>1239</v>
      </c>
      <c r="C26" s="1868"/>
      <c r="D26" s="1859">
        <v>9.6000000000000002E-2</v>
      </c>
      <c r="E26" s="1859">
        <v>9.2999999999999999E-2</v>
      </c>
      <c r="F26" s="1867"/>
    </row>
    <row r="27" spans="1:6" ht="14.25" thickBot="1">
      <c r="A27" s="1854" t="s">
        <v>1157</v>
      </c>
      <c r="B27" s="1861" t="s">
        <v>1249</v>
      </c>
      <c r="C27" s="1868"/>
      <c r="D27" s="1859">
        <v>7.5999999999999998E-2</v>
      </c>
      <c r="E27" s="1859">
        <v>9.1999999999999998E-2</v>
      </c>
      <c r="F27" s="1867"/>
    </row>
    <row r="28" spans="1:6" ht="14.25" thickBot="1">
      <c r="A28" s="1862" t="s">
        <v>1157</v>
      </c>
      <c r="B28" s="1863" t="s">
        <v>1259</v>
      </c>
      <c r="C28" s="1865"/>
      <c r="D28" s="1864">
        <v>7.5999999999999998E-2</v>
      </c>
      <c r="E28" s="1864">
        <v>9.1999999999999998E-2</v>
      </c>
      <c r="F28" s="1866"/>
    </row>
    <row r="29" spans="1:6" ht="14.25" thickBot="1">
      <c r="A29" s="1854" t="s">
        <v>1328</v>
      </c>
      <c r="B29" s="1855" t="s">
        <v>2095</v>
      </c>
      <c r="C29" s="1856">
        <v>6.4000000000000001E-2</v>
      </c>
      <c r="D29" s="1856">
        <v>6.5000000000000002E-2</v>
      </c>
      <c r="E29" s="1856">
        <v>6.9000000000000006E-2</v>
      </c>
      <c r="F29" s="1857">
        <v>0.1</v>
      </c>
    </row>
    <row r="30" spans="1:6" ht="14.25" thickBot="1">
      <c r="A30" s="1854" t="s">
        <v>1328</v>
      </c>
      <c r="B30" s="1861" t="s">
        <v>1074</v>
      </c>
      <c r="C30" s="1859">
        <v>6.4000000000000001E-2</v>
      </c>
      <c r="D30" s="1859">
        <v>9.9000000000000005E-2</v>
      </c>
      <c r="E30" s="1859">
        <v>0.1</v>
      </c>
      <c r="F30" s="1860">
        <v>0.1</v>
      </c>
    </row>
    <row r="31" spans="1:6" ht="14.25" thickBot="1">
      <c r="A31" s="1854" t="s">
        <v>1328</v>
      </c>
      <c r="B31" s="1861" t="s">
        <v>1088</v>
      </c>
      <c r="C31" s="1859">
        <v>0.1</v>
      </c>
      <c r="D31" s="1859">
        <v>9.5000000000000001E-2</v>
      </c>
      <c r="E31" s="1859">
        <v>8.8999999999999996E-2</v>
      </c>
      <c r="F31" s="1860">
        <v>0.1</v>
      </c>
    </row>
    <row r="32" spans="1:6" ht="14.25" thickBot="1">
      <c r="A32" s="1854" t="s">
        <v>1328</v>
      </c>
      <c r="B32" s="1861" t="s">
        <v>1101</v>
      </c>
      <c r="C32" s="1859">
        <v>0.05</v>
      </c>
      <c r="D32" s="1859">
        <v>0.05</v>
      </c>
      <c r="E32" s="1859">
        <v>8.7999999999999995E-2</v>
      </c>
      <c r="F32" s="1860">
        <v>0.1</v>
      </c>
    </row>
    <row r="33" spans="1:6" ht="14.25" thickBot="1">
      <c r="A33" s="1854" t="s">
        <v>1328</v>
      </c>
      <c r="B33" s="1861" t="s">
        <v>1115</v>
      </c>
      <c r="C33" s="1859">
        <v>7.4999999999999997E-2</v>
      </c>
      <c r="D33" s="1859">
        <v>9.4E-2</v>
      </c>
      <c r="E33" s="1859">
        <v>9.7000000000000003E-2</v>
      </c>
      <c r="F33" s="1860">
        <v>0.1</v>
      </c>
    </row>
    <row r="34" spans="1:6" ht="14.25" thickBot="1">
      <c r="A34" s="1854" t="s">
        <v>1328</v>
      </c>
      <c r="B34" s="1861" t="s">
        <v>1126</v>
      </c>
      <c r="C34" s="1859">
        <v>9.8000000000000004E-2</v>
      </c>
      <c r="D34" s="1859">
        <v>8.5999999999999993E-2</v>
      </c>
      <c r="E34" s="1859">
        <v>9.7000000000000003E-2</v>
      </c>
      <c r="F34" s="1860">
        <v>0.1</v>
      </c>
    </row>
    <row r="35" spans="1:6" ht="14.25" thickBot="1">
      <c r="A35" s="1854" t="s">
        <v>1328</v>
      </c>
      <c r="B35" s="1861" t="s">
        <v>1137</v>
      </c>
      <c r="C35" s="1859">
        <v>5.8999999999999997E-2</v>
      </c>
      <c r="D35" s="1859">
        <v>6.5000000000000002E-2</v>
      </c>
      <c r="E35" s="1859">
        <v>7.0000000000000007E-2</v>
      </c>
      <c r="F35" s="1860">
        <v>0.1</v>
      </c>
    </row>
    <row r="36" spans="1:6" ht="14.25" thickBot="1">
      <c r="A36" s="1854" t="s">
        <v>1328</v>
      </c>
      <c r="B36" s="1861" t="s">
        <v>1148</v>
      </c>
      <c r="C36" s="1859">
        <v>6.3E-2</v>
      </c>
      <c r="D36" s="1859">
        <v>0.1</v>
      </c>
      <c r="E36" s="1859">
        <v>0.1</v>
      </c>
      <c r="F36" s="1860">
        <v>0.1</v>
      </c>
    </row>
    <row r="37" spans="1:6" ht="14.25" thickBot="1">
      <c r="A37" s="1854" t="s">
        <v>1328</v>
      </c>
      <c r="B37" s="1861" t="s">
        <v>1160</v>
      </c>
      <c r="C37" s="1859">
        <v>7.3999999999999996E-2</v>
      </c>
      <c r="D37" s="1859">
        <v>0.1</v>
      </c>
      <c r="E37" s="1859">
        <v>0.1</v>
      </c>
      <c r="F37" s="1860">
        <v>0.1</v>
      </c>
    </row>
    <row r="38" spans="1:6" ht="14.25" thickBot="1">
      <c r="A38" s="1854" t="s">
        <v>1328</v>
      </c>
      <c r="B38" s="1861" t="s">
        <v>1170</v>
      </c>
      <c r="C38" s="1859">
        <v>0.1</v>
      </c>
      <c r="D38" s="1859">
        <v>9.6000000000000002E-2</v>
      </c>
      <c r="E38" s="1859">
        <v>9.6000000000000002E-2</v>
      </c>
      <c r="F38" s="1867"/>
    </row>
    <row r="39" spans="1:6" ht="14.25" thickBot="1">
      <c r="A39" s="1854" t="s">
        <v>1328</v>
      </c>
      <c r="B39" s="1861" t="s">
        <v>1180</v>
      </c>
      <c r="C39" s="1859">
        <v>0.1</v>
      </c>
      <c r="D39" s="1859">
        <v>9.6000000000000002E-2</v>
      </c>
      <c r="E39" s="1859">
        <v>9.6000000000000002E-2</v>
      </c>
      <c r="F39" s="1867"/>
    </row>
    <row r="40" spans="1:6" ht="14.25" thickBot="1">
      <c r="A40" s="1854" t="s">
        <v>1328</v>
      </c>
      <c r="B40" s="1861" t="s">
        <v>1190</v>
      </c>
      <c r="C40" s="1859">
        <v>9.6000000000000002E-2</v>
      </c>
      <c r="D40" s="1859">
        <v>0.1</v>
      </c>
      <c r="E40" s="1859">
        <v>9.9000000000000005E-2</v>
      </c>
      <c r="F40" s="1867"/>
    </row>
    <row r="41" spans="1:6" ht="14.25" thickBot="1">
      <c r="A41" s="1854" t="s">
        <v>1328</v>
      </c>
      <c r="B41" s="1861" t="s">
        <v>1200</v>
      </c>
      <c r="C41" s="1859">
        <v>9.6000000000000002E-2</v>
      </c>
      <c r="D41" s="1859">
        <v>9.8000000000000004E-2</v>
      </c>
      <c r="E41" s="1859">
        <v>9.8000000000000004E-2</v>
      </c>
      <c r="F41" s="1867"/>
    </row>
    <row r="42" spans="1:6" ht="14.25" thickBot="1">
      <c r="A42" s="1854" t="s">
        <v>1328</v>
      </c>
      <c r="B42" s="1861" t="s">
        <v>1210</v>
      </c>
      <c r="C42" s="1859">
        <v>0.1</v>
      </c>
      <c r="D42" s="1859">
        <v>8.7999999999999995E-2</v>
      </c>
      <c r="E42" s="1859">
        <v>0.1</v>
      </c>
      <c r="F42" s="1867"/>
    </row>
    <row r="43" spans="1:6" ht="14.25" thickBot="1">
      <c r="A43" s="1854" t="s">
        <v>1328</v>
      </c>
      <c r="B43" s="1861" t="s">
        <v>1220</v>
      </c>
      <c r="C43" s="1859">
        <v>9.8000000000000004E-2</v>
      </c>
      <c r="D43" s="1859">
        <v>9.7000000000000003E-2</v>
      </c>
      <c r="E43" s="1859">
        <v>9.6000000000000002E-2</v>
      </c>
      <c r="F43" s="1867"/>
    </row>
    <row r="44" spans="1:6" ht="14.25" thickBot="1">
      <c r="A44" s="1854" t="s">
        <v>1328</v>
      </c>
      <c r="B44" s="1861" t="s">
        <v>1230</v>
      </c>
      <c r="C44" s="1859">
        <v>8.5999999999999993E-2</v>
      </c>
      <c r="D44" s="1859">
        <v>7.9000000000000001E-2</v>
      </c>
      <c r="E44" s="1859">
        <v>7.0999999999999994E-2</v>
      </c>
      <c r="F44" s="1867"/>
    </row>
    <row r="45" spans="1:6" ht="14.25" thickBot="1">
      <c r="A45" s="1854" t="s">
        <v>1328</v>
      </c>
      <c r="B45" s="1861" t="s">
        <v>1240</v>
      </c>
      <c r="C45" s="1859">
        <v>9.8000000000000004E-2</v>
      </c>
      <c r="D45" s="1859">
        <v>9.6000000000000002E-2</v>
      </c>
      <c r="E45" s="1859">
        <v>9.6000000000000002E-2</v>
      </c>
      <c r="F45" s="1867"/>
    </row>
    <row r="46" spans="1:6" ht="14.25" thickBot="1">
      <c r="A46" s="1854" t="s">
        <v>1328</v>
      </c>
      <c r="B46" s="1861" t="s">
        <v>1250</v>
      </c>
      <c r="C46" s="1859">
        <v>8.5999999999999993E-2</v>
      </c>
      <c r="D46" s="1859">
        <v>9.8000000000000004E-2</v>
      </c>
      <c r="E46" s="1859">
        <v>8.7999999999999995E-2</v>
      </c>
      <c r="F46" s="1867"/>
    </row>
    <row r="47" spans="1:6" ht="14.25" thickBot="1">
      <c r="A47" s="1854" t="s">
        <v>1328</v>
      </c>
      <c r="B47" s="1861" t="s">
        <v>1260</v>
      </c>
      <c r="C47" s="1859">
        <v>9.6000000000000002E-2</v>
      </c>
      <c r="D47" s="1868"/>
      <c r="E47" s="1859">
        <v>6.9000000000000006E-2</v>
      </c>
      <c r="F47" s="1867"/>
    </row>
    <row r="48" spans="1:6" ht="14.25" thickBot="1">
      <c r="A48" s="1862" t="s">
        <v>1328</v>
      </c>
      <c r="B48" s="1863" t="s">
        <v>1269</v>
      </c>
      <c r="C48" s="1864">
        <v>9.8000000000000004E-2</v>
      </c>
      <c r="D48" s="1865"/>
      <c r="E48" s="1864">
        <v>9.5000000000000001E-2</v>
      </c>
      <c r="F48" s="1866"/>
    </row>
    <row r="49" spans="1:6" ht="14.25" thickBot="1">
      <c r="A49" s="1854" t="s">
        <v>926</v>
      </c>
      <c r="B49" s="1855" t="s">
        <v>2096</v>
      </c>
      <c r="C49" s="1856">
        <v>9.7000000000000003E-2</v>
      </c>
      <c r="D49" s="1856">
        <v>9.5000000000000001E-2</v>
      </c>
      <c r="E49" s="1856">
        <v>9.7000000000000003E-2</v>
      </c>
      <c r="F49" s="1857">
        <v>0.1</v>
      </c>
    </row>
    <row r="50" spans="1:6" ht="14.25" thickBot="1">
      <c r="A50" s="1854" t="s">
        <v>926</v>
      </c>
      <c r="B50" s="1858" t="s">
        <v>1075</v>
      </c>
      <c r="C50" s="1859">
        <v>7.4999999999999997E-2</v>
      </c>
      <c r="D50" s="1859">
        <v>9.5000000000000001E-2</v>
      </c>
      <c r="E50" s="1859">
        <v>0.1</v>
      </c>
      <c r="F50" s="1860">
        <v>0.1</v>
      </c>
    </row>
    <row r="51" spans="1:6" ht="14.25" thickBot="1">
      <c r="A51" s="1854" t="s">
        <v>926</v>
      </c>
      <c r="B51" s="1858" t="s">
        <v>1089</v>
      </c>
      <c r="C51" s="1859">
        <v>9.8000000000000004E-2</v>
      </c>
      <c r="D51" s="1859">
        <v>8.8999999999999996E-2</v>
      </c>
      <c r="E51" s="1859">
        <v>0.1</v>
      </c>
      <c r="F51" s="1860">
        <v>0.1</v>
      </c>
    </row>
    <row r="52" spans="1:6" ht="14.25" thickBot="1">
      <c r="A52" s="1854" t="s">
        <v>926</v>
      </c>
      <c r="B52" s="1858" t="s">
        <v>1102</v>
      </c>
      <c r="C52" s="1859">
        <v>9.8000000000000004E-2</v>
      </c>
      <c r="D52" s="1859">
        <v>9.7000000000000003E-2</v>
      </c>
      <c r="E52" s="1859">
        <v>8.1000000000000003E-2</v>
      </c>
      <c r="F52" s="1860">
        <v>0.1</v>
      </c>
    </row>
    <row r="53" spans="1:6" ht="14.25" thickBot="1">
      <c r="A53" s="1854" t="s">
        <v>926</v>
      </c>
      <c r="B53" s="1858" t="s">
        <v>1116</v>
      </c>
      <c r="C53" s="1859">
        <v>9.7000000000000003E-2</v>
      </c>
      <c r="D53" s="1859">
        <v>7.5999999999999998E-2</v>
      </c>
      <c r="E53" s="1859">
        <v>7.0999999999999994E-2</v>
      </c>
      <c r="F53" s="1860">
        <v>0.1</v>
      </c>
    </row>
    <row r="54" spans="1:6" ht="14.25" thickBot="1">
      <c r="A54" s="1854" t="s">
        <v>926</v>
      </c>
      <c r="B54" s="1858" t="s">
        <v>1127</v>
      </c>
      <c r="C54" s="1859">
        <v>7.5999999999999998E-2</v>
      </c>
      <c r="D54" s="1859">
        <v>0.1</v>
      </c>
      <c r="E54" s="1859">
        <v>9.9000000000000005E-2</v>
      </c>
      <c r="F54" s="1860">
        <v>0.1</v>
      </c>
    </row>
    <row r="55" spans="1:6" ht="14.25" thickBot="1">
      <c r="A55" s="1854" t="s">
        <v>926</v>
      </c>
      <c r="B55" s="1858" t="s">
        <v>1138</v>
      </c>
      <c r="C55" s="1859">
        <v>0.1</v>
      </c>
      <c r="D55" s="1859">
        <v>0.1</v>
      </c>
      <c r="E55" s="1859">
        <v>9.6000000000000002E-2</v>
      </c>
      <c r="F55" s="1860">
        <v>0.1</v>
      </c>
    </row>
    <row r="56" spans="1:6" ht="14.25" thickBot="1">
      <c r="A56" s="1854" t="s">
        <v>926</v>
      </c>
      <c r="B56" s="1858" t="s">
        <v>1149</v>
      </c>
      <c r="C56" s="1859">
        <v>0.1</v>
      </c>
      <c r="D56" s="1859">
        <v>9.6000000000000002E-2</v>
      </c>
      <c r="E56" s="1859">
        <v>5.1999999999999998E-2</v>
      </c>
      <c r="F56" s="1860">
        <v>0.1</v>
      </c>
    </row>
    <row r="57" spans="1:6" ht="14.25" thickBot="1">
      <c r="A57" s="1854" t="s">
        <v>926</v>
      </c>
      <c r="B57" s="1858" t="s">
        <v>1161</v>
      </c>
      <c r="C57" s="1859">
        <v>9.7000000000000003E-2</v>
      </c>
      <c r="D57" s="1859">
        <v>9.6000000000000002E-2</v>
      </c>
      <c r="E57" s="1859">
        <v>9.6000000000000002E-2</v>
      </c>
      <c r="F57" s="1860">
        <v>0.1</v>
      </c>
    </row>
    <row r="58" spans="1:6" ht="14.25" thickBot="1">
      <c r="A58" s="1854" t="s">
        <v>926</v>
      </c>
      <c r="B58" s="1858" t="s">
        <v>1171</v>
      </c>
      <c r="C58" s="1859">
        <v>9.6000000000000002E-2</v>
      </c>
      <c r="D58" s="1859">
        <v>9.9000000000000005E-2</v>
      </c>
      <c r="E58" s="1859">
        <v>9.6000000000000002E-2</v>
      </c>
      <c r="F58" s="1860">
        <v>0.1</v>
      </c>
    </row>
    <row r="59" spans="1:6" ht="14.25" thickBot="1">
      <c r="A59" s="1854" t="s">
        <v>926</v>
      </c>
      <c r="B59" s="1858" t="s">
        <v>1181</v>
      </c>
      <c r="C59" s="1859">
        <v>7.1999999999999995E-2</v>
      </c>
      <c r="D59" s="1859">
        <v>9.6000000000000002E-2</v>
      </c>
      <c r="E59" s="1859">
        <v>7.0999999999999994E-2</v>
      </c>
      <c r="F59" s="1860">
        <v>0.1</v>
      </c>
    </row>
    <row r="60" spans="1:6" ht="14.25" thickBot="1">
      <c r="A60" s="1854" t="s">
        <v>926</v>
      </c>
      <c r="B60" s="1858" t="s">
        <v>1191</v>
      </c>
      <c r="C60" s="1859">
        <v>9.6000000000000002E-2</v>
      </c>
      <c r="D60" s="1859">
        <v>8.8999999999999996E-2</v>
      </c>
      <c r="E60" s="1859">
        <v>9.6000000000000002E-2</v>
      </c>
      <c r="F60" s="1860">
        <v>0.1</v>
      </c>
    </row>
    <row r="61" spans="1:6" ht="14.25" thickBot="1">
      <c r="A61" s="1854" t="s">
        <v>926</v>
      </c>
      <c r="B61" s="1858" t="s">
        <v>1201</v>
      </c>
      <c r="C61" s="1859">
        <v>8.8999999999999996E-2</v>
      </c>
      <c r="D61" s="1859">
        <v>9.8000000000000004E-2</v>
      </c>
      <c r="E61" s="1859">
        <v>8.7999999999999995E-2</v>
      </c>
      <c r="F61" s="1867"/>
    </row>
    <row r="62" spans="1:6" ht="14.25" thickBot="1">
      <c r="A62" s="1854" t="s">
        <v>926</v>
      </c>
      <c r="B62" s="1858" t="s">
        <v>1211</v>
      </c>
      <c r="C62" s="1859">
        <v>9.8000000000000004E-2</v>
      </c>
      <c r="D62" s="1859">
        <v>9.2999999999999999E-2</v>
      </c>
      <c r="E62" s="1859">
        <v>9.7000000000000003E-2</v>
      </c>
      <c r="F62" s="1867"/>
    </row>
    <row r="63" spans="1:6" ht="14.25" thickBot="1">
      <c r="A63" s="1854" t="s">
        <v>926</v>
      </c>
      <c r="B63" s="1858" t="s">
        <v>1221</v>
      </c>
      <c r="C63" s="1859">
        <v>9.6000000000000002E-2</v>
      </c>
      <c r="D63" s="1859">
        <v>9.8000000000000004E-2</v>
      </c>
      <c r="E63" s="1859">
        <v>0.09</v>
      </c>
      <c r="F63" s="1867"/>
    </row>
    <row r="64" spans="1:6" ht="14.25" thickBot="1">
      <c r="A64" s="1854" t="s">
        <v>926</v>
      </c>
      <c r="B64" s="1858" t="s">
        <v>1231</v>
      </c>
      <c r="C64" s="1859">
        <v>9.9000000000000005E-2</v>
      </c>
      <c r="D64" s="1859">
        <v>9.7000000000000003E-2</v>
      </c>
      <c r="E64" s="1859">
        <v>9.9000000000000005E-2</v>
      </c>
      <c r="F64" s="1867"/>
    </row>
    <row r="65" spans="1:6" ht="14.25" thickBot="1">
      <c r="A65" s="1854" t="s">
        <v>926</v>
      </c>
      <c r="B65" s="1858" t="s">
        <v>1241</v>
      </c>
      <c r="C65" s="1859">
        <v>9.8000000000000004E-2</v>
      </c>
      <c r="D65" s="1859">
        <v>9.6000000000000002E-2</v>
      </c>
      <c r="E65" s="1859">
        <v>9.6000000000000002E-2</v>
      </c>
      <c r="F65" s="1867"/>
    </row>
    <row r="66" spans="1:6" ht="14.25" thickBot="1">
      <c r="A66" s="1854" t="s">
        <v>926</v>
      </c>
      <c r="B66" s="1858" t="s">
        <v>1251</v>
      </c>
      <c r="C66" s="1859">
        <v>9.6000000000000002E-2</v>
      </c>
      <c r="D66" s="1859">
        <v>9.1999999999999998E-2</v>
      </c>
      <c r="E66" s="1859">
        <v>9.6000000000000002E-2</v>
      </c>
      <c r="F66" s="1867"/>
    </row>
    <row r="67" spans="1:6" ht="14.25" thickBot="1">
      <c r="A67" s="1854" t="s">
        <v>926</v>
      </c>
      <c r="B67" s="1858" t="s">
        <v>1261</v>
      </c>
      <c r="C67" s="1859">
        <v>9.4E-2</v>
      </c>
      <c r="D67" s="1859">
        <v>0.1</v>
      </c>
      <c r="E67" s="1859">
        <v>8.7999999999999995E-2</v>
      </c>
      <c r="F67" s="1867"/>
    </row>
    <row r="68" spans="1:6" ht="14.25" thickBot="1">
      <c r="A68" s="1854" t="s">
        <v>926</v>
      </c>
      <c r="B68" s="1858" t="s">
        <v>1270</v>
      </c>
      <c r="C68" s="1859">
        <v>0.1</v>
      </c>
      <c r="D68" s="1859">
        <v>8.7999999999999995E-2</v>
      </c>
      <c r="E68" s="1859">
        <v>9.7000000000000003E-2</v>
      </c>
      <c r="F68" s="1867"/>
    </row>
    <row r="69" spans="1:6" ht="14.25" thickBot="1">
      <c r="A69" s="1854" t="s">
        <v>926</v>
      </c>
      <c r="B69" s="1858" t="s">
        <v>1279</v>
      </c>
      <c r="C69" s="1859">
        <v>6.4000000000000001E-2</v>
      </c>
      <c r="D69" s="1859">
        <v>0.1</v>
      </c>
      <c r="E69" s="1859">
        <v>0.1</v>
      </c>
      <c r="F69" s="1867"/>
    </row>
    <row r="70" spans="1:6" ht="14.25" thickBot="1">
      <c r="A70" s="1854" t="s">
        <v>926</v>
      </c>
      <c r="B70" s="1858" t="s">
        <v>1287</v>
      </c>
      <c r="C70" s="1859">
        <v>9.0999999999999998E-2</v>
      </c>
      <c r="D70" s="1868"/>
      <c r="E70" s="1868"/>
      <c r="F70" s="1867"/>
    </row>
    <row r="71" spans="1:6" ht="14.25" thickBot="1">
      <c r="A71" s="1854" t="s">
        <v>926</v>
      </c>
      <c r="B71" s="1858" t="s">
        <v>1294</v>
      </c>
      <c r="C71" s="1859">
        <v>0.1</v>
      </c>
      <c r="D71" s="1868"/>
      <c r="E71" s="1868"/>
      <c r="F71" s="1867"/>
    </row>
    <row r="72" spans="1:6" ht="14.25" thickBot="1">
      <c r="A72" s="1854" t="s">
        <v>926</v>
      </c>
      <c r="B72" s="1858" t="s">
        <v>2097</v>
      </c>
      <c r="C72" s="1868"/>
      <c r="D72" s="1868"/>
      <c r="E72" s="1868"/>
      <c r="F72" s="1860">
        <v>0.05</v>
      </c>
    </row>
    <row r="73" spans="1:6" ht="14.25" thickBot="1">
      <c r="A73" s="1854" t="s">
        <v>926</v>
      </c>
      <c r="B73" s="1858" t="s">
        <v>2098</v>
      </c>
      <c r="C73" s="1868"/>
      <c r="D73" s="1868"/>
      <c r="E73" s="1868"/>
      <c r="F73" s="1860">
        <v>0.05</v>
      </c>
    </row>
    <row r="74" spans="1:6" ht="14.25" thickBot="1">
      <c r="A74" s="1854" t="s">
        <v>926</v>
      </c>
      <c r="B74" s="1858" t="s">
        <v>2099</v>
      </c>
      <c r="C74" s="1868"/>
      <c r="D74" s="1868"/>
      <c r="E74" s="1868"/>
      <c r="F74" s="1860">
        <v>0.05</v>
      </c>
    </row>
    <row r="75" spans="1:6" ht="14.25" thickBot="1">
      <c r="A75" s="1862" t="s">
        <v>926</v>
      </c>
      <c r="B75" s="1869" t="s">
        <v>2100</v>
      </c>
      <c r="C75" s="1865"/>
      <c r="D75" s="1865"/>
      <c r="E75" s="1865"/>
      <c r="F75" s="1870">
        <v>0.05</v>
      </c>
    </row>
    <row r="76" spans="1:6" ht="14.25" thickBot="1">
      <c r="A76" s="1854" t="s">
        <v>1409</v>
      </c>
      <c r="B76" s="1855" t="s">
        <v>2101</v>
      </c>
      <c r="C76" s="1856">
        <v>0.1</v>
      </c>
      <c r="D76" s="1856">
        <v>0.1</v>
      </c>
      <c r="E76" s="1856">
        <v>0.1</v>
      </c>
      <c r="F76" s="1857">
        <v>0.1</v>
      </c>
    </row>
    <row r="77" spans="1:6" ht="14.25" thickBot="1">
      <c r="A77" s="1854" t="s">
        <v>1409</v>
      </c>
      <c r="B77" s="1858" t="s">
        <v>1076</v>
      </c>
      <c r="C77" s="1859">
        <v>8.7999999999999995E-2</v>
      </c>
      <c r="D77" s="1859">
        <v>8.6999999999999994E-2</v>
      </c>
      <c r="E77" s="1859">
        <v>7.9000000000000001E-2</v>
      </c>
      <c r="F77" s="1860">
        <v>0.1</v>
      </c>
    </row>
    <row r="78" spans="1:6" ht="14.25" thickBot="1">
      <c r="A78" s="1854" t="s">
        <v>1409</v>
      </c>
      <c r="B78" s="1858" t="s">
        <v>1090</v>
      </c>
      <c r="C78" s="1859">
        <v>8.6999999999999994E-2</v>
      </c>
      <c r="D78" s="1859">
        <v>8.4000000000000005E-2</v>
      </c>
      <c r="E78" s="1859">
        <v>9.6000000000000002E-2</v>
      </c>
      <c r="F78" s="1860">
        <v>0.1</v>
      </c>
    </row>
    <row r="79" spans="1:6" ht="14.25" thickBot="1">
      <c r="A79" s="1854" t="s">
        <v>1409</v>
      </c>
      <c r="B79" s="1858" t="s">
        <v>1103</v>
      </c>
      <c r="C79" s="1859">
        <v>9.8000000000000004E-2</v>
      </c>
      <c r="D79" s="1859">
        <v>9.8000000000000004E-2</v>
      </c>
      <c r="E79" s="1859">
        <v>9.0999999999999998E-2</v>
      </c>
      <c r="F79" s="1860">
        <v>0.1</v>
      </c>
    </row>
    <row r="80" spans="1:6" ht="14.25" thickBot="1">
      <c r="A80" s="1854" t="s">
        <v>1409</v>
      </c>
      <c r="B80" s="1858" t="s">
        <v>1117</v>
      </c>
      <c r="C80" s="1859">
        <v>9.6000000000000002E-2</v>
      </c>
      <c r="D80" s="1859">
        <v>9.6000000000000002E-2</v>
      </c>
      <c r="E80" s="1859">
        <v>0.1</v>
      </c>
      <c r="F80" s="1860">
        <v>0.1</v>
      </c>
    </row>
    <row r="81" spans="1:6" ht="14.25" thickBot="1">
      <c r="A81" s="1854" t="s">
        <v>1409</v>
      </c>
      <c r="B81" s="1858" t="s">
        <v>1128</v>
      </c>
      <c r="C81" s="1859">
        <v>9.9000000000000005E-2</v>
      </c>
      <c r="D81" s="1859">
        <v>9.9000000000000005E-2</v>
      </c>
      <c r="E81" s="1859">
        <v>9.8000000000000004E-2</v>
      </c>
      <c r="F81" s="1860">
        <v>0.1</v>
      </c>
    </row>
    <row r="82" spans="1:6" ht="14.25" thickBot="1">
      <c r="A82" s="1854" t="s">
        <v>1409</v>
      </c>
      <c r="B82" s="1858" t="s">
        <v>1139</v>
      </c>
      <c r="C82" s="1859">
        <v>9.9000000000000005E-2</v>
      </c>
      <c r="D82" s="1859">
        <v>9.9000000000000005E-2</v>
      </c>
      <c r="E82" s="1859">
        <v>9.7000000000000003E-2</v>
      </c>
      <c r="F82" s="1860">
        <v>0.1</v>
      </c>
    </row>
    <row r="83" spans="1:6" ht="14.25" thickBot="1">
      <c r="A83" s="1854" t="s">
        <v>1409</v>
      </c>
      <c r="B83" s="1858" t="s">
        <v>1150</v>
      </c>
      <c r="C83" s="1859">
        <v>9.8000000000000004E-2</v>
      </c>
      <c r="D83" s="1859">
        <v>9.8000000000000004E-2</v>
      </c>
      <c r="E83" s="1859">
        <v>9.8000000000000004E-2</v>
      </c>
      <c r="F83" s="1860">
        <v>0.1</v>
      </c>
    </row>
    <row r="84" spans="1:6" ht="14.25" thickBot="1">
      <c r="A84" s="1854" t="s">
        <v>1409</v>
      </c>
      <c r="B84" s="1858" t="s">
        <v>1162</v>
      </c>
      <c r="C84" s="1859">
        <v>9.9000000000000005E-2</v>
      </c>
      <c r="D84" s="1859">
        <v>9.9000000000000005E-2</v>
      </c>
      <c r="E84" s="1859">
        <v>9.9000000000000005E-2</v>
      </c>
      <c r="F84" s="1860">
        <v>0.1</v>
      </c>
    </row>
    <row r="85" spans="1:6" ht="14.25" thickBot="1">
      <c r="A85" s="1854" t="s">
        <v>1409</v>
      </c>
      <c r="B85" s="1858" t="s">
        <v>1172</v>
      </c>
      <c r="C85" s="1859">
        <v>9.9000000000000005E-2</v>
      </c>
      <c r="D85" s="1859">
        <v>9.9000000000000005E-2</v>
      </c>
      <c r="E85" s="1859">
        <v>9.9000000000000005E-2</v>
      </c>
      <c r="F85" s="1860">
        <v>0.1</v>
      </c>
    </row>
    <row r="86" spans="1:6" ht="14.25" thickBot="1">
      <c r="A86" s="1854" t="s">
        <v>1409</v>
      </c>
      <c r="B86" s="1858" t="s">
        <v>1182</v>
      </c>
      <c r="C86" s="1859">
        <v>0.1</v>
      </c>
      <c r="D86" s="1859">
        <v>0.1</v>
      </c>
      <c r="E86" s="1859">
        <v>7.6999999999999999E-2</v>
      </c>
      <c r="F86" s="1860">
        <v>0.1</v>
      </c>
    </row>
    <row r="87" spans="1:6" ht="14.25" thickBot="1">
      <c r="A87" s="1854" t="s">
        <v>1409</v>
      </c>
      <c r="B87" s="1858" t="s">
        <v>1192</v>
      </c>
      <c r="C87" s="1859">
        <v>0.1</v>
      </c>
      <c r="D87" s="1859">
        <v>0.1</v>
      </c>
      <c r="E87" s="1859">
        <v>9.8000000000000004E-2</v>
      </c>
      <c r="F87" s="1867"/>
    </row>
    <row r="88" spans="1:6" ht="14.25" thickBot="1">
      <c r="A88" s="1854" t="s">
        <v>1409</v>
      </c>
      <c r="B88" s="1858" t="s">
        <v>1202</v>
      </c>
      <c r="C88" s="1859">
        <v>9.1999999999999998E-2</v>
      </c>
      <c r="D88" s="1859">
        <v>8.5000000000000006E-2</v>
      </c>
      <c r="E88" s="1859">
        <v>9.6000000000000002E-2</v>
      </c>
      <c r="F88" s="1867"/>
    </row>
    <row r="89" spans="1:6" ht="14.25" thickBot="1">
      <c r="A89" s="1854" t="s">
        <v>1409</v>
      </c>
      <c r="B89" s="1858" t="s">
        <v>1212</v>
      </c>
      <c r="C89" s="1859">
        <v>0.1</v>
      </c>
      <c r="D89" s="1859">
        <v>0.1</v>
      </c>
      <c r="E89" s="1859">
        <v>9.7000000000000003E-2</v>
      </c>
      <c r="F89" s="1867"/>
    </row>
    <row r="90" spans="1:6" ht="14.25" thickBot="1">
      <c r="A90" s="1854" t="s">
        <v>1409</v>
      </c>
      <c r="B90" s="1858" t="s">
        <v>1222</v>
      </c>
      <c r="C90" s="1859">
        <v>9.8000000000000004E-2</v>
      </c>
      <c r="D90" s="1859">
        <v>9.8000000000000004E-2</v>
      </c>
      <c r="E90" s="1859">
        <v>8.7999999999999995E-2</v>
      </c>
      <c r="F90" s="1867"/>
    </row>
    <row r="91" spans="1:6" ht="14.25" thickBot="1">
      <c r="A91" s="1854" t="s">
        <v>1409</v>
      </c>
      <c r="B91" s="1858" t="s">
        <v>1232</v>
      </c>
      <c r="C91" s="1859">
        <v>9.9000000000000005E-2</v>
      </c>
      <c r="D91" s="1859">
        <v>9.9000000000000005E-2</v>
      </c>
      <c r="E91" s="1859">
        <v>9.0999999999999998E-2</v>
      </c>
      <c r="F91" s="1867"/>
    </row>
    <row r="92" spans="1:6" ht="14.25" thickBot="1">
      <c r="A92" s="1854" t="s">
        <v>1409</v>
      </c>
      <c r="B92" s="1858" t="s">
        <v>1242</v>
      </c>
      <c r="C92" s="1859">
        <v>9.6000000000000002E-2</v>
      </c>
      <c r="D92" s="1859">
        <v>9.6000000000000002E-2</v>
      </c>
      <c r="E92" s="1859">
        <v>7.2999999999999995E-2</v>
      </c>
      <c r="F92" s="1867"/>
    </row>
    <row r="93" spans="1:6" ht="14.25" thickBot="1">
      <c r="A93" s="1854" t="s">
        <v>1409</v>
      </c>
      <c r="B93" s="1858" t="s">
        <v>1252</v>
      </c>
      <c r="C93" s="1859">
        <v>9.6000000000000002E-2</v>
      </c>
      <c r="D93" s="1859">
        <v>9.6000000000000002E-2</v>
      </c>
      <c r="E93" s="1859">
        <v>9.9000000000000005E-2</v>
      </c>
      <c r="F93" s="1867"/>
    </row>
    <row r="94" spans="1:6" ht="14.25" thickBot="1">
      <c r="A94" s="1854" t="s">
        <v>1409</v>
      </c>
      <c r="B94" s="1858" t="s">
        <v>1262</v>
      </c>
      <c r="C94" s="1859">
        <v>7.5999999999999998E-2</v>
      </c>
      <c r="D94" s="1859">
        <v>7.3999999999999996E-2</v>
      </c>
      <c r="E94" s="1859">
        <v>9.7000000000000003E-2</v>
      </c>
      <c r="F94" s="1867"/>
    </row>
    <row r="95" spans="1:6" ht="14.25" thickBot="1">
      <c r="A95" s="1854" t="s">
        <v>1409</v>
      </c>
      <c r="B95" s="1858" t="s">
        <v>1271</v>
      </c>
      <c r="C95" s="1859">
        <v>9.9000000000000005E-2</v>
      </c>
      <c r="D95" s="1859">
        <v>9.4E-2</v>
      </c>
      <c r="E95" s="1859">
        <v>9.6000000000000002E-2</v>
      </c>
      <c r="F95" s="1867"/>
    </row>
    <row r="96" spans="1:6" ht="14.25" thickBot="1">
      <c r="A96" s="1854" t="s">
        <v>1409</v>
      </c>
      <c r="B96" s="1858" t="s">
        <v>1280</v>
      </c>
      <c r="C96" s="1859">
        <v>9.9000000000000005E-2</v>
      </c>
      <c r="D96" s="1859">
        <v>9.9000000000000005E-2</v>
      </c>
      <c r="E96" s="1859">
        <v>9.9000000000000005E-2</v>
      </c>
      <c r="F96" s="1867"/>
    </row>
    <row r="97" spans="1:6" ht="14.25" thickBot="1">
      <c r="A97" s="1854" t="s">
        <v>1409</v>
      </c>
      <c r="B97" s="1858" t="s">
        <v>1288</v>
      </c>
      <c r="C97" s="1859">
        <v>9.8000000000000004E-2</v>
      </c>
      <c r="D97" s="1859">
        <v>9.8000000000000004E-2</v>
      </c>
      <c r="E97" s="1859">
        <v>9.7000000000000003E-2</v>
      </c>
      <c r="F97" s="1867"/>
    </row>
    <row r="98" spans="1:6" ht="14.25" thickBot="1">
      <c r="A98" s="1854" t="s">
        <v>1409</v>
      </c>
      <c r="B98" s="1858" t="s">
        <v>1295</v>
      </c>
      <c r="C98" s="1859">
        <v>0.1</v>
      </c>
      <c r="D98" s="1859">
        <v>0.1</v>
      </c>
      <c r="E98" s="1859">
        <v>9.7000000000000003E-2</v>
      </c>
      <c r="F98" s="1867"/>
    </row>
    <row r="99" spans="1:6" ht="14.25" thickBot="1">
      <c r="A99" s="1854" t="s">
        <v>1409</v>
      </c>
      <c r="B99" s="1858" t="s">
        <v>1302</v>
      </c>
      <c r="C99" s="1859">
        <v>0.1</v>
      </c>
      <c r="D99" s="1859">
        <v>0.1</v>
      </c>
      <c r="E99" s="1868"/>
      <c r="F99" s="1867"/>
    </row>
    <row r="100" spans="1:6" ht="14.25" thickBot="1">
      <c r="A100" s="1854" t="s">
        <v>1409</v>
      </c>
      <c r="B100" s="1858" t="s">
        <v>1309</v>
      </c>
      <c r="C100" s="1859">
        <v>0.09</v>
      </c>
      <c r="D100" s="1859">
        <v>8.8999999999999996E-2</v>
      </c>
      <c r="E100" s="1868"/>
      <c r="F100" s="1867"/>
    </row>
    <row r="101" spans="1:6" ht="14.25" thickBot="1">
      <c r="A101" s="1854" t="s">
        <v>1409</v>
      </c>
      <c r="B101" s="1858" t="s">
        <v>1316</v>
      </c>
      <c r="C101" s="1859">
        <v>9.8000000000000004E-2</v>
      </c>
      <c r="D101" s="1859">
        <v>9.7000000000000003E-2</v>
      </c>
      <c r="E101" s="1868"/>
      <c r="F101" s="1867"/>
    </row>
    <row r="102" spans="1:6" ht="14.25" thickBot="1">
      <c r="A102" s="1854" t="s">
        <v>1409</v>
      </c>
      <c r="B102" s="1858" t="s">
        <v>2102</v>
      </c>
      <c r="C102" s="1868"/>
      <c r="D102" s="1868"/>
      <c r="E102" s="1868"/>
      <c r="F102" s="1860">
        <v>0.05</v>
      </c>
    </row>
    <row r="103" spans="1:6" ht="24.75" thickBot="1">
      <c r="A103" s="1854" t="s">
        <v>1409</v>
      </c>
      <c r="B103" s="1858" t="s">
        <v>2103</v>
      </c>
      <c r="C103" s="1868"/>
      <c r="D103" s="1868"/>
      <c r="E103" s="1868"/>
      <c r="F103" s="1860">
        <v>0.05</v>
      </c>
    </row>
    <row r="104" spans="1:6" ht="14.25" thickBot="1">
      <c r="A104" s="1854" t="s">
        <v>1409</v>
      </c>
      <c r="B104" s="1858" t="s">
        <v>2104</v>
      </c>
      <c r="C104" s="1868"/>
      <c r="D104" s="1868"/>
      <c r="E104" s="1868"/>
      <c r="F104" s="1860">
        <v>0.05</v>
      </c>
    </row>
    <row r="105" spans="1:6" ht="14.25" thickBot="1">
      <c r="A105" s="1854" t="s">
        <v>1409</v>
      </c>
      <c r="B105" s="1858" t="s">
        <v>2105</v>
      </c>
      <c r="C105" s="1868"/>
      <c r="D105" s="1868"/>
      <c r="E105" s="1868"/>
      <c r="F105" s="1860">
        <v>0.05</v>
      </c>
    </row>
    <row r="106" spans="1:6" ht="14.25" thickBot="1">
      <c r="A106" s="1854" t="s">
        <v>1409</v>
      </c>
      <c r="B106" s="1858" t="s">
        <v>2106</v>
      </c>
      <c r="C106" s="1868"/>
      <c r="D106" s="1868"/>
      <c r="E106" s="1868"/>
      <c r="F106" s="1860">
        <v>0.05</v>
      </c>
    </row>
    <row r="107" spans="1:6" ht="24.75" thickBot="1">
      <c r="A107" s="1854" t="s">
        <v>1409</v>
      </c>
      <c r="B107" s="1858" t="s">
        <v>2107</v>
      </c>
      <c r="C107" s="1868"/>
      <c r="D107" s="1868"/>
      <c r="E107" s="1868"/>
      <c r="F107" s="1860">
        <v>0.05</v>
      </c>
    </row>
    <row r="108" spans="1:6" ht="24.75" thickBot="1">
      <c r="A108" s="1854" t="s">
        <v>1409</v>
      </c>
      <c r="B108" s="1858" t="s">
        <v>2108</v>
      </c>
      <c r="C108" s="1868"/>
      <c r="D108" s="1868"/>
      <c r="E108" s="1868"/>
      <c r="F108" s="1860">
        <v>0.05</v>
      </c>
    </row>
    <row r="109" spans="1:6" ht="24.75" thickBot="1">
      <c r="A109" s="1862" t="s">
        <v>1409</v>
      </c>
      <c r="B109" s="1869" t="s">
        <v>2109</v>
      </c>
      <c r="C109" s="1865"/>
      <c r="D109" s="1865"/>
      <c r="E109" s="1865"/>
      <c r="F109" s="1870">
        <v>0.05</v>
      </c>
    </row>
    <row r="110" spans="1:6" ht="14.25" thickBot="1">
      <c r="A110" s="1854" t="s">
        <v>1411</v>
      </c>
      <c r="B110" s="1855" t="s">
        <v>2110</v>
      </c>
      <c r="C110" s="1856">
        <v>0.129</v>
      </c>
      <c r="D110" s="1856">
        <v>0.129</v>
      </c>
      <c r="E110" s="1856">
        <v>0.126</v>
      </c>
      <c r="F110" s="1857">
        <v>0.13</v>
      </c>
    </row>
    <row r="111" spans="1:6" ht="14.25" thickBot="1">
      <c r="A111" s="1854" t="s">
        <v>1411</v>
      </c>
      <c r="B111" s="1858" t="s">
        <v>1077</v>
      </c>
      <c r="C111" s="1859">
        <v>0.11</v>
      </c>
      <c r="D111" s="1859">
        <v>0.11</v>
      </c>
      <c r="E111" s="1859">
        <v>9.9000000000000005E-2</v>
      </c>
      <c r="F111" s="1860">
        <v>0.128</v>
      </c>
    </row>
    <row r="112" spans="1:6" ht="14.25" thickBot="1">
      <c r="A112" s="1854" t="s">
        <v>1411</v>
      </c>
      <c r="B112" s="1858" t="s">
        <v>1091</v>
      </c>
      <c r="C112" s="1859">
        <v>0.125</v>
      </c>
      <c r="D112" s="1859">
        <v>0.125</v>
      </c>
      <c r="E112" s="1859">
        <v>0.12</v>
      </c>
      <c r="F112" s="1860">
        <v>0.125</v>
      </c>
    </row>
    <row r="113" spans="1:6" ht="14.25" thickBot="1">
      <c r="A113" s="1854" t="s">
        <v>1411</v>
      </c>
      <c r="B113" s="1858" t="s">
        <v>1104</v>
      </c>
      <c r="C113" s="1859">
        <v>0.13</v>
      </c>
      <c r="D113" s="1859">
        <v>0.13</v>
      </c>
      <c r="E113" s="1859">
        <v>0.13</v>
      </c>
      <c r="F113" s="1860">
        <v>0.13</v>
      </c>
    </row>
    <row r="114" spans="1:6" ht="14.25" thickBot="1">
      <c r="A114" s="1854" t="s">
        <v>1411</v>
      </c>
      <c r="B114" s="1858" t="s">
        <v>1118</v>
      </c>
      <c r="C114" s="1859">
        <v>0.123</v>
      </c>
      <c r="D114" s="1859">
        <v>0.123</v>
      </c>
      <c r="E114" s="1859">
        <v>0.12</v>
      </c>
      <c r="F114" s="1860">
        <v>0.13</v>
      </c>
    </row>
    <row r="115" spans="1:6" ht="14.25" thickBot="1">
      <c r="A115" s="1854" t="s">
        <v>1411</v>
      </c>
      <c r="B115" s="1858" t="s">
        <v>1129</v>
      </c>
      <c r="C115" s="1859">
        <v>0.125</v>
      </c>
      <c r="D115" s="1859">
        <v>0.125</v>
      </c>
      <c r="E115" s="1859">
        <v>0.11700000000000001</v>
      </c>
      <c r="F115" s="1860">
        <v>0.13</v>
      </c>
    </row>
    <row r="116" spans="1:6" ht="14.25" thickBot="1">
      <c r="A116" s="1854" t="s">
        <v>1411</v>
      </c>
      <c r="B116" s="1858" t="s">
        <v>1140</v>
      </c>
      <c r="C116" s="1859">
        <v>0.11700000000000001</v>
      </c>
      <c r="D116" s="1859">
        <v>0.11700000000000001</v>
      </c>
      <c r="E116" s="1859">
        <v>8.7999999999999995E-2</v>
      </c>
      <c r="F116" s="1860">
        <v>0.13</v>
      </c>
    </row>
    <row r="117" spans="1:6" ht="14.25" thickBot="1">
      <c r="A117" s="1854" t="s">
        <v>1411</v>
      </c>
      <c r="B117" s="1858" t="s">
        <v>1151</v>
      </c>
      <c r="C117" s="1859">
        <v>0.13</v>
      </c>
      <c r="D117" s="1859">
        <v>0.13</v>
      </c>
      <c r="E117" s="1859">
        <v>0.129</v>
      </c>
      <c r="F117" s="1860">
        <v>0.13</v>
      </c>
    </row>
    <row r="118" spans="1:6" ht="14.25" thickBot="1">
      <c r="A118" s="1854" t="s">
        <v>1411</v>
      </c>
      <c r="B118" s="1858" t="s">
        <v>1163</v>
      </c>
      <c r="C118" s="1859">
        <v>0.123</v>
      </c>
      <c r="D118" s="1859">
        <v>0.123</v>
      </c>
      <c r="E118" s="1859">
        <v>0.11600000000000001</v>
      </c>
      <c r="F118" s="1860">
        <v>0.13</v>
      </c>
    </row>
    <row r="119" spans="1:6" ht="14.25" thickBot="1">
      <c r="A119" s="1854" t="s">
        <v>1411</v>
      </c>
      <c r="B119" s="1858" t="s">
        <v>1173</v>
      </c>
      <c r="C119" s="1859">
        <v>0.127</v>
      </c>
      <c r="D119" s="1859">
        <v>0.127</v>
      </c>
      <c r="E119" s="1859">
        <v>0.124</v>
      </c>
      <c r="F119" s="1860">
        <v>0.13</v>
      </c>
    </row>
    <row r="120" spans="1:6" ht="14.25" thickBot="1">
      <c r="A120" s="1854" t="s">
        <v>1411</v>
      </c>
      <c r="B120" s="1858" t="s">
        <v>1183</v>
      </c>
      <c r="C120" s="1859">
        <v>0.125</v>
      </c>
      <c r="D120" s="1859">
        <v>0.125</v>
      </c>
      <c r="E120" s="1859">
        <v>0.122</v>
      </c>
      <c r="F120" s="1860">
        <v>0.13</v>
      </c>
    </row>
    <row r="121" spans="1:6" ht="14.25" thickBot="1">
      <c r="A121" s="1854" t="s">
        <v>1411</v>
      </c>
      <c r="B121" s="1858" t="s">
        <v>1193</v>
      </c>
      <c r="C121" s="1859">
        <v>0.13</v>
      </c>
      <c r="D121" s="1859">
        <v>0.13</v>
      </c>
      <c r="E121" s="1859">
        <v>0.13</v>
      </c>
      <c r="F121" s="1860">
        <v>0.13</v>
      </c>
    </row>
    <row r="122" spans="1:6" ht="14.25" thickBot="1">
      <c r="A122" s="1854" t="s">
        <v>1411</v>
      </c>
      <c r="B122" s="1858" t="s">
        <v>1203</v>
      </c>
      <c r="C122" s="1859">
        <v>0.13</v>
      </c>
      <c r="D122" s="1859">
        <v>0.13</v>
      </c>
      <c r="E122" s="1859">
        <v>0.125</v>
      </c>
      <c r="F122" s="1860">
        <v>0.13</v>
      </c>
    </row>
    <row r="123" spans="1:6" ht="14.25" thickBot="1">
      <c r="A123" s="1854" t="s">
        <v>1411</v>
      </c>
      <c r="B123" s="1858" t="s">
        <v>1213</v>
      </c>
      <c r="C123" s="1859">
        <v>0.129</v>
      </c>
      <c r="D123" s="1859">
        <v>0.129</v>
      </c>
      <c r="E123" s="1859">
        <v>0.123</v>
      </c>
      <c r="F123" s="1860">
        <v>0.13</v>
      </c>
    </row>
    <row r="124" spans="1:6" ht="14.25" thickBot="1">
      <c r="A124" s="1854" t="s">
        <v>1411</v>
      </c>
      <c r="B124" s="1858" t="s">
        <v>1223</v>
      </c>
      <c r="C124" s="1859">
        <v>0.10199999999999999</v>
      </c>
      <c r="D124" s="1859">
        <v>0.10100000000000001</v>
      </c>
      <c r="E124" s="1859">
        <v>0.08</v>
      </c>
      <c r="F124" s="1867"/>
    </row>
    <row r="125" spans="1:6" ht="14.25" thickBot="1">
      <c r="A125" s="1854" t="s">
        <v>1411</v>
      </c>
      <c r="B125" s="1858" t="s">
        <v>1233</v>
      </c>
      <c r="C125" s="1859">
        <v>0.13</v>
      </c>
      <c r="D125" s="1859">
        <v>0.13</v>
      </c>
      <c r="E125" s="1859">
        <v>0.129</v>
      </c>
      <c r="F125" s="1867"/>
    </row>
    <row r="126" spans="1:6" ht="14.25" thickBot="1">
      <c r="A126" s="1854" t="s">
        <v>1411</v>
      </c>
      <c r="B126" s="1858" t="s">
        <v>1243</v>
      </c>
      <c r="C126" s="1859">
        <v>0.13</v>
      </c>
      <c r="D126" s="1859">
        <v>0.13</v>
      </c>
      <c r="E126" s="1859">
        <v>0.126</v>
      </c>
      <c r="F126" s="1867"/>
    </row>
    <row r="127" spans="1:6" ht="14.25" thickBot="1">
      <c r="A127" s="1854" t="s">
        <v>1411</v>
      </c>
      <c r="B127" s="1858" t="s">
        <v>1253</v>
      </c>
      <c r="C127" s="1859">
        <v>0.125</v>
      </c>
      <c r="D127" s="1859">
        <v>0.125</v>
      </c>
      <c r="E127" s="1859">
        <v>0.121</v>
      </c>
      <c r="F127" s="1867"/>
    </row>
    <row r="128" spans="1:6" ht="14.25" thickBot="1">
      <c r="A128" s="1854" t="s">
        <v>1411</v>
      </c>
      <c r="B128" s="1858" t="s">
        <v>1263</v>
      </c>
      <c r="C128" s="1859">
        <v>0.12</v>
      </c>
      <c r="D128" s="1859">
        <v>0.12</v>
      </c>
      <c r="E128" s="1859">
        <v>0.105</v>
      </c>
      <c r="F128" s="1867"/>
    </row>
    <row r="129" spans="1:6" ht="14.25" thickBot="1">
      <c r="A129" s="1854" t="s">
        <v>1411</v>
      </c>
      <c r="B129" s="1858" t="s">
        <v>1272</v>
      </c>
      <c r="C129" s="1859">
        <v>0.13</v>
      </c>
      <c r="D129" s="1859">
        <v>0.13</v>
      </c>
      <c r="E129" s="1859">
        <v>0.126</v>
      </c>
      <c r="F129" s="1867"/>
    </row>
    <row r="130" spans="1:6" ht="14.25" thickBot="1">
      <c r="A130" s="1854" t="s">
        <v>1411</v>
      </c>
      <c r="B130" s="1858" t="s">
        <v>1281</v>
      </c>
      <c r="C130" s="1859">
        <v>0.125</v>
      </c>
      <c r="D130" s="1859">
        <v>0.125</v>
      </c>
      <c r="E130" s="1859">
        <v>0.122</v>
      </c>
      <c r="F130" s="1867"/>
    </row>
    <row r="131" spans="1:6" ht="14.25" thickBot="1">
      <c r="A131" s="1854" t="s">
        <v>1411</v>
      </c>
      <c r="B131" s="1858" t="s">
        <v>1289</v>
      </c>
      <c r="C131" s="1859">
        <v>0.127</v>
      </c>
      <c r="D131" s="1859">
        <v>0.126</v>
      </c>
      <c r="E131" s="1859">
        <v>0.123</v>
      </c>
      <c r="F131" s="1867"/>
    </row>
    <row r="132" spans="1:6" ht="14.25" thickBot="1">
      <c r="A132" s="1854" t="s">
        <v>1411</v>
      </c>
      <c r="B132" s="1858" t="s">
        <v>1296</v>
      </c>
      <c r="C132" s="1859">
        <v>9.0999999999999998E-2</v>
      </c>
      <c r="D132" s="1859">
        <v>0.121</v>
      </c>
      <c r="E132" s="1859">
        <v>9.9000000000000005E-2</v>
      </c>
      <c r="F132" s="1867"/>
    </row>
    <row r="133" spans="1:6" ht="14.25" thickBot="1">
      <c r="A133" s="1854" t="s">
        <v>1411</v>
      </c>
      <c r="B133" s="1858" t="s">
        <v>1303</v>
      </c>
      <c r="C133" s="1859">
        <v>0.13</v>
      </c>
      <c r="D133" s="1859">
        <v>0.13</v>
      </c>
      <c r="E133" s="1859">
        <v>0.129</v>
      </c>
      <c r="F133" s="1867"/>
    </row>
    <row r="134" spans="1:6" ht="14.25" thickBot="1">
      <c r="A134" s="1854" t="s">
        <v>1411</v>
      </c>
      <c r="B134" s="1858" t="s">
        <v>2111</v>
      </c>
      <c r="C134" s="1859">
        <v>6.8000000000000005E-2</v>
      </c>
      <c r="D134" s="1859">
        <v>6.5000000000000002E-2</v>
      </c>
      <c r="E134" s="1859">
        <v>6.5000000000000002E-2</v>
      </c>
      <c r="F134" s="1860">
        <v>0.13</v>
      </c>
    </row>
    <row r="135" spans="1:6" ht="14.25" thickBot="1">
      <c r="A135" s="1854" t="s">
        <v>1411</v>
      </c>
      <c r="B135" s="1858" t="s">
        <v>1317</v>
      </c>
      <c r="C135" s="1859">
        <v>0.123</v>
      </c>
      <c r="D135" s="1859">
        <v>0.123</v>
      </c>
      <c r="E135" s="1859">
        <v>0.11</v>
      </c>
      <c r="F135" s="1867"/>
    </row>
    <row r="136" spans="1:6" ht="14.25" thickBot="1">
      <c r="A136" s="1854" t="s">
        <v>1411</v>
      </c>
      <c r="B136" s="1858" t="s">
        <v>1324</v>
      </c>
      <c r="C136" s="1859">
        <v>0.13</v>
      </c>
      <c r="D136" s="1859">
        <v>0.13</v>
      </c>
      <c r="E136" s="1859">
        <v>0.125</v>
      </c>
      <c r="F136" s="1867"/>
    </row>
    <row r="137" spans="1:6" ht="14.25" thickBot="1">
      <c r="A137" s="1854" t="s">
        <v>1411</v>
      </c>
      <c r="B137" s="1858" t="s">
        <v>1331</v>
      </c>
      <c r="C137" s="1859">
        <v>0.121</v>
      </c>
      <c r="D137" s="1859">
        <v>0.122</v>
      </c>
      <c r="E137" s="1859">
        <v>0.115</v>
      </c>
      <c r="F137" s="1867"/>
    </row>
    <row r="138" spans="1:6" ht="14.25" thickBot="1">
      <c r="A138" s="1854" t="s">
        <v>1411</v>
      </c>
      <c r="B138" s="1858" t="s">
        <v>2112</v>
      </c>
      <c r="C138" s="1859">
        <v>0.105</v>
      </c>
      <c r="D138" s="1859">
        <v>0.125</v>
      </c>
      <c r="E138" s="1859">
        <v>0.112</v>
      </c>
      <c r="F138" s="1867"/>
    </row>
    <row r="139" spans="1:6" ht="14.25" thickBot="1">
      <c r="A139" s="1854" t="s">
        <v>1411</v>
      </c>
      <c r="B139" s="1858" t="s">
        <v>2113</v>
      </c>
      <c r="C139" s="1859">
        <v>0.127</v>
      </c>
      <c r="D139" s="1859">
        <v>0.127</v>
      </c>
      <c r="E139" s="1859">
        <v>0.122</v>
      </c>
      <c r="F139" s="1860">
        <v>0.13</v>
      </c>
    </row>
    <row r="140" spans="1:6" ht="14.25" thickBot="1">
      <c r="A140" s="1854" t="s">
        <v>1411</v>
      </c>
      <c r="B140" s="1858" t="s">
        <v>2114</v>
      </c>
      <c r="C140" s="1859">
        <v>0.125</v>
      </c>
      <c r="D140" s="1859">
        <v>0.125</v>
      </c>
      <c r="E140" s="1859">
        <v>0.11899999999999999</v>
      </c>
      <c r="F140" s="1860">
        <v>0.13</v>
      </c>
    </row>
    <row r="141" spans="1:6" ht="14.25" thickBot="1">
      <c r="A141" s="1854" t="s">
        <v>1411</v>
      </c>
      <c r="B141" s="1858" t="s">
        <v>1350</v>
      </c>
      <c r="C141" s="1859">
        <v>0.125</v>
      </c>
      <c r="D141" s="1859">
        <v>0.125</v>
      </c>
      <c r="E141" s="1859">
        <v>0.11700000000000001</v>
      </c>
      <c r="F141" s="1867"/>
    </row>
    <row r="142" spans="1:6" ht="14.25" thickBot="1">
      <c r="A142" s="1854" t="s">
        <v>1411</v>
      </c>
      <c r="B142" s="1858" t="s">
        <v>1355</v>
      </c>
      <c r="C142" s="1859">
        <v>0.125</v>
      </c>
      <c r="D142" s="1859">
        <v>0.125</v>
      </c>
      <c r="E142" s="1859">
        <v>0.115</v>
      </c>
      <c r="F142" s="1867"/>
    </row>
    <row r="143" spans="1:6" ht="14.25" thickBot="1">
      <c r="A143" s="1854" t="s">
        <v>1411</v>
      </c>
      <c r="B143" s="1858" t="s">
        <v>1360</v>
      </c>
      <c r="C143" s="1859">
        <v>0.121</v>
      </c>
      <c r="D143" s="1859">
        <v>0.121</v>
      </c>
      <c r="E143" s="1859">
        <v>0.108</v>
      </c>
      <c r="F143" s="1867"/>
    </row>
    <row r="144" spans="1:6" ht="14.25" thickBot="1">
      <c r="A144" s="1854" t="s">
        <v>1411</v>
      </c>
      <c r="B144" s="1871" t="s">
        <v>2115</v>
      </c>
      <c r="C144" s="1872">
        <v>0.126</v>
      </c>
      <c r="D144" s="1872">
        <v>0.126</v>
      </c>
      <c r="E144" s="1872">
        <v>0.121</v>
      </c>
      <c r="F144" s="1867"/>
    </row>
    <row r="145" spans="1:6" ht="14.25" thickBot="1">
      <c r="A145" s="1862" t="s">
        <v>1411</v>
      </c>
      <c r="B145" s="1873" t="s">
        <v>2116</v>
      </c>
      <c r="C145" s="1874"/>
      <c r="D145" s="1874"/>
      <c r="E145" s="1874"/>
      <c r="F145" s="1875">
        <v>0.05</v>
      </c>
    </row>
    <row r="146" spans="1:6" ht="24.75" thickBot="1">
      <c r="A146" s="1876" t="s">
        <v>1411</v>
      </c>
      <c r="B146" s="1861" t="s">
        <v>2117</v>
      </c>
      <c r="C146" s="1868"/>
      <c r="D146" s="1868"/>
      <c r="E146" s="1868"/>
      <c r="F146" s="1877">
        <v>0.05</v>
      </c>
    </row>
    <row r="147" spans="1:6" ht="24.75" thickBot="1">
      <c r="A147" s="1854" t="s">
        <v>1411</v>
      </c>
      <c r="B147" s="1858" t="s">
        <v>2118</v>
      </c>
      <c r="C147" s="1868"/>
      <c r="D147" s="1868"/>
      <c r="E147" s="1868"/>
      <c r="F147" s="1860">
        <v>0.05</v>
      </c>
    </row>
    <row r="148" spans="1:6" ht="24.75" thickBot="1">
      <c r="A148" s="1854" t="s">
        <v>1411</v>
      </c>
      <c r="B148" s="1858" t="s">
        <v>2119</v>
      </c>
      <c r="C148" s="1868"/>
      <c r="D148" s="1868"/>
      <c r="E148" s="1868"/>
      <c r="F148" s="1860">
        <v>0.05</v>
      </c>
    </row>
    <row r="149" spans="1:6" ht="24.75" thickBot="1">
      <c r="A149" s="1854" t="s">
        <v>1411</v>
      </c>
      <c r="B149" s="1858" t="s">
        <v>2120</v>
      </c>
      <c r="C149" s="1868"/>
      <c r="D149" s="1868"/>
      <c r="E149" s="1868"/>
      <c r="F149" s="1860">
        <v>0.05</v>
      </c>
    </row>
    <row r="150" spans="1:6" ht="24.75" thickBot="1">
      <c r="A150" s="1854" t="s">
        <v>1411</v>
      </c>
      <c r="B150" s="1858" t="s">
        <v>2121</v>
      </c>
      <c r="C150" s="1868"/>
      <c r="D150" s="1868"/>
      <c r="E150" s="1868"/>
      <c r="F150" s="1860">
        <v>0.05</v>
      </c>
    </row>
    <row r="151" spans="1:6" ht="24.75" thickBot="1">
      <c r="A151" s="1854" t="s">
        <v>1411</v>
      </c>
      <c r="B151" s="1858" t="s">
        <v>2122</v>
      </c>
      <c r="C151" s="1868"/>
      <c r="D151" s="1868"/>
      <c r="E151" s="1868"/>
      <c r="F151" s="1860">
        <v>0.05</v>
      </c>
    </row>
    <row r="152" spans="1:6" ht="24.75" thickBot="1">
      <c r="A152" s="1854" t="s">
        <v>1411</v>
      </c>
      <c r="B152" s="1858" t="s">
        <v>1393</v>
      </c>
      <c r="C152" s="1868"/>
      <c r="D152" s="1868"/>
      <c r="E152" s="1868"/>
      <c r="F152" s="1860">
        <v>0.05</v>
      </c>
    </row>
    <row r="153" spans="1:6" ht="14.25" thickBot="1">
      <c r="A153" s="1854" t="s">
        <v>1411</v>
      </c>
      <c r="B153" s="1858" t="s">
        <v>2123</v>
      </c>
      <c r="C153" s="1868"/>
      <c r="D153" s="1868"/>
      <c r="E153" s="1868"/>
      <c r="F153" s="1860">
        <v>0.05</v>
      </c>
    </row>
    <row r="154" spans="1:6" ht="14.25" thickBot="1">
      <c r="A154" s="1854" t="s">
        <v>1411</v>
      </c>
      <c r="B154" s="1858" t="s">
        <v>2124</v>
      </c>
      <c r="C154" s="1868"/>
      <c r="D154" s="1868"/>
      <c r="E154" s="1868"/>
      <c r="F154" s="1860">
        <v>0.05</v>
      </c>
    </row>
    <row r="155" spans="1:6" ht="24.75" thickBot="1">
      <c r="A155" s="1854" t="s">
        <v>1411</v>
      </c>
      <c r="B155" s="1858" t="s">
        <v>2125</v>
      </c>
      <c r="C155" s="1868"/>
      <c r="D155" s="1868"/>
      <c r="E155" s="1868"/>
      <c r="F155" s="1860">
        <v>0.05</v>
      </c>
    </row>
    <row r="156" spans="1:6" ht="24.75" thickBot="1">
      <c r="A156" s="1854" t="s">
        <v>1411</v>
      </c>
      <c r="B156" s="1858" t="s">
        <v>2126</v>
      </c>
      <c r="C156" s="1868"/>
      <c r="D156" s="1868"/>
      <c r="E156" s="1868"/>
      <c r="F156" s="1860">
        <v>0.05</v>
      </c>
    </row>
    <row r="157" spans="1:6" ht="14.25" thickBot="1">
      <c r="A157" s="1862" t="s">
        <v>1411</v>
      </c>
      <c r="B157" s="1869" t="s">
        <v>2127</v>
      </c>
      <c r="C157" s="1865"/>
      <c r="D157" s="1865"/>
      <c r="E157" s="1865"/>
      <c r="F157" s="1870">
        <v>0.05</v>
      </c>
    </row>
    <row r="158" spans="1:6" ht="14.25" thickBot="1">
      <c r="A158" s="1854" t="s">
        <v>1413</v>
      </c>
      <c r="B158" s="1855" t="s">
        <v>2128</v>
      </c>
      <c r="C158" s="1856">
        <v>0.13</v>
      </c>
      <c r="D158" s="1856">
        <v>0.13</v>
      </c>
      <c r="E158" s="1856">
        <v>0.13</v>
      </c>
      <c r="F158" s="1857">
        <v>0.13</v>
      </c>
    </row>
    <row r="159" spans="1:6" ht="14.25" thickBot="1">
      <c r="A159" s="1854" t="s">
        <v>1413</v>
      </c>
      <c r="B159" s="1858" t="s">
        <v>1078</v>
      </c>
      <c r="C159" s="1859">
        <v>0.13</v>
      </c>
      <c r="D159" s="1859">
        <v>0.13</v>
      </c>
      <c r="E159" s="1859">
        <v>0.13</v>
      </c>
      <c r="F159" s="1860">
        <v>0.13</v>
      </c>
    </row>
    <row r="160" spans="1:6" ht="14.25" thickBot="1">
      <c r="A160" s="1854" t="s">
        <v>1413</v>
      </c>
      <c r="B160" s="1858" t="s">
        <v>1092</v>
      </c>
      <c r="C160" s="1859">
        <v>0.13</v>
      </c>
      <c r="D160" s="1859">
        <v>0.13</v>
      </c>
      <c r="E160" s="1859">
        <v>0.129</v>
      </c>
      <c r="F160" s="1860">
        <v>0.13</v>
      </c>
    </row>
    <row r="161" spans="1:6" ht="14.25" thickBot="1">
      <c r="A161" s="1854" t="s">
        <v>1413</v>
      </c>
      <c r="B161" s="1858" t="s">
        <v>1105</v>
      </c>
      <c r="C161" s="1859">
        <v>0.128</v>
      </c>
      <c r="D161" s="1859">
        <v>0.128</v>
      </c>
      <c r="E161" s="1859">
        <v>0.125</v>
      </c>
      <c r="F161" s="1860">
        <v>0.13</v>
      </c>
    </row>
    <row r="162" spans="1:6" ht="14.25" thickBot="1">
      <c r="A162" s="1854" t="s">
        <v>1413</v>
      </c>
      <c r="B162" s="1858" t="s">
        <v>1119</v>
      </c>
      <c r="C162" s="1859">
        <v>0.122</v>
      </c>
      <c r="D162" s="1859">
        <v>0.122</v>
      </c>
      <c r="E162" s="1859">
        <v>0.126</v>
      </c>
      <c r="F162" s="1860">
        <v>0.122</v>
      </c>
    </row>
    <row r="163" spans="1:6" ht="14.25" thickBot="1">
      <c r="A163" s="1854" t="s">
        <v>1413</v>
      </c>
      <c r="B163" s="1858" t="s">
        <v>1130</v>
      </c>
      <c r="C163" s="1859">
        <v>0.13</v>
      </c>
      <c r="D163" s="1859">
        <v>0.13</v>
      </c>
      <c r="E163" s="1859">
        <v>0.125</v>
      </c>
      <c r="F163" s="1860">
        <v>0.13</v>
      </c>
    </row>
    <row r="164" spans="1:6" ht="14.25" thickBot="1">
      <c r="A164" s="1854" t="s">
        <v>1413</v>
      </c>
      <c r="B164" s="1858" t="s">
        <v>1141</v>
      </c>
      <c r="C164" s="1859">
        <v>0.13</v>
      </c>
      <c r="D164" s="1859">
        <v>0.13</v>
      </c>
      <c r="E164" s="1859">
        <v>0.13</v>
      </c>
      <c r="F164" s="1860">
        <v>0.13</v>
      </c>
    </row>
    <row r="165" spans="1:6" ht="14.25" thickBot="1">
      <c r="A165" s="1854" t="s">
        <v>1413</v>
      </c>
      <c r="B165" s="1858" t="s">
        <v>1152</v>
      </c>
      <c r="C165" s="1859">
        <v>0.13</v>
      </c>
      <c r="D165" s="1859">
        <v>0.13</v>
      </c>
      <c r="E165" s="1859">
        <v>0.124</v>
      </c>
      <c r="F165" s="1860">
        <v>0.13</v>
      </c>
    </row>
    <row r="166" spans="1:6" ht="14.25" thickBot="1">
      <c r="A166" s="1854" t="s">
        <v>1413</v>
      </c>
      <c r="B166" s="1858" t="s">
        <v>1164</v>
      </c>
      <c r="C166" s="1859">
        <v>0.13</v>
      </c>
      <c r="D166" s="1859">
        <v>0.13</v>
      </c>
      <c r="E166" s="1859">
        <v>0.13</v>
      </c>
      <c r="F166" s="1860">
        <v>0.13</v>
      </c>
    </row>
    <row r="167" spans="1:6" ht="14.25" thickBot="1">
      <c r="A167" s="1854" t="s">
        <v>1413</v>
      </c>
      <c r="B167" s="1858" t="s">
        <v>1174</v>
      </c>
      <c r="C167" s="1859">
        <v>0.125</v>
      </c>
      <c r="D167" s="1859">
        <v>0.125</v>
      </c>
      <c r="E167" s="1859">
        <v>0.121</v>
      </c>
      <c r="F167" s="1867"/>
    </row>
    <row r="168" spans="1:6" ht="14.25" thickBot="1">
      <c r="A168" s="1854" t="s">
        <v>1413</v>
      </c>
      <c r="B168" s="1858" t="s">
        <v>1184</v>
      </c>
      <c r="C168" s="1859">
        <v>0.13</v>
      </c>
      <c r="D168" s="1859">
        <v>0.13</v>
      </c>
      <c r="E168" s="1859">
        <v>0.126</v>
      </c>
      <c r="F168" s="1867"/>
    </row>
    <row r="169" spans="1:6" ht="14.25" thickBot="1">
      <c r="A169" s="1854" t="s">
        <v>1413</v>
      </c>
      <c r="B169" s="1858" t="s">
        <v>1194</v>
      </c>
      <c r="C169" s="1859">
        <v>0.128</v>
      </c>
      <c r="D169" s="1859">
        <v>0.129</v>
      </c>
      <c r="E169" s="1859">
        <v>0.13</v>
      </c>
      <c r="F169" s="1867"/>
    </row>
    <row r="170" spans="1:6" ht="14.25" thickBot="1">
      <c r="A170" s="1854" t="s">
        <v>1413</v>
      </c>
      <c r="B170" s="1858" t="s">
        <v>1204</v>
      </c>
      <c r="C170" s="1859">
        <v>0.14099999999999999</v>
      </c>
      <c r="D170" s="1859">
        <v>0.13</v>
      </c>
      <c r="E170" s="1859">
        <v>0.125</v>
      </c>
      <c r="F170" s="1867"/>
    </row>
    <row r="171" spans="1:6" ht="14.25" thickBot="1">
      <c r="A171" s="1854" t="s">
        <v>1413</v>
      </c>
      <c r="B171" s="1858" t="s">
        <v>2129</v>
      </c>
      <c r="C171" s="1859">
        <v>0.127</v>
      </c>
      <c r="D171" s="1859">
        <v>0.126</v>
      </c>
      <c r="E171" s="1859">
        <v>0.126</v>
      </c>
      <c r="F171" s="1860">
        <v>0.11799999999999999</v>
      </c>
    </row>
    <row r="172" spans="1:6" ht="14.25" thickBot="1">
      <c r="A172" s="1854" t="s">
        <v>1413</v>
      </c>
      <c r="B172" s="1858" t="s">
        <v>2130</v>
      </c>
      <c r="C172" s="1859">
        <v>0.13</v>
      </c>
      <c r="D172" s="1859">
        <v>0.13</v>
      </c>
      <c r="E172" s="1859">
        <v>0.13</v>
      </c>
      <c r="F172" s="1867"/>
    </row>
    <row r="173" spans="1:6" ht="14.25" thickBot="1">
      <c r="A173" s="1854" t="s">
        <v>1413</v>
      </c>
      <c r="B173" s="1858" t="s">
        <v>1234</v>
      </c>
      <c r="C173" s="1859">
        <v>0.13</v>
      </c>
      <c r="D173" s="1859">
        <v>0.13</v>
      </c>
      <c r="E173" s="1859">
        <v>0.13</v>
      </c>
      <c r="F173" s="1867"/>
    </row>
    <row r="174" spans="1:6" ht="14.25" thickBot="1">
      <c r="A174" s="1854" t="s">
        <v>1413</v>
      </c>
      <c r="B174" s="1858" t="s">
        <v>2131</v>
      </c>
      <c r="C174" s="1859">
        <v>0.13</v>
      </c>
      <c r="D174" s="1859">
        <v>0.13</v>
      </c>
      <c r="E174" s="1859">
        <v>0.13</v>
      </c>
      <c r="F174" s="1860">
        <v>0.13</v>
      </c>
    </row>
    <row r="175" spans="1:6" ht="14.25" thickBot="1">
      <c r="A175" s="1854" t="s">
        <v>1413</v>
      </c>
      <c r="B175" s="1858" t="s">
        <v>2132</v>
      </c>
      <c r="C175" s="1859">
        <v>0.13</v>
      </c>
      <c r="D175" s="1859">
        <v>0.13</v>
      </c>
      <c r="E175" s="1859">
        <v>0.13</v>
      </c>
      <c r="F175" s="1860">
        <v>0.13</v>
      </c>
    </row>
    <row r="176" spans="1:6" ht="14.25" thickBot="1">
      <c r="A176" s="1854" t="s">
        <v>1413</v>
      </c>
      <c r="B176" s="1858" t="s">
        <v>1264</v>
      </c>
      <c r="C176" s="1859">
        <v>0.13</v>
      </c>
      <c r="D176" s="1859">
        <v>0.13</v>
      </c>
      <c r="E176" s="1859">
        <v>0.13</v>
      </c>
      <c r="F176" s="1860">
        <v>0.13</v>
      </c>
    </row>
    <row r="177" spans="1:6" ht="14.25" thickBot="1">
      <c r="A177" s="1854" t="s">
        <v>1413</v>
      </c>
      <c r="B177" s="1858" t="s">
        <v>2133</v>
      </c>
      <c r="C177" s="1859">
        <v>0.13</v>
      </c>
      <c r="D177" s="1859">
        <v>0.13</v>
      </c>
      <c r="E177" s="1859">
        <v>0.13</v>
      </c>
      <c r="F177" s="1860">
        <v>0.13</v>
      </c>
    </row>
    <row r="178" spans="1:6" ht="14.25" thickBot="1">
      <c r="A178" s="1854" t="s">
        <v>1413</v>
      </c>
      <c r="B178" s="1858" t="s">
        <v>1282</v>
      </c>
      <c r="C178" s="1859">
        <v>0.13</v>
      </c>
      <c r="D178" s="1859">
        <v>0.13</v>
      </c>
      <c r="E178" s="1859">
        <v>0.13</v>
      </c>
      <c r="F178" s="1860">
        <v>0.127</v>
      </c>
    </row>
    <row r="179" spans="1:6" ht="14.25" thickBot="1">
      <c r="A179" s="1854" t="s">
        <v>1413</v>
      </c>
      <c r="B179" s="1858" t="s">
        <v>1290</v>
      </c>
      <c r="C179" s="1859">
        <v>0.13</v>
      </c>
      <c r="D179" s="1859">
        <v>0.13</v>
      </c>
      <c r="E179" s="1859">
        <v>0.13</v>
      </c>
      <c r="F179" s="1867"/>
    </row>
    <row r="180" spans="1:6" ht="14.25" thickBot="1">
      <c r="A180" s="1854" t="s">
        <v>1413</v>
      </c>
      <c r="B180" s="1858" t="s">
        <v>2134</v>
      </c>
      <c r="C180" s="1859">
        <v>0.13</v>
      </c>
      <c r="D180" s="1859">
        <v>0.13</v>
      </c>
      <c r="E180" s="1859">
        <v>0.125</v>
      </c>
      <c r="F180" s="1860">
        <v>0.13</v>
      </c>
    </row>
    <row r="181" spans="1:6" ht="14.25" thickBot="1">
      <c r="A181" s="1854" t="s">
        <v>1413</v>
      </c>
      <c r="B181" s="1858" t="s">
        <v>1304</v>
      </c>
      <c r="C181" s="1859">
        <v>0.122</v>
      </c>
      <c r="D181" s="1859">
        <v>0.123</v>
      </c>
      <c r="E181" s="1859">
        <v>0.126</v>
      </c>
      <c r="F181" s="1860">
        <v>0.121</v>
      </c>
    </row>
    <row r="182" spans="1:6" ht="14.25" thickBot="1">
      <c r="A182" s="1854" t="s">
        <v>1413</v>
      </c>
      <c r="B182" s="1858" t="s">
        <v>1311</v>
      </c>
      <c r="C182" s="1859">
        <v>0.125</v>
      </c>
      <c r="D182" s="1859">
        <v>0.125</v>
      </c>
      <c r="E182" s="1859">
        <v>0.11700000000000001</v>
      </c>
      <c r="F182" s="1860">
        <v>0.13</v>
      </c>
    </row>
    <row r="183" spans="1:6" ht="14.25" thickBot="1">
      <c r="A183" s="1854" t="s">
        <v>1413</v>
      </c>
      <c r="B183" s="1858" t="s">
        <v>1318</v>
      </c>
      <c r="C183" s="1859">
        <v>0.127</v>
      </c>
      <c r="D183" s="1859">
        <v>0.127</v>
      </c>
      <c r="E183" s="1859">
        <v>0.128</v>
      </c>
      <c r="F183" s="1867"/>
    </row>
    <row r="184" spans="1:6" ht="14.25" thickBot="1">
      <c r="A184" s="1854" t="s">
        <v>1413</v>
      </c>
      <c r="B184" s="1858" t="s">
        <v>1325</v>
      </c>
      <c r="C184" s="1859">
        <v>0.125</v>
      </c>
      <c r="D184" s="1859">
        <v>0.125</v>
      </c>
      <c r="E184" s="1859">
        <v>0.127</v>
      </c>
      <c r="F184" s="1867"/>
    </row>
    <row r="185" spans="1:6" ht="14.25" thickBot="1">
      <c r="A185" s="1854" t="s">
        <v>1413</v>
      </c>
      <c r="B185" s="1858" t="s">
        <v>2135</v>
      </c>
      <c r="C185" s="1859">
        <v>0.127</v>
      </c>
      <c r="D185" s="1859">
        <v>0.127</v>
      </c>
      <c r="E185" s="1859">
        <v>0.128</v>
      </c>
      <c r="F185" s="1860">
        <v>0.13</v>
      </c>
    </row>
    <row r="186" spans="1:6" ht="24.75" thickBot="1">
      <c r="A186" s="1854" t="s">
        <v>1413</v>
      </c>
      <c r="B186" s="1858" t="s">
        <v>2136</v>
      </c>
      <c r="C186" s="1868"/>
      <c r="D186" s="1868"/>
      <c r="E186" s="1868"/>
      <c r="F186" s="1860">
        <v>0.05</v>
      </c>
    </row>
    <row r="187" spans="1:6" ht="14.25" thickBot="1">
      <c r="A187" s="1854" t="s">
        <v>1413</v>
      </c>
      <c r="B187" s="1858" t="s">
        <v>2137</v>
      </c>
      <c r="C187" s="1868"/>
      <c r="D187" s="1868"/>
      <c r="E187" s="1868"/>
      <c r="F187" s="1860">
        <v>0.05</v>
      </c>
    </row>
    <row r="188" spans="1:6" ht="14.25" thickBot="1">
      <c r="A188" s="1854" t="s">
        <v>1413</v>
      </c>
      <c r="B188" s="1858" t="s">
        <v>2138</v>
      </c>
      <c r="C188" s="1868"/>
      <c r="D188" s="1868"/>
      <c r="E188" s="1868"/>
      <c r="F188" s="1860">
        <v>0.05</v>
      </c>
    </row>
    <row r="189" spans="1:6" ht="24.75" thickBot="1">
      <c r="A189" s="1854" t="s">
        <v>1413</v>
      </c>
      <c r="B189" s="1858" t="s">
        <v>2139</v>
      </c>
      <c r="C189" s="1868"/>
      <c r="D189" s="1868"/>
      <c r="E189" s="1868"/>
      <c r="F189" s="1860">
        <v>0.05</v>
      </c>
    </row>
    <row r="190" spans="1:6" ht="24.75" thickBot="1">
      <c r="A190" s="1854" t="s">
        <v>1413</v>
      </c>
      <c r="B190" s="1858" t="s">
        <v>2140</v>
      </c>
      <c r="C190" s="1868"/>
      <c r="D190" s="1868"/>
      <c r="E190" s="1868"/>
      <c r="F190" s="1860">
        <v>0.05</v>
      </c>
    </row>
    <row r="191" spans="1:6" ht="24.75" thickBot="1">
      <c r="A191" s="1854" t="s">
        <v>1413</v>
      </c>
      <c r="B191" s="1858" t="s">
        <v>2141</v>
      </c>
      <c r="C191" s="1868"/>
      <c r="D191" s="1868"/>
      <c r="E191" s="1868"/>
      <c r="F191" s="1860">
        <v>0.05</v>
      </c>
    </row>
    <row r="192" spans="1:6" ht="24.75" thickBot="1">
      <c r="A192" s="1854" t="s">
        <v>1413</v>
      </c>
      <c r="B192" s="1858" t="s">
        <v>2142</v>
      </c>
      <c r="C192" s="1868"/>
      <c r="D192" s="1868"/>
      <c r="E192" s="1868"/>
      <c r="F192" s="1860">
        <v>0.05</v>
      </c>
    </row>
    <row r="193" spans="1:6" ht="24.75" thickBot="1">
      <c r="A193" s="1854" t="s">
        <v>1413</v>
      </c>
      <c r="B193" s="1858" t="s">
        <v>2143</v>
      </c>
      <c r="C193" s="1868"/>
      <c r="D193" s="1868"/>
      <c r="E193" s="1868"/>
      <c r="F193" s="1860">
        <v>0.05</v>
      </c>
    </row>
    <row r="194" spans="1:6" ht="24.75" thickBot="1">
      <c r="A194" s="1854" t="s">
        <v>1413</v>
      </c>
      <c r="B194" s="1858" t="s">
        <v>2144</v>
      </c>
      <c r="C194" s="1868"/>
      <c r="D194" s="1868"/>
      <c r="E194" s="1868"/>
      <c r="F194" s="1860">
        <v>0.05</v>
      </c>
    </row>
    <row r="195" spans="1:6" ht="14.25" thickBot="1">
      <c r="A195" s="1854" t="s">
        <v>1413</v>
      </c>
      <c r="B195" s="1858" t="s">
        <v>2145</v>
      </c>
      <c r="C195" s="1868"/>
      <c r="D195" s="1868"/>
      <c r="E195" s="1868"/>
      <c r="F195" s="1860">
        <v>0.05</v>
      </c>
    </row>
    <row r="196" spans="1:6" ht="24.75" thickBot="1">
      <c r="A196" s="1854" t="s">
        <v>1413</v>
      </c>
      <c r="B196" s="1858" t="s">
        <v>2146</v>
      </c>
      <c r="C196" s="1868"/>
      <c r="D196" s="1868"/>
      <c r="E196" s="1868"/>
      <c r="F196" s="1860">
        <v>0.05</v>
      </c>
    </row>
    <row r="197" spans="1:6" ht="24.75" thickBot="1">
      <c r="A197" s="1854" t="s">
        <v>1413</v>
      </c>
      <c r="B197" s="1858" t="s">
        <v>2147</v>
      </c>
      <c r="C197" s="1868"/>
      <c r="D197" s="1868"/>
      <c r="E197" s="1868"/>
      <c r="F197" s="1860">
        <v>0.05</v>
      </c>
    </row>
    <row r="198" spans="1:6" ht="24.75" thickBot="1">
      <c r="A198" s="1854" t="s">
        <v>1413</v>
      </c>
      <c r="B198" s="1858" t="s">
        <v>2148</v>
      </c>
      <c r="C198" s="1868"/>
      <c r="D198" s="1868"/>
      <c r="E198" s="1868"/>
      <c r="F198" s="1860">
        <v>0.05</v>
      </c>
    </row>
    <row r="199" spans="1:6" ht="24.75" thickBot="1">
      <c r="A199" s="1854" t="s">
        <v>1413</v>
      </c>
      <c r="B199" s="1858" t="s">
        <v>2149</v>
      </c>
      <c r="C199" s="1868"/>
      <c r="D199" s="1868"/>
      <c r="E199" s="1868"/>
      <c r="F199" s="1860">
        <v>0.05</v>
      </c>
    </row>
    <row r="200" spans="1:6" ht="24.75" thickBot="1">
      <c r="A200" s="1854" t="s">
        <v>1413</v>
      </c>
      <c r="B200" s="1858" t="s">
        <v>2150</v>
      </c>
      <c r="C200" s="1868"/>
      <c r="D200" s="1868"/>
      <c r="E200" s="1868"/>
      <c r="F200" s="1860">
        <v>0.05</v>
      </c>
    </row>
    <row r="201" spans="1:6" ht="24.75" thickBot="1">
      <c r="A201" s="1854" t="s">
        <v>1413</v>
      </c>
      <c r="B201" s="1858" t="s">
        <v>2151</v>
      </c>
      <c r="C201" s="1868"/>
      <c r="D201" s="1868"/>
      <c r="E201" s="1868"/>
      <c r="F201" s="1860">
        <v>0.05</v>
      </c>
    </row>
    <row r="202" spans="1:6" ht="24.75" thickBot="1">
      <c r="A202" s="1854" t="s">
        <v>1413</v>
      </c>
      <c r="B202" s="1858" t="s">
        <v>2152</v>
      </c>
      <c r="C202" s="1868"/>
      <c r="D202" s="1868"/>
      <c r="E202" s="1868"/>
      <c r="F202" s="1860">
        <v>0.05</v>
      </c>
    </row>
    <row r="203" spans="1:6" ht="24.75" thickBot="1">
      <c r="A203" s="1854" t="s">
        <v>1413</v>
      </c>
      <c r="B203" s="1858" t="s">
        <v>2153</v>
      </c>
      <c r="C203" s="1868"/>
      <c r="D203" s="1868"/>
      <c r="E203" s="1868"/>
      <c r="F203" s="1860">
        <v>0.05</v>
      </c>
    </row>
    <row r="204" spans="1:6" ht="14.25" thickBot="1">
      <c r="A204" s="1854" t="s">
        <v>1413</v>
      </c>
      <c r="B204" s="1858" t="s">
        <v>2154</v>
      </c>
      <c r="C204" s="1868"/>
      <c r="D204" s="1868"/>
      <c r="E204" s="1868"/>
      <c r="F204" s="1860">
        <v>0.05</v>
      </c>
    </row>
    <row r="205" spans="1:6" ht="14.25" thickBot="1">
      <c r="A205" s="1862" t="s">
        <v>1413</v>
      </c>
      <c r="B205" s="1869" t="s">
        <v>2155</v>
      </c>
      <c r="C205" s="1865"/>
      <c r="D205" s="1865"/>
      <c r="E205" s="1865"/>
      <c r="F205" s="1870">
        <v>0.05</v>
      </c>
    </row>
    <row r="206" spans="1:6" ht="14.25" thickBot="1">
      <c r="A206" s="1854" t="s">
        <v>1415</v>
      </c>
      <c r="B206" s="1855" t="s">
        <v>2156</v>
      </c>
      <c r="C206" s="1856">
        <v>0.15</v>
      </c>
      <c r="D206" s="1856">
        <v>0.15</v>
      </c>
      <c r="E206" s="1856">
        <v>0.15</v>
      </c>
      <c r="F206" s="1857">
        <v>0.15</v>
      </c>
    </row>
    <row r="207" spans="1:6" ht="14.25" thickBot="1">
      <c r="A207" s="1854" t="s">
        <v>1415</v>
      </c>
      <c r="B207" s="1858" t="s">
        <v>1079</v>
      </c>
      <c r="C207" s="1859">
        <v>0.15</v>
      </c>
      <c r="D207" s="1859">
        <v>0.15</v>
      </c>
      <c r="E207" s="1859">
        <v>0.15</v>
      </c>
      <c r="F207" s="1860">
        <v>0.14399999999999999</v>
      </c>
    </row>
    <row r="208" spans="1:6" ht="14.25" thickBot="1">
      <c r="A208" s="1854" t="s">
        <v>1415</v>
      </c>
      <c r="B208" s="1858" t="s">
        <v>1093</v>
      </c>
      <c r="C208" s="1859">
        <v>0.15</v>
      </c>
      <c r="D208" s="1859">
        <v>0.15</v>
      </c>
      <c r="E208" s="1859">
        <v>0.15</v>
      </c>
      <c r="F208" s="1860">
        <v>0.15</v>
      </c>
    </row>
    <row r="209" spans="1:6" ht="14.25" thickBot="1">
      <c r="A209" s="1854" t="s">
        <v>1415</v>
      </c>
      <c r="B209" s="1858" t="s">
        <v>1106</v>
      </c>
      <c r="C209" s="1859">
        <v>0.13700000000000001</v>
      </c>
      <c r="D209" s="1859">
        <v>0.13700000000000001</v>
      </c>
      <c r="E209" s="1859">
        <v>0.14000000000000001</v>
      </c>
      <c r="F209" s="1860">
        <v>0.11700000000000001</v>
      </c>
    </row>
    <row r="210" spans="1:6" ht="14.25" thickBot="1">
      <c r="A210" s="1854" t="s">
        <v>1415</v>
      </c>
      <c r="B210" s="1858" t="s">
        <v>2157</v>
      </c>
      <c r="C210" s="1859">
        <v>0.15</v>
      </c>
      <c r="D210" s="1859">
        <v>0.15</v>
      </c>
      <c r="E210" s="1859">
        <v>0.15</v>
      </c>
      <c r="F210" s="1860">
        <v>0.13800000000000001</v>
      </c>
    </row>
    <row r="211" spans="1:6" ht="14.25" thickBot="1">
      <c r="A211" s="1854" t="s">
        <v>1415</v>
      </c>
      <c r="B211" s="1858" t="s">
        <v>2158</v>
      </c>
      <c r="C211" s="1859">
        <v>0.13700000000000001</v>
      </c>
      <c r="D211" s="1859">
        <v>0.13500000000000001</v>
      </c>
      <c r="E211" s="1859">
        <v>0.13600000000000001</v>
      </c>
      <c r="F211" s="1860">
        <v>0.1</v>
      </c>
    </row>
    <row r="212" spans="1:6" ht="14.25" thickBot="1">
      <c r="A212" s="1854" t="s">
        <v>1415</v>
      </c>
      <c r="B212" s="1858" t="s">
        <v>2159</v>
      </c>
      <c r="C212" s="1859">
        <v>0.15</v>
      </c>
      <c r="D212" s="1859">
        <v>0.15</v>
      </c>
      <c r="E212" s="1859">
        <v>0.14799999999999999</v>
      </c>
      <c r="F212" s="1860">
        <v>0.13600000000000001</v>
      </c>
    </row>
    <row r="213" spans="1:6" ht="14.25" thickBot="1">
      <c r="A213" s="1854" t="s">
        <v>1415</v>
      </c>
      <c r="B213" s="1858" t="s">
        <v>1153</v>
      </c>
      <c r="C213" s="1859">
        <v>0.15</v>
      </c>
      <c r="D213" s="1859">
        <v>0.15</v>
      </c>
      <c r="E213" s="1859">
        <v>0.15</v>
      </c>
      <c r="F213" s="1860">
        <v>0.13800000000000001</v>
      </c>
    </row>
    <row r="214" spans="1:6" ht="14.25" thickBot="1">
      <c r="A214" s="1854" t="s">
        <v>1415</v>
      </c>
      <c r="B214" s="1858" t="s">
        <v>1165</v>
      </c>
      <c r="C214" s="1859">
        <v>9.0999999999999998E-2</v>
      </c>
      <c r="D214" s="1859">
        <v>0.09</v>
      </c>
      <c r="E214" s="1859">
        <v>9.1999999999999998E-2</v>
      </c>
      <c r="F214" s="1867"/>
    </row>
    <row r="215" spans="1:6" ht="14.25" thickBot="1">
      <c r="A215" s="1854" t="s">
        <v>1415</v>
      </c>
      <c r="B215" s="1858" t="s">
        <v>2160</v>
      </c>
      <c r="C215" s="1859">
        <v>0.15</v>
      </c>
      <c r="D215" s="1859">
        <v>0.15</v>
      </c>
      <c r="E215" s="1859">
        <v>0.15</v>
      </c>
      <c r="F215" s="1860">
        <v>0.15</v>
      </c>
    </row>
    <row r="216" spans="1:6" ht="14.25" thickBot="1">
      <c r="A216" s="1854" t="s">
        <v>1415</v>
      </c>
      <c r="B216" s="1858" t="s">
        <v>1185</v>
      </c>
      <c r="C216" s="1859">
        <v>0.14699999999999999</v>
      </c>
      <c r="D216" s="1859">
        <v>0.14699999999999999</v>
      </c>
      <c r="E216" s="1859">
        <v>0.15</v>
      </c>
      <c r="F216" s="1860">
        <v>0.14000000000000001</v>
      </c>
    </row>
    <row r="217" spans="1:6" ht="14.25" thickBot="1">
      <c r="A217" s="1854" t="s">
        <v>1415</v>
      </c>
      <c r="B217" s="1858" t="s">
        <v>1195</v>
      </c>
      <c r="C217" s="1859">
        <v>0.15</v>
      </c>
      <c r="D217" s="1859">
        <v>0.15</v>
      </c>
      <c r="E217" s="1859">
        <v>0.15</v>
      </c>
      <c r="F217" s="1860">
        <v>0.15</v>
      </c>
    </row>
    <row r="218" spans="1:6" ht="14.25" thickBot="1">
      <c r="A218" s="1854" t="s">
        <v>1415</v>
      </c>
      <c r="B218" s="1858" t="s">
        <v>2161</v>
      </c>
      <c r="C218" s="1859">
        <v>0.15</v>
      </c>
      <c r="D218" s="1859">
        <v>0.15</v>
      </c>
      <c r="E218" s="1859">
        <v>0.15</v>
      </c>
      <c r="F218" s="1860">
        <v>0.15</v>
      </c>
    </row>
    <row r="219" spans="1:6" ht="14.25" thickBot="1">
      <c r="A219" s="1854" t="s">
        <v>1415</v>
      </c>
      <c r="B219" s="1858" t="s">
        <v>1215</v>
      </c>
      <c r="C219" s="1859">
        <v>0.15</v>
      </c>
      <c r="D219" s="1859">
        <v>0.15</v>
      </c>
      <c r="E219" s="1859">
        <v>0.15</v>
      </c>
      <c r="F219" s="1860">
        <v>0.14799999999999999</v>
      </c>
    </row>
    <row r="220" spans="1:6" ht="14.25" thickBot="1">
      <c r="A220" s="1854" t="s">
        <v>1415</v>
      </c>
      <c r="B220" s="1858" t="s">
        <v>2162</v>
      </c>
      <c r="C220" s="1859">
        <v>0.15</v>
      </c>
      <c r="D220" s="1859">
        <v>0.15</v>
      </c>
      <c r="E220" s="1859">
        <v>0.15</v>
      </c>
      <c r="F220" s="1860">
        <v>0.15</v>
      </c>
    </row>
    <row r="221" spans="1:6" ht="14.25" thickBot="1">
      <c r="A221" s="1854" t="s">
        <v>1415</v>
      </c>
      <c r="B221" s="1858" t="s">
        <v>1235</v>
      </c>
      <c r="C221" s="1859"/>
      <c r="D221" s="1868"/>
      <c r="E221" s="1868"/>
      <c r="F221" s="1860">
        <v>0.14799999999999999</v>
      </c>
    </row>
    <row r="222" spans="1:6" ht="14.25" thickBot="1">
      <c r="A222" s="1854" t="s">
        <v>1415</v>
      </c>
      <c r="B222" s="1858" t="s">
        <v>1245</v>
      </c>
      <c r="C222" s="1859"/>
      <c r="D222" s="1868"/>
      <c r="E222" s="1868"/>
      <c r="F222" s="1860">
        <v>0.1</v>
      </c>
    </row>
    <row r="223" spans="1:6" ht="14.25" thickBot="1">
      <c r="A223" s="1854" t="s">
        <v>1415</v>
      </c>
      <c r="B223" s="1858" t="s">
        <v>1255</v>
      </c>
      <c r="C223" s="1859"/>
      <c r="D223" s="1868"/>
      <c r="E223" s="1868"/>
      <c r="F223" s="1860">
        <v>0.15</v>
      </c>
    </row>
    <row r="224" spans="1:6" ht="14.25" thickBot="1">
      <c r="A224" s="1854" t="s">
        <v>1415</v>
      </c>
      <c r="B224" s="1858" t="s">
        <v>1265</v>
      </c>
      <c r="C224" s="1859"/>
      <c r="D224" s="1868"/>
      <c r="E224" s="1868"/>
      <c r="F224" s="1860">
        <v>0.15</v>
      </c>
    </row>
    <row r="225" spans="1:6" ht="14.25" thickBot="1">
      <c r="A225" s="1854" t="s">
        <v>1415</v>
      </c>
      <c r="B225" s="1858" t="s">
        <v>2163</v>
      </c>
      <c r="C225" s="1859">
        <v>0.15</v>
      </c>
      <c r="D225" s="1859">
        <v>0.15</v>
      </c>
      <c r="E225" s="1859">
        <v>0.15</v>
      </c>
      <c r="F225" s="1860">
        <v>0.15</v>
      </c>
    </row>
    <row r="226" spans="1:6" ht="14.25" thickBot="1">
      <c r="A226" s="1854" t="s">
        <v>1415</v>
      </c>
      <c r="B226" s="1858" t="s">
        <v>1283</v>
      </c>
      <c r="C226" s="1859">
        <v>0.15</v>
      </c>
      <c r="D226" s="1859">
        <v>0.15</v>
      </c>
      <c r="E226" s="1859">
        <v>0.15</v>
      </c>
      <c r="F226" s="1860">
        <v>0.14799999999999999</v>
      </c>
    </row>
    <row r="227" spans="1:6" ht="14.25" thickBot="1">
      <c r="A227" s="1854" t="s">
        <v>1415</v>
      </c>
      <c r="B227" s="1858" t="s">
        <v>2164</v>
      </c>
      <c r="C227" s="1859">
        <v>0.15</v>
      </c>
      <c r="D227" s="1859">
        <v>0.15</v>
      </c>
      <c r="E227" s="1859">
        <v>0.15</v>
      </c>
      <c r="F227" s="1860">
        <v>0.15</v>
      </c>
    </row>
    <row r="228" spans="1:6" ht="14.25" thickBot="1">
      <c r="A228" s="1854" t="s">
        <v>1415</v>
      </c>
      <c r="B228" s="1858" t="s">
        <v>1298</v>
      </c>
      <c r="C228" s="1859">
        <v>0.15</v>
      </c>
      <c r="D228" s="1859">
        <v>0.15</v>
      </c>
      <c r="E228" s="1859">
        <v>0.15</v>
      </c>
      <c r="F228" s="1860">
        <v>0.15</v>
      </c>
    </row>
    <row r="229" spans="1:6" ht="14.25" thickBot="1">
      <c r="A229" s="1854" t="s">
        <v>1415</v>
      </c>
      <c r="B229" s="1858" t="s">
        <v>1305</v>
      </c>
      <c r="C229" s="1859">
        <v>0.15</v>
      </c>
      <c r="D229" s="1859">
        <v>0.15</v>
      </c>
      <c r="E229" s="1859">
        <v>0.15</v>
      </c>
      <c r="F229" s="1867"/>
    </row>
    <row r="230" spans="1:6" ht="14.25" thickBot="1">
      <c r="A230" s="1854" t="s">
        <v>1415</v>
      </c>
      <c r="B230" s="1858" t="s">
        <v>1312</v>
      </c>
      <c r="C230" s="1859">
        <v>0.14499999999999999</v>
      </c>
      <c r="D230" s="1859">
        <v>0.14499999999999999</v>
      </c>
      <c r="E230" s="1859">
        <v>0.14399999999999999</v>
      </c>
      <c r="F230" s="1867"/>
    </row>
    <row r="231" spans="1:6" ht="14.25" thickBot="1">
      <c r="A231" s="1854" t="s">
        <v>1415</v>
      </c>
      <c r="B231" s="1858" t="s">
        <v>2165</v>
      </c>
      <c r="C231" s="1859">
        <v>0.128</v>
      </c>
      <c r="D231" s="1859">
        <v>0.125</v>
      </c>
      <c r="E231" s="1859">
        <v>0.13200000000000001</v>
      </c>
      <c r="F231" s="1867"/>
    </row>
    <row r="232" spans="1:6" ht="14.25" thickBot="1">
      <c r="A232" s="1854" t="s">
        <v>1415</v>
      </c>
      <c r="B232" s="1858" t="s">
        <v>2166</v>
      </c>
      <c r="C232" s="1859">
        <v>0.14499999999999999</v>
      </c>
      <c r="D232" s="1859">
        <v>0.14399999999999999</v>
      </c>
      <c r="E232" s="1859">
        <v>0.14599999999999999</v>
      </c>
      <c r="F232" s="1860">
        <v>0.13800000000000001</v>
      </c>
    </row>
    <row r="233" spans="1:6" ht="14.25" thickBot="1">
      <c r="A233" s="1854" t="s">
        <v>1415</v>
      </c>
      <c r="B233" s="1858" t="s">
        <v>2167</v>
      </c>
      <c r="C233" s="1859">
        <v>0.14499999999999999</v>
      </c>
      <c r="D233" s="1859">
        <v>0.14299999999999999</v>
      </c>
      <c r="E233" s="1859">
        <v>0.14199999999999999</v>
      </c>
      <c r="F233" s="1867"/>
    </row>
    <row r="234" spans="1:6" ht="14.25" thickBot="1">
      <c r="A234" s="1854" t="s">
        <v>1415</v>
      </c>
      <c r="B234" s="1858" t="s">
        <v>2168</v>
      </c>
      <c r="C234" s="1859">
        <v>0.14000000000000001</v>
      </c>
      <c r="D234" s="1859">
        <v>0.14000000000000001</v>
      </c>
      <c r="E234" s="1859">
        <v>0.14399999999999999</v>
      </c>
      <c r="F234" s="1867"/>
    </row>
    <row r="235" spans="1:6" ht="14.25" thickBot="1">
      <c r="A235" s="1854" t="s">
        <v>1415</v>
      </c>
      <c r="B235" s="1858" t="s">
        <v>2169</v>
      </c>
      <c r="C235" s="1859">
        <v>0.14099999999999999</v>
      </c>
      <c r="D235" s="1859">
        <v>0.14199999999999999</v>
      </c>
      <c r="E235" s="1859">
        <v>0.14499999999999999</v>
      </c>
      <c r="F235" s="1860">
        <v>0.15</v>
      </c>
    </row>
    <row r="236" spans="1:6" ht="14.25" thickBot="1">
      <c r="A236" s="1854" t="s">
        <v>1415</v>
      </c>
      <c r="B236" s="1858" t="s">
        <v>1347</v>
      </c>
      <c r="C236" s="1868"/>
      <c r="D236" s="1868"/>
      <c r="E236" s="1868"/>
      <c r="F236" s="1860">
        <v>0.14299999999999999</v>
      </c>
    </row>
    <row r="237" spans="1:6" ht="24.75" thickBot="1">
      <c r="A237" s="1854" t="s">
        <v>1415</v>
      </c>
      <c r="B237" s="1858" t="s">
        <v>2170</v>
      </c>
      <c r="C237" s="1868"/>
      <c r="D237" s="1868"/>
      <c r="E237" s="1868"/>
      <c r="F237" s="1860">
        <v>0.05</v>
      </c>
    </row>
    <row r="238" spans="1:6" ht="24.75" thickBot="1">
      <c r="A238" s="1854" t="s">
        <v>1415</v>
      </c>
      <c r="B238" s="1858" t="s">
        <v>2171</v>
      </c>
      <c r="C238" s="1868"/>
      <c r="D238" s="1868"/>
      <c r="E238" s="1868"/>
      <c r="F238" s="1860">
        <v>0.05</v>
      </c>
    </row>
    <row r="239" spans="1:6" ht="24.75" thickBot="1">
      <c r="A239" s="1854" t="s">
        <v>1415</v>
      </c>
      <c r="B239" s="1858" t="s">
        <v>2172</v>
      </c>
      <c r="C239" s="1868"/>
      <c r="D239" s="1868"/>
      <c r="E239" s="1868"/>
      <c r="F239" s="1860">
        <v>0.05</v>
      </c>
    </row>
    <row r="240" spans="1:6" ht="24.75" thickBot="1">
      <c r="A240" s="1854" t="s">
        <v>1415</v>
      </c>
      <c r="B240" s="1858" t="s">
        <v>2173</v>
      </c>
      <c r="C240" s="1868"/>
      <c r="D240" s="1868"/>
      <c r="E240" s="1868"/>
      <c r="F240" s="1860">
        <v>0.05</v>
      </c>
    </row>
    <row r="241" spans="1:6" ht="24.75" thickBot="1">
      <c r="A241" s="1854" t="s">
        <v>1415</v>
      </c>
      <c r="B241" s="1858" t="s">
        <v>2174</v>
      </c>
      <c r="C241" s="1868"/>
      <c r="D241" s="1868"/>
      <c r="E241" s="1868"/>
      <c r="F241" s="1860">
        <v>0.05</v>
      </c>
    </row>
    <row r="242" spans="1:6" ht="24.75" thickBot="1">
      <c r="A242" s="1854" t="s">
        <v>1415</v>
      </c>
      <c r="B242" s="1858" t="s">
        <v>2175</v>
      </c>
      <c r="C242" s="1868"/>
      <c r="D242" s="1868"/>
      <c r="E242" s="1868"/>
      <c r="F242" s="1860">
        <v>0.05</v>
      </c>
    </row>
    <row r="243" spans="1:6" ht="24.75" thickBot="1">
      <c r="A243" s="1854" t="s">
        <v>1415</v>
      </c>
      <c r="B243" s="1858" t="s">
        <v>2176</v>
      </c>
      <c r="C243" s="1868"/>
      <c r="D243" s="1868"/>
      <c r="E243" s="1868"/>
      <c r="F243" s="1860">
        <v>0.05</v>
      </c>
    </row>
    <row r="244" spans="1:6" ht="24.75" thickBot="1">
      <c r="A244" s="1862" t="s">
        <v>1415</v>
      </c>
      <c r="B244" s="1869" t="s">
        <v>2177</v>
      </c>
      <c r="C244" s="1865"/>
      <c r="D244" s="1865"/>
      <c r="E244" s="1865"/>
      <c r="F244" s="1870">
        <v>0.05</v>
      </c>
    </row>
    <row r="245" spans="1:6" ht="14.25" thickBot="1">
      <c r="A245" s="1854" t="s">
        <v>1417</v>
      </c>
      <c r="B245" s="1855" t="s">
        <v>2178</v>
      </c>
      <c r="C245" s="1856">
        <v>0.15</v>
      </c>
      <c r="D245" s="1856">
        <v>0.15</v>
      </c>
      <c r="E245" s="1856">
        <v>0.15</v>
      </c>
      <c r="F245" s="1857">
        <v>0.14299999999999999</v>
      </c>
    </row>
    <row r="246" spans="1:6" ht="14.25" thickBot="1">
      <c r="A246" s="1854" t="s">
        <v>1417</v>
      </c>
      <c r="B246" s="1858" t="s">
        <v>1080</v>
      </c>
      <c r="C246" s="1859">
        <v>0.15</v>
      </c>
      <c r="D246" s="1859">
        <v>0.15</v>
      </c>
      <c r="E246" s="1859">
        <v>0.15</v>
      </c>
      <c r="F246" s="1860">
        <v>0.114</v>
      </c>
    </row>
    <row r="247" spans="1:6" ht="14.25" thickBot="1">
      <c r="A247" s="1854" t="s">
        <v>1417</v>
      </c>
      <c r="B247" s="1858" t="s">
        <v>2179</v>
      </c>
      <c r="C247" s="1859">
        <v>0.15</v>
      </c>
      <c r="D247" s="1859">
        <v>0.15</v>
      </c>
      <c r="E247" s="1859">
        <v>0.15</v>
      </c>
      <c r="F247" s="1860">
        <v>0.15</v>
      </c>
    </row>
    <row r="248" spans="1:6" ht="14.25" thickBot="1">
      <c r="A248" s="1854" t="s">
        <v>1417</v>
      </c>
      <c r="B248" s="1858" t="s">
        <v>2180</v>
      </c>
      <c r="C248" s="1859">
        <v>0.15</v>
      </c>
      <c r="D248" s="1859">
        <v>0.15</v>
      </c>
      <c r="E248" s="1859">
        <v>0.15</v>
      </c>
      <c r="F248" s="1860">
        <v>0.14000000000000001</v>
      </c>
    </row>
    <row r="249" spans="1:6" ht="14.25" thickBot="1">
      <c r="A249" s="1854" t="s">
        <v>1417</v>
      </c>
      <c r="B249" s="1858" t="s">
        <v>2181</v>
      </c>
      <c r="C249" s="1859">
        <v>0.15</v>
      </c>
      <c r="D249" s="1859">
        <v>0.14899999999999999</v>
      </c>
      <c r="E249" s="1859">
        <v>0.15</v>
      </c>
      <c r="F249" s="1860">
        <v>0.1</v>
      </c>
    </row>
    <row r="250" spans="1:6" ht="14.25" thickBot="1">
      <c r="A250" s="1854" t="s">
        <v>1417</v>
      </c>
      <c r="B250" s="1858" t="s">
        <v>2182</v>
      </c>
      <c r="C250" s="1859">
        <v>0.15</v>
      </c>
      <c r="D250" s="1859">
        <v>0.15</v>
      </c>
      <c r="E250" s="1859">
        <v>0.15</v>
      </c>
      <c r="F250" s="1860">
        <v>0.14399999999999999</v>
      </c>
    </row>
    <row r="251" spans="1:6" ht="14.25" thickBot="1">
      <c r="A251" s="1854" t="s">
        <v>1417</v>
      </c>
      <c r="B251" s="1858" t="s">
        <v>1143</v>
      </c>
      <c r="C251" s="1859">
        <v>0.15</v>
      </c>
      <c r="D251" s="1859">
        <v>0.15</v>
      </c>
      <c r="E251" s="1859">
        <v>0.15</v>
      </c>
      <c r="F251" s="1860">
        <v>0.14299999999999999</v>
      </c>
    </row>
    <row r="252" spans="1:6" ht="14.25" thickBot="1">
      <c r="A252" s="1854" t="s">
        <v>1417</v>
      </c>
      <c r="B252" s="1858" t="s">
        <v>1154</v>
      </c>
      <c r="C252" s="1859">
        <v>0.15</v>
      </c>
      <c r="D252" s="1859">
        <v>0.15</v>
      </c>
      <c r="E252" s="1859">
        <v>0.15</v>
      </c>
      <c r="F252" s="1860">
        <v>0.1</v>
      </c>
    </row>
    <row r="253" spans="1:6" ht="14.25" thickBot="1">
      <c r="A253" s="1854" t="s">
        <v>1417</v>
      </c>
      <c r="B253" s="1858" t="s">
        <v>1166</v>
      </c>
      <c r="C253" s="1859">
        <v>0.15</v>
      </c>
      <c r="D253" s="1859">
        <v>0.15</v>
      </c>
      <c r="E253" s="1859">
        <v>0.15</v>
      </c>
      <c r="F253" s="1860">
        <v>0.1</v>
      </c>
    </row>
    <row r="254" spans="1:6" ht="14.25" thickBot="1">
      <c r="A254" s="1854" t="s">
        <v>1417</v>
      </c>
      <c r="B254" s="1858" t="s">
        <v>1176</v>
      </c>
      <c r="C254" s="1868"/>
      <c r="D254" s="1868"/>
      <c r="E254" s="1868"/>
      <c r="F254" s="1860">
        <v>0.15</v>
      </c>
    </row>
    <row r="255" spans="1:6" ht="14.25" thickBot="1">
      <c r="A255" s="1854" t="s">
        <v>1417</v>
      </c>
      <c r="B255" s="1858" t="s">
        <v>1186</v>
      </c>
      <c r="C255" s="1868"/>
      <c r="D255" s="1868"/>
      <c r="E255" s="1868"/>
      <c r="F255" s="1860">
        <v>0.14299999999999999</v>
      </c>
    </row>
    <row r="256" spans="1:6" ht="14.25" thickBot="1">
      <c r="A256" s="1854" t="s">
        <v>1417</v>
      </c>
      <c r="B256" s="1858" t="s">
        <v>2183</v>
      </c>
      <c r="C256" s="1859">
        <v>0.14599999999999999</v>
      </c>
      <c r="D256" s="1859">
        <v>0.14699999999999999</v>
      </c>
      <c r="E256" s="1859">
        <v>0.15</v>
      </c>
      <c r="F256" s="1860">
        <v>0.13200000000000001</v>
      </c>
    </row>
    <row r="257" spans="1:6" ht="14.25" thickBot="1">
      <c r="A257" s="1854" t="s">
        <v>1417</v>
      </c>
      <c r="B257" s="1858" t="s">
        <v>1206</v>
      </c>
      <c r="C257" s="1859">
        <v>0.15</v>
      </c>
      <c r="D257" s="1859">
        <v>0.15</v>
      </c>
      <c r="E257" s="1859">
        <v>0.15</v>
      </c>
      <c r="F257" s="1860">
        <v>0.13900000000000001</v>
      </c>
    </row>
    <row r="258" spans="1:6" ht="14.25" thickBot="1">
      <c r="A258" s="1854" t="s">
        <v>1417</v>
      </c>
      <c r="B258" s="1858" t="s">
        <v>1216</v>
      </c>
      <c r="C258" s="1859">
        <v>0.15</v>
      </c>
      <c r="D258" s="1859">
        <v>0.15</v>
      </c>
      <c r="E258" s="1859">
        <v>0.15</v>
      </c>
      <c r="F258" s="1860">
        <v>0.13</v>
      </c>
    </row>
    <row r="259" spans="1:6" ht="14.25" thickBot="1">
      <c r="A259" s="1854" t="s">
        <v>1417</v>
      </c>
      <c r="B259" s="1858" t="s">
        <v>2184</v>
      </c>
      <c r="C259" s="1859">
        <v>0.14799999999999999</v>
      </c>
      <c r="D259" s="1859">
        <v>0.14899999999999999</v>
      </c>
      <c r="E259" s="1859">
        <v>0.15</v>
      </c>
      <c r="F259" s="1860">
        <v>0.13700000000000001</v>
      </c>
    </row>
    <row r="260" spans="1:6" ht="14.25" thickBot="1">
      <c r="A260" s="1854" t="s">
        <v>1417</v>
      </c>
      <c r="B260" s="1858" t="s">
        <v>1236</v>
      </c>
      <c r="C260" s="1859">
        <v>0.15</v>
      </c>
      <c r="D260" s="1859">
        <v>0.15</v>
      </c>
      <c r="E260" s="1859">
        <v>0.15</v>
      </c>
      <c r="F260" s="1860">
        <v>0.14199999999999999</v>
      </c>
    </row>
    <row r="261" spans="1:6" ht="14.25" thickBot="1">
      <c r="A261" s="1854" t="s">
        <v>1417</v>
      </c>
      <c r="B261" s="1858" t="s">
        <v>1246</v>
      </c>
      <c r="C261" s="1859">
        <v>0.15</v>
      </c>
      <c r="D261" s="1859">
        <v>0.15</v>
      </c>
      <c r="E261" s="1859">
        <v>0.14899999999999999</v>
      </c>
      <c r="F261" s="1860">
        <v>0.14799999999999999</v>
      </c>
    </row>
    <row r="262" spans="1:6" ht="14.25" thickBot="1">
      <c r="A262" s="1854" t="s">
        <v>1417</v>
      </c>
      <c r="B262" s="1858" t="s">
        <v>1256</v>
      </c>
      <c r="C262" s="1859">
        <v>0.15</v>
      </c>
      <c r="D262" s="1859">
        <v>0.15</v>
      </c>
      <c r="E262" s="1859">
        <v>0.15</v>
      </c>
      <c r="F262" s="1867"/>
    </row>
    <row r="263" spans="1:6" ht="14.25" thickBot="1">
      <c r="A263" s="1854" t="s">
        <v>1417</v>
      </c>
      <c r="B263" s="1858" t="s">
        <v>2185</v>
      </c>
      <c r="C263" s="1859">
        <v>0.14899999999999999</v>
      </c>
      <c r="D263" s="1859">
        <v>0.14899999999999999</v>
      </c>
      <c r="E263" s="1859">
        <v>0.15</v>
      </c>
      <c r="F263" s="1860">
        <v>0.13</v>
      </c>
    </row>
    <row r="264" spans="1:6" ht="14.25" thickBot="1">
      <c r="A264" s="1854" t="s">
        <v>1417</v>
      </c>
      <c r="B264" s="1858" t="s">
        <v>1275</v>
      </c>
      <c r="C264" s="1859">
        <v>0.14799999999999999</v>
      </c>
      <c r="D264" s="1859">
        <v>0.14699999999999999</v>
      </c>
      <c r="E264" s="1859">
        <v>0.15</v>
      </c>
      <c r="F264" s="1860">
        <v>7.8E-2</v>
      </c>
    </row>
    <row r="265" spans="1:6" ht="14.25" thickBot="1">
      <c r="A265" s="1854" t="s">
        <v>1417</v>
      </c>
      <c r="B265" s="1858" t="s">
        <v>1284</v>
      </c>
      <c r="C265" s="1859">
        <v>0.15</v>
      </c>
      <c r="D265" s="1859">
        <v>0.15</v>
      </c>
      <c r="E265" s="1859">
        <v>0.15</v>
      </c>
      <c r="F265" s="1860">
        <v>7.3999999999999996E-2</v>
      </c>
    </row>
    <row r="266" spans="1:6" ht="14.25" thickBot="1">
      <c r="A266" s="1854" t="s">
        <v>1417</v>
      </c>
      <c r="B266" s="1858" t="s">
        <v>1292</v>
      </c>
      <c r="C266" s="1859">
        <v>0.14699999999999999</v>
      </c>
      <c r="D266" s="1859">
        <v>0.14699999999999999</v>
      </c>
      <c r="E266" s="1859">
        <v>0.15</v>
      </c>
      <c r="F266" s="1860">
        <v>0.14299999999999999</v>
      </c>
    </row>
    <row r="267" spans="1:6" ht="14.25" thickBot="1">
      <c r="A267" s="1854" t="s">
        <v>1417</v>
      </c>
      <c r="B267" s="1858" t="s">
        <v>1299</v>
      </c>
      <c r="C267" s="1859">
        <v>0.14199999999999999</v>
      </c>
      <c r="D267" s="1859">
        <v>0.14299999999999999</v>
      </c>
      <c r="E267" s="1859">
        <v>0.15</v>
      </c>
      <c r="F267" s="1867"/>
    </row>
    <row r="268" spans="1:6" ht="14.25" thickBot="1">
      <c r="A268" s="1854" t="s">
        <v>1417</v>
      </c>
      <c r="B268" s="1858" t="s">
        <v>2186</v>
      </c>
      <c r="C268" s="1859">
        <v>0.15</v>
      </c>
      <c r="D268" s="1859">
        <v>0.15</v>
      </c>
      <c r="E268" s="1859">
        <v>0.15</v>
      </c>
      <c r="F268" s="1860">
        <v>0.13</v>
      </c>
    </row>
    <row r="269" spans="1:6" ht="14.25" thickBot="1">
      <c r="A269" s="1854" t="s">
        <v>1417</v>
      </c>
      <c r="B269" s="1858" t="s">
        <v>1313</v>
      </c>
      <c r="C269" s="1859">
        <v>0.15</v>
      </c>
      <c r="D269" s="1859">
        <v>0.15</v>
      </c>
      <c r="E269" s="1859">
        <v>0.15</v>
      </c>
      <c r="F269" s="1860">
        <v>0.14299999999999999</v>
      </c>
    </row>
    <row r="270" spans="1:6" ht="14.25" thickBot="1">
      <c r="A270" s="1854" t="s">
        <v>1417</v>
      </c>
      <c r="B270" s="1858" t="s">
        <v>1320</v>
      </c>
      <c r="C270" s="1859">
        <v>0.14499999999999999</v>
      </c>
      <c r="D270" s="1859">
        <v>0.14499999999999999</v>
      </c>
      <c r="E270" s="1859">
        <v>0.15</v>
      </c>
      <c r="F270" s="1860">
        <v>0.14699999999999999</v>
      </c>
    </row>
    <row r="271" spans="1:6" ht="14.25" thickBot="1">
      <c r="A271" s="1854" t="s">
        <v>1417</v>
      </c>
      <c r="B271" s="1858" t="s">
        <v>1327</v>
      </c>
      <c r="C271" s="1859">
        <v>0.15</v>
      </c>
      <c r="D271" s="1859">
        <v>0.15</v>
      </c>
      <c r="E271" s="1859">
        <v>0.15</v>
      </c>
      <c r="F271" s="1860">
        <v>0.13800000000000001</v>
      </c>
    </row>
    <row r="272" spans="1:6" ht="14.25" thickBot="1">
      <c r="A272" s="1854" t="s">
        <v>1417</v>
      </c>
      <c r="B272" s="1858" t="s">
        <v>1334</v>
      </c>
      <c r="C272" s="1868"/>
      <c r="D272" s="1868"/>
      <c r="E272" s="1868"/>
      <c r="F272" s="1860">
        <v>0.14000000000000001</v>
      </c>
    </row>
    <row r="273" spans="1:6" ht="14.25" thickBot="1">
      <c r="A273" s="1854" t="s">
        <v>1417</v>
      </c>
      <c r="B273" s="1858" t="s">
        <v>2187</v>
      </c>
      <c r="C273" s="1859">
        <v>0.14199999999999999</v>
      </c>
      <c r="D273" s="1859">
        <v>0.14299999999999999</v>
      </c>
      <c r="E273" s="1859">
        <v>0.15</v>
      </c>
      <c r="F273" s="1860">
        <v>0.1</v>
      </c>
    </row>
    <row r="274" spans="1:6" ht="14.25" thickBot="1">
      <c r="A274" s="1854" t="s">
        <v>1417</v>
      </c>
      <c r="B274" s="1858" t="s">
        <v>2188</v>
      </c>
      <c r="C274" s="1859">
        <v>0.14799999999999999</v>
      </c>
      <c r="D274" s="1859">
        <v>0.14799999999999999</v>
      </c>
      <c r="E274" s="1859">
        <v>0.15</v>
      </c>
      <c r="F274" s="1860">
        <v>6.7000000000000004E-2</v>
      </c>
    </row>
    <row r="275" spans="1:6" ht="14.25" thickBot="1">
      <c r="A275" s="1854" t="s">
        <v>1417</v>
      </c>
      <c r="B275" s="1858" t="s">
        <v>2189</v>
      </c>
      <c r="C275" s="1859">
        <v>0.15</v>
      </c>
      <c r="D275" s="1859">
        <v>0.15</v>
      </c>
      <c r="E275" s="1859">
        <v>0.15</v>
      </c>
      <c r="F275" s="1860">
        <v>0.15</v>
      </c>
    </row>
    <row r="276" spans="1:6" ht="14.25" thickBot="1">
      <c r="A276" s="1854" t="s">
        <v>1417</v>
      </c>
      <c r="B276" s="1858" t="s">
        <v>2190</v>
      </c>
      <c r="C276" s="1859">
        <v>0.14499999999999999</v>
      </c>
      <c r="D276" s="1859">
        <v>0.14299999999999999</v>
      </c>
      <c r="E276" s="1859">
        <v>0.15</v>
      </c>
      <c r="F276" s="1860">
        <v>5.8999999999999997E-2</v>
      </c>
    </row>
    <row r="277" spans="1:6" ht="14.25" thickBot="1">
      <c r="A277" s="1854" t="s">
        <v>1417</v>
      </c>
      <c r="B277" s="1858" t="s">
        <v>2191</v>
      </c>
      <c r="C277" s="1859">
        <v>0.15</v>
      </c>
      <c r="D277" s="1859">
        <v>0.15</v>
      </c>
      <c r="E277" s="1859">
        <v>0.15</v>
      </c>
      <c r="F277" s="1860">
        <v>0.121</v>
      </c>
    </row>
    <row r="278" spans="1:6" ht="14.25" thickBot="1">
      <c r="A278" s="1854" t="s">
        <v>1417</v>
      </c>
      <c r="B278" s="1858" t="s">
        <v>2192</v>
      </c>
      <c r="C278" s="1859">
        <v>0.15</v>
      </c>
      <c r="D278" s="1859">
        <v>0.15</v>
      </c>
      <c r="E278" s="1859">
        <v>0.15</v>
      </c>
      <c r="F278" s="1860">
        <v>0.13800000000000001</v>
      </c>
    </row>
    <row r="279" spans="1:6" ht="24.75" thickBot="1">
      <c r="A279" s="1854" t="s">
        <v>1417</v>
      </c>
      <c r="B279" s="1858" t="s">
        <v>2193</v>
      </c>
      <c r="C279" s="1868"/>
      <c r="D279" s="1868"/>
      <c r="E279" s="1868"/>
      <c r="F279" s="1860">
        <v>0.05</v>
      </c>
    </row>
    <row r="280" spans="1:6" ht="24.75" thickBot="1">
      <c r="A280" s="1854" t="s">
        <v>1417</v>
      </c>
      <c r="B280" s="1858" t="s">
        <v>2194</v>
      </c>
      <c r="C280" s="1868"/>
      <c r="D280" s="1868"/>
      <c r="E280" s="1868"/>
      <c r="F280" s="1860">
        <v>0.05</v>
      </c>
    </row>
    <row r="281" spans="1:6" ht="24.75" thickBot="1">
      <c r="A281" s="1854" t="s">
        <v>1417</v>
      </c>
      <c r="B281" s="1858" t="s">
        <v>2195</v>
      </c>
      <c r="C281" s="1868"/>
      <c r="D281" s="1868"/>
      <c r="E281" s="1868"/>
      <c r="F281" s="1860">
        <v>0.05</v>
      </c>
    </row>
    <row r="282" spans="1:6" ht="24.75" thickBot="1">
      <c r="A282" s="1854" t="s">
        <v>1417</v>
      </c>
      <c r="B282" s="1858" t="s">
        <v>2196</v>
      </c>
      <c r="C282" s="1868"/>
      <c r="D282" s="1868"/>
      <c r="E282" s="1868"/>
      <c r="F282" s="1860">
        <v>0.05</v>
      </c>
    </row>
    <row r="283" spans="1:6" ht="24.75" thickBot="1">
      <c r="A283" s="1854" t="s">
        <v>1417</v>
      </c>
      <c r="B283" s="1858" t="s">
        <v>2197</v>
      </c>
      <c r="C283" s="1868"/>
      <c r="D283" s="1868"/>
      <c r="E283" s="1868"/>
      <c r="F283" s="1860">
        <v>0.05</v>
      </c>
    </row>
    <row r="284" spans="1:6" ht="24.75" thickBot="1">
      <c r="A284" s="1854" t="s">
        <v>1417</v>
      </c>
      <c r="B284" s="1858" t="s">
        <v>2198</v>
      </c>
      <c r="C284" s="1868"/>
      <c r="D284" s="1868"/>
      <c r="E284" s="1868"/>
      <c r="F284" s="1860">
        <v>0.05</v>
      </c>
    </row>
    <row r="285" spans="1:6" ht="24.75" thickBot="1">
      <c r="A285" s="1854" t="s">
        <v>1417</v>
      </c>
      <c r="B285" s="1858" t="s">
        <v>2199</v>
      </c>
      <c r="C285" s="1868"/>
      <c r="D285" s="1868"/>
      <c r="E285" s="1868"/>
      <c r="F285" s="1860">
        <v>0.05</v>
      </c>
    </row>
    <row r="286" spans="1:6" ht="24.75" thickBot="1">
      <c r="A286" s="1854" t="s">
        <v>1417</v>
      </c>
      <c r="B286" s="1858" t="s">
        <v>2200</v>
      </c>
      <c r="C286" s="1868"/>
      <c r="D286" s="1868"/>
      <c r="E286" s="1868"/>
      <c r="F286" s="1860">
        <v>0.05</v>
      </c>
    </row>
    <row r="287" spans="1:6" ht="24.75" thickBot="1">
      <c r="A287" s="1854" t="s">
        <v>1417</v>
      </c>
      <c r="B287" s="1858" t="s">
        <v>2201</v>
      </c>
      <c r="C287" s="1868"/>
      <c r="D287" s="1868"/>
      <c r="E287" s="1868"/>
      <c r="F287" s="1860">
        <v>0.05</v>
      </c>
    </row>
    <row r="288" spans="1:6" ht="24.75" thickBot="1">
      <c r="A288" s="1854" t="s">
        <v>1417</v>
      </c>
      <c r="B288" s="1858" t="s">
        <v>2202</v>
      </c>
      <c r="C288" s="1868"/>
      <c r="D288" s="1868"/>
      <c r="E288" s="1868"/>
      <c r="F288" s="1860">
        <v>0.05</v>
      </c>
    </row>
    <row r="289" spans="1:6" ht="24.75" thickBot="1">
      <c r="A289" s="1862" t="s">
        <v>1417</v>
      </c>
      <c r="B289" s="1869" t="s">
        <v>2203</v>
      </c>
      <c r="C289" s="1865"/>
      <c r="D289" s="1865"/>
      <c r="E289" s="1865"/>
      <c r="F289" s="1870">
        <v>0.05</v>
      </c>
    </row>
    <row r="290" spans="1:6" ht="14.25" thickBot="1">
      <c r="A290" s="1854" t="s">
        <v>1421</v>
      </c>
      <c r="B290" s="1855" t="s">
        <v>2204</v>
      </c>
      <c r="C290" s="1856">
        <v>0.15</v>
      </c>
      <c r="D290" s="1856">
        <v>0.15</v>
      </c>
      <c r="E290" s="1856">
        <v>0.15</v>
      </c>
      <c r="F290" s="1878"/>
    </row>
    <row r="291" spans="1:6" ht="14.25" thickBot="1">
      <c r="A291" s="1854" t="s">
        <v>1421</v>
      </c>
      <c r="B291" s="1858" t="s">
        <v>1081</v>
      </c>
      <c r="C291" s="1859">
        <v>0.15</v>
      </c>
      <c r="D291" s="1859">
        <v>0.15</v>
      </c>
      <c r="E291" s="1859">
        <v>0.15</v>
      </c>
      <c r="F291" s="1867"/>
    </row>
    <row r="292" spans="1:6" ht="14.25" thickBot="1">
      <c r="A292" s="1854" t="s">
        <v>1421</v>
      </c>
      <c r="B292" s="1858" t="s">
        <v>2205</v>
      </c>
      <c r="C292" s="1859">
        <v>0.15</v>
      </c>
      <c r="D292" s="1859">
        <v>0.15</v>
      </c>
      <c r="E292" s="1859">
        <v>0.15</v>
      </c>
      <c r="F292" s="1860">
        <v>0.14699999999999999</v>
      </c>
    </row>
    <row r="293" spans="1:6" ht="14.25" thickBot="1">
      <c r="A293" s="1854" t="s">
        <v>1421</v>
      </c>
      <c r="B293" s="1858" t="s">
        <v>2206</v>
      </c>
      <c r="C293" s="1868"/>
      <c r="D293" s="1868"/>
      <c r="E293" s="1868"/>
      <c r="F293" s="1860">
        <v>0.1</v>
      </c>
    </row>
    <row r="294" spans="1:6" ht="14.25" thickBot="1">
      <c r="A294" s="1854" t="s">
        <v>1421</v>
      </c>
      <c r="B294" s="1858" t="s">
        <v>2207</v>
      </c>
      <c r="C294" s="1859">
        <v>0.15</v>
      </c>
      <c r="D294" s="1859">
        <v>0.15</v>
      </c>
      <c r="E294" s="1859">
        <v>0.15</v>
      </c>
      <c r="F294" s="1860">
        <v>0.15</v>
      </c>
    </row>
    <row r="295" spans="1:6" ht="14.25" thickBot="1">
      <c r="A295" s="1854" t="s">
        <v>1421</v>
      </c>
      <c r="B295" s="1858" t="s">
        <v>1122</v>
      </c>
      <c r="C295" s="1859">
        <v>0.15</v>
      </c>
      <c r="D295" s="1859">
        <v>0.15</v>
      </c>
      <c r="E295" s="1859">
        <v>0.15</v>
      </c>
      <c r="F295" s="1860">
        <v>0.15</v>
      </c>
    </row>
    <row r="296" spans="1:6" ht="14.25" thickBot="1">
      <c r="A296" s="1854" t="s">
        <v>1421</v>
      </c>
      <c r="B296" s="1858" t="s">
        <v>2208</v>
      </c>
      <c r="C296" s="1859">
        <v>0.15</v>
      </c>
      <c r="D296" s="1859">
        <v>0.15</v>
      </c>
      <c r="E296" s="1859">
        <v>0.15</v>
      </c>
      <c r="F296" s="1860">
        <v>0.15</v>
      </c>
    </row>
    <row r="297" spans="1:6" ht="14.25" thickBot="1">
      <c r="A297" s="1854" t="s">
        <v>1421</v>
      </c>
      <c r="B297" s="1858" t="s">
        <v>2209</v>
      </c>
      <c r="C297" s="1859">
        <v>0.14799999999999999</v>
      </c>
      <c r="D297" s="1859">
        <v>0.14899999999999999</v>
      </c>
      <c r="E297" s="1859">
        <v>0.15</v>
      </c>
      <c r="F297" s="1860">
        <v>0.13700000000000001</v>
      </c>
    </row>
    <row r="298" spans="1:6" ht="14.25" thickBot="1">
      <c r="A298" s="1854" t="s">
        <v>1421</v>
      </c>
      <c r="B298" s="1858" t="s">
        <v>1155</v>
      </c>
      <c r="C298" s="1859">
        <v>0.13400000000000001</v>
      </c>
      <c r="D298" s="1859">
        <v>0.13400000000000001</v>
      </c>
      <c r="E298" s="1859">
        <v>0.14499999999999999</v>
      </c>
      <c r="F298" s="1860">
        <v>0.14799999999999999</v>
      </c>
    </row>
    <row r="299" spans="1:6" ht="14.25" thickBot="1">
      <c r="A299" s="1854" t="s">
        <v>1421</v>
      </c>
      <c r="B299" s="1858" t="s">
        <v>1167</v>
      </c>
      <c r="C299" s="1859">
        <v>0.15</v>
      </c>
      <c r="D299" s="1859">
        <v>0.15</v>
      </c>
      <c r="E299" s="1859">
        <v>0.15</v>
      </c>
      <c r="F299" s="1867"/>
    </row>
    <row r="300" spans="1:6" ht="14.25" thickBot="1">
      <c r="A300" s="1854" t="s">
        <v>1421</v>
      </c>
      <c r="B300" s="1858" t="s">
        <v>2210</v>
      </c>
      <c r="C300" s="1859">
        <v>0.15</v>
      </c>
      <c r="D300" s="1859">
        <v>0.15</v>
      </c>
      <c r="E300" s="1859">
        <v>0.15</v>
      </c>
      <c r="F300" s="1860">
        <v>0.15</v>
      </c>
    </row>
    <row r="301" spans="1:6" ht="14.25" thickBot="1">
      <c r="A301" s="1854" t="s">
        <v>1421</v>
      </c>
      <c r="B301" s="1858" t="s">
        <v>1187</v>
      </c>
      <c r="C301" s="1859">
        <v>0.15</v>
      </c>
      <c r="D301" s="1859">
        <v>0.15</v>
      </c>
      <c r="E301" s="1859">
        <v>0.15</v>
      </c>
      <c r="F301" s="1867"/>
    </row>
    <row r="302" spans="1:6" ht="14.25" thickBot="1">
      <c r="A302" s="1854" t="s">
        <v>1421</v>
      </c>
      <c r="B302" s="1858" t="s">
        <v>2211</v>
      </c>
      <c r="C302" s="1859">
        <v>0.15</v>
      </c>
      <c r="D302" s="1859">
        <v>0.15</v>
      </c>
      <c r="E302" s="1859">
        <v>0.15</v>
      </c>
      <c r="F302" s="1860">
        <v>0.15</v>
      </c>
    </row>
    <row r="303" spans="1:6" ht="14.25" thickBot="1">
      <c r="A303" s="1854" t="s">
        <v>1421</v>
      </c>
      <c r="B303" s="1858" t="s">
        <v>1207</v>
      </c>
      <c r="C303" s="1859">
        <v>0.15</v>
      </c>
      <c r="D303" s="1859">
        <v>0.15</v>
      </c>
      <c r="E303" s="1859">
        <v>0.15</v>
      </c>
      <c r="F303" s="1860">
        <v>0.15</v>
      </c>
    </row>
    <row r="304" spans="1:6" ht="14.25" thickBot="1">
      <c r="A304" s="1854" t="s">
        <v>1421</v>
      </c>
      <c r="B304" s="1858" t="s">
        <v>1217</v>
      </c>
      <c r="C304" s="1859">
        <v>0.15</v>
      </c>
      <c r="D304" s="1859">
        <v>0.15</v>
      </c>
      <c r="E304" s="1859">
        <v>0.15</v>
      </c>
      <c r="F304" s="1867"/>
    </row>
    <row r="305" spans="1:6" ht="14.25" thickBot="1">
      <c r="A305" s="1854" t="s">
        <v>1421</v>
      </c>
      <c r="B305" s="1858" t="s">
        <v>2212</v>
      </c>
      <c r="C305" s="1859">
        <v>0.15</v>
      </c>
      <c r="D305" s="1859">
        <v>0.15</v>
      </c>
      <c r="E305" s="1859">
        <v>0.15</v>
      </c>
      <c r="F305" s="1860">
        <v>0.14000000000000001</v>
      </c>
    </row>
    <row r="306" spans="1:6" ht="14.25" thickBot="1">
      <c r="A306" s="1854" t="s">
        <v>1421</v>
      </c>
      <c r="B306" s="1858" t="s">
        <v>1237</v>
      </c>
      <c r="C306" s="1859">
        <v>0.15</v>
      </c>
      <c r="D306" s="1859">
        <v>0.15</v>
      </c>
      <c r="E306" s="1859">
        <v>0.15</v>
      </c>
      <c r="F306" s="1867"/>
    </row>
    <row r="307" spans="1:6" ht="14.25" thickBot="1">
      <c r="A307" s="1854" t="s">
        <v>1421</v>
      </c>
      <c r="B307" s="1858" t="s">
        <v>2213</v>
      </c>
      <c r="C307" s="1859">
        <v>0.15</v>
      </c>
      <c r="D307" s="1859">
        <v>0.15</v>
      </c>
      <c r="E307" s="1859">
        <v>0.15</v>
      </c>
      <c r="F307" s="1860">
        <v>0.14299999999999999</v>
      </c>
    </row>
    <row r="308" spans="1:6" ht="14.25" thickBot="1">
      <c r="A308" s="1854" t="s">
        <v>1421</v>
      </c>
      <c r="B308" s="1858" t="s">
        <v>1257</v>
      </c>
      <c r="C308" s="1859">
        <v>0.15</v>
      </c>
      <c r="D308" s="1859">
        <v>0.15</v>
      </c>
      <c r="E308" s="1859">
        <v>0.15</v>
      </c>
      <c r="F308" s="1860">
        <v>0.15</v>
      </c>
    </row>
    <row r="309" spans="1:6" ht="14.25" thickBot="1">
      <c r="A309" s="1854" t="s">
        <v>1421</v>
      </c>
      <c r="B309" s="1858" t="s">
        <v>1267</v>
      </c>
      <c r="C309" s="1859">
        <v>0.15</v>
      </c>
      <c r="D309" s="1859">
        <v>0.15</v>
      </c>
      <c r="E309" s="1859">
        <v>0.15</v>
      </c>
      <c r="F309" s="1867"/>
    </row>
    <row r="310" spans="1:6" ht="14.25" thickBot="1">
      <c r="A310" s="1854" t="s">
        <v>1421</v>
      </c>
      <c r="B310" s="1858" t="s">
        <v>2214</v>
      </c>
      <c r="C310" s="1859">
        <v>0.15</v>
      </c>
      <c r="D310" s="1859">
        <v>0.15</v>
      </c>
      <c r="E310" s="1859">
        <v>0.15</v>
      </c>
      <c r="F310" s="1860">
        <v>0.13700000000000001</v>
      </c>
    </row>
    <row r="311" spans="1:6" ht="14.25" thickBot="1">
      <c r="A311" s="1854" t="s">
        <v>1421</v>
      </c>
      <c r="B311" s="1858" t="s">
        <v>2215</v>
      </c>
      <c r="C311" s="1859">
        <v>0.15</v>
      </c>
      <c r="D311" s="1859">
        <v>0.15</v>
      </c>
      <c r="E311" s="1859">
        <v>0.15</v>
      </c>
      <c r="F311" s="1860">
        <v>0.15</v>
      </c>
    </row>
    <row r="312" spans="1:6" ht="14.25" thickBot="1">
      <c r="A312" s="1854" t="s">
        <v>1421</v>
      </c>
      <c r="B312" s="1858" t="s">
        <v>1293</v>
      </c>
      <c r="C312" s="1859">
        <v>0.15</v>
      </c>
      <c r="D312" s="1859">
        <v>0.15</v>
      </c>
      <c r="E312" s="1859">
        <v>0.15</v>
      </c>
      <c r="F312" s="1860">
        <v>0.1</v>
      </c>
    </row>
    <row r="313" spans="1:6" ht="14.25" thickBot="1">
      <c r="A313" s="1854" t="s">
        <v>1421</v>
      </c>
      <c r="B313" s="1858" t="s">
        <v>2216</v>
      </c>
      <c r="C313" s="1859">
        <v>0.15</v>
      </c>
      <c r="D313" s="1859">
        <v>0.15</v>
      </c>
      <c r="E313" s="1859">
        <v>0.15</v>
      </c>
      <c r="F313" s="1860">
        <v>0.15</v>
      </c>
    </row>
    <row r="314" spans="1:6" ht="24.75" thickBot="1">
      <c r="A314" s="1854" t="s">
        <v>1421</v>
      </c>
      <c r="B314" s="1858" t="s">
        <v>2217</v>
      </c>
      <c r="C314" s="1868"/>
      <c r="D314" s="1868"/>
      <c r="E314" s="1868"/>
      <c r="F314" s="1860">
        <v>0.05</v>
      </c>
    </row>
    <row r="315" spans="1:6" ht="24.75" thickBot="1">
      <c r="A315" s="1854" t="s">
        <v>1421</v>
      </c>
      <c r="B315" s="1858" t="s">
        <v>2218</v>
      </c>
      <c r="C315" s="1868"/>
      <c r="D315" s="1868"/>
      <c r="E315" s="1868"/>
      <c r="F315" s="1860">
        <v>0.05</v>
      </c>
    </row>
    <row r="316" spans="1:6" ht="24.75" thickBot="1">
      <c r="A316" s="1862" t="s">
        <v>1421</v>
      </c>
      <c r="B316" s="1869" t="s">
        <v>2219</v>
      </c>
      <c r="C316" s="1865"/>
      <c r="D316" s="1865"/>
      <c r="E316" s="1865"/>
      <c r="F316" s="1870">
        <v>0.05</v>
      </c>
    </row>
    <row r="317" spans="1:6" ht="14.25" thickBot="1">
      <c r="A317" s="1854" t="s">
        <v>2220</v>
      </c>
      <c r="B317" s="1855" t="s">
        <v>2221</v>
      </c>
      <c r="C317" s="1856">
        <v>0.15</v>
      </c>
      <c r="D317" s="1856">
        <v>0.15</v>
      </c>
      <c r="E317" s="1856">
        <v>0.15</v>
      </c>
      <c r="F317" s="1857">
        <v>0.15</v>
      </c>
    </row>
    <row r="318" spans="1:6" ht="14.25" thickBot="1">
      <c r="A318" s="1854" t="s">
        <v>2220</v>
      </c>
      <c r="B318" s="1858" t="s">
        <v>2222</v>
      </c>
      <c r="C318" s="1859">
        <v>0.107</v>
      </c>
      <c r="D318" s="1859">
        <v>0.11</v>
      </c>
      <c r="E318" s="1859">
        <v>0.112</v>
      </c>
      <c r="F318" s="1867"/>
    </row>
    <row r="319" spans="1:6" ht="14.25" thickBot="1">
      <c r="A319" s="1854" t="s">
        <v>2220</v>
      </c>
      <c r="B319" s="1858" t="s">
        <v>2223</v>
      </c>
      <c r="C319" s="1859">
        <v>0.15</v>
      </c>
      <c r="D319" s="1859">
        <v>0.15</v>
      </c>
      <c r="E319" s="1859">
        <v>0.15</v>
      </c>
      <c r="F319" s="1860">
        <v>0.15</v>
      </c>
    </row>
    <row r="320" spans="1:6" ht="14.25" thickBot="1">
      <c r="A320" s="1854" t="s">
        <v>2220</v>
      </c>
      <c r="B320" s="1858" t="s">
        <v>1109</v>
      </c>
      <c r="C320" s="1859">
        <v>0.15</v>
      </c>
      <c r="D320" s="1859">
        <v>0.15</v>
      </c>
      <c r="E320" s="1859">
        <v>0.15</v>
      </c>
      <c r="F320" s="1867"/>
    </row>
    <row r="321" spans="1:6" ht="14.25" thickBot="1">
      <c r="A321" s="1854" t="s">
        <v>2220</v>
      </c>
      <c r="B321" s="1858" t="s">
        <v>2224</v>
      </c>
      <c r="C321" s="1859">
        <v>0.15</v>
      </c>
      <c r="D321" s="1859">
        <v>0.15</v>
      </c>
      <c r="E321" s="1859">
        <v>0.15</v>
      </c>
      <c r="F321" s="1867"/>
    </row>
    <row r="322" spans="1:6" ht="14.25" thickBot="1">
      <c r="A322" s="1854" t="s">
        <v>2220</v>
      </c>
      <c r="B322" s="1858" t="s">
        <v>2225</v>
      </c>
      <c r="C322" s="1859">
        <v>0.15</v>
      </c>
      <c r="D322" s="1859">
        <v>0.15</v>
      </c>
      <c r="E322" s="1859">
        <v>0.15</v>
      </c>
      <c r="F322" s="1860">
        <v>0.15</v>
      </c>
    </row>
    <row r="323" spans="1:6" ht="14.25" thickBot="1">
      <c r="A323" s="1854" t="s">
        <v>2220</v>
      </c>
      <c r="B323" s="1858" t="s">
        <v>2226</v>
      </c>
      <c r="C323" s="1859">
        <v>0.15</v>
      </c>
      <c r="D323" s="1859">
        <v>0.15</v>
      </c>
      <c r="E323" s="1859">
        <v>0.15</v>
      </c>
      <c r="F323" s="1867"/>
    </row>
    <row r="324" spans="1:6" ht="14.25" thickBot="1">
      <c r="A324" s="1854" t="s">
        <v>2220</v>
      </c>
      <c r="B324" s="1858" t="s">
        <v>2227</v>
      </c>
      <c r="C324" s="1859">
        <v>0.15</v>
      </c>
      <c r="D324" s="1859">
        <v>0.15</v>
      </c>
      <c r="E324" s="1859">
        <v>0.15</v>
      </c>
      <c r="F324" s="1867"/>
    </row>
    <row r="325" spans="1:6" ht="14.25" thickBot="1">
      <c r="A325" s="1854" t="s">
        <v>2220</v>
      </c>
      <c r="B325" s="1858" t="s">
        <v>2228</v>
      </c>
      <c r="C325" s="1859">
        <v>0.15</v>
      </c>
      <c r="D325" s="1859">
        <v>0.15</v>
      </c>
      <c r="E325" s="1859">
        <v>0.15</v>
      </c>
      <c r="F325" s="1860">
        <v>0.14699999999999999</v>
      </c>
    </row>
    <row r="326" spans="1:6" ht="14.25" thickBot="1">
      <c r="A326" s="1854" t="s">
        <v>2220</v>
      </c>
      <c r="B326" s="1858" t="s">
        <v>1178</v>
      </c>
      <c r="C326" s="1859">
        <v>0.15</v>
      </c>
      <c r="D326" s="1859">
        <v>0.15</v>
      </c>
      <c r="E326" s="1859">
        <v>0.15</v>
      </c>
      <c r="F326" s="1867"/>
    </row>
    <row r="327" spans="1:6" ht="14.25" thickBot="1">
      <c r="A327" s="1854" t="s">
        <v>2220</v>
      </c>
      <c r="B327" s="1858" t="s">
        <v>2229</v>
      </c>
      <c r="C327" s="1859">
        <v>0.15</v>
      </c>
      <c r="D327" s="1859">
        <v>0.15</v>
      </c>
      <c r="E327" s="1859">
        <v>0.15</v>
      </c>
      <c r="F327" s="1860">
        <v>0.15</v>
      </c>
    </row>
    <row r="328" spans="1:6" ht="14.25" thickBot="1">
      <c r="A328" s="1854" t="s">
        <v>2220</v>
      </c>
      <c r="B328" s="1858" t="s">
        <v>1198</v>
      </c>
      <c r="C328" s="1859">
        <v>0.15</v>
      </c>
      <c r="D328" s="1859">
        <v>0.15</v>
      </c>
      <c r="E328" s="1859">
        <v>0.15</v>
      </c>
      <c r="F328" s="1860">
        <v>0.14099999999999999</v>
      </c>
    </row>
    <row r="329" spans="1:6" ht="14.25" thickBot="1">
      <c r="A329" s="1854" t="s">
        <v>2220</v>
      </c>
      <c r="B329" s="1858" t="s">
        <v>1208</v>
      </c>
      <c r="C329" s="1859">
        <v>0.15</v>
      </c>
      <c r="D329" s="1859">
        <v>0.15</v>
      </c>
      <c r="E329" s="1859">
        <v>0.15</v>
      </c>
      <c r="F329" s="1860">
        <v>0.15</v>
      </c>
    </row>
    <row r="330" spans="1:6" ht="14.25" thickBot="1">
      <c r="A330" s="1854" t="s">
        <v>2220</v>
      </c>
      <c r="B330" s="1858" t="s">
        <v>1218</v>
      </c>
      <c r="C330" s="1859">
        <v>0.15</v>
      </c>
      <c r="D330" s="1859">
        <v>0.15</v>
      </c>
      <c r="E330" s="1859">
        <v>0.15</v>
      </c>
      <c r="F330" s="1867"/>
    </row>
    <row r="331" spans="1:6" ht="14.25" thickBot="1">
      <c r="A331" s="1854" t="s">
        <v>2220</v>
      </c>
      <c r="B331" s="1858" t="s">
        <v>2230</v>
      </c>
      <c r="C331" s="1859">
        <v>0.15</v>
      </c>
      <c r="D331" s="1859">
        <v>0.15</v>
      </c>
      <c r="E331" s="1859">
        <v>0.15</v>
      </c>
      <c r="F331" s="1860">
        <v>0.15</v>
      </c>
    </row>
    <row r="332" spans="1:6" ht="14.25" thickBot="1">
      <c r="A332" s="1854" t="s">
        <v>2220</v>
      </c>
      <c r="B332" s="1858" t="s">
        <v>1238</v>
      </c>
      <c r="C332" s="1859">
        <v>0.15</v>
      </c>
      <c r="D332" s="1859">
        <v>0.15</v>
      </c>
      <c r="E332" s="1859">
        <v>0.15</v>
      </c>
      <c r="F332" s="1860">
        <v>0.15</v>
      </c>
    </row>
    <row r="333" spans="1:6" ht="14.25" thickBot="1">
      <c r="A333" s="1854" t="s">
        <v>2220</v>
      </c>
      <c r="B333" s="1858" t="s">
        <v>2231</v>
      </c>
      <c r="C333" s="1859">
        <v>0.15</v>
      </c>
      <c r="D333" s="1859">
        <v>0.15</v>
      </c>
      <c r="E333" s="1859">
        <v>0.15</v>
      </c>
      <c r="F333" s="1860">
        <v>0.14099999999999999</v>
      </c>
    </row>
    <row r="334" spans="1:6" ht="14.25" thickBot="1">
      <c r="A334" s="1854" t="s">
        <v>2220</v>
      </c>
      <c r="B334" s="1858" t="s">
        <v>1258</v>
      </c>
      <c r="C334" s="1859">
        <v>0.15</v>
      </c>
      <c r="D334" s="1859">
        <v>0.15</v>
      </c>
      <c r="E334" s="1859">
        <v>0.15</v>
      </c>
      <c r="F334" s="1860">
        <v>0.15</v>
      </c>
    </row>
    <row r="335" spans="1:6" ht="14.25" thickBot="1">
      <c r="A335" s="1854" t="s">
        <v>2220</v>
      </c>
      <c r="B335" s="1858" t="s">
        <v>1268</v>
      </c>
      <c r="C335" s="1859">
        <v>0.15</v>
      </c>
      <c r="D335" s="1859">
        <v>0.15</v>
      </c>
      <c r="E335" s="1859">
        <v>0.15</v>
      </c>
      <c r="F335" s="1867"/>
    </row>
    <row r="336" spans="1:6" ht="14.25" thickBot="1">
      <c r="A336" s="1854" t="s">
        <v>2220</v>
      </c>
      <c r="B336" s="1858" t="s">
        <v>2232</v>
      </c>
      <c r="C336" s="1859">
        <v>0.15</v>
      </c>
      <c r="D336" s="1859">
        <v>0.15</v>
      </c>
      <c r="E336" s="1859">
        <v>0.15</v>
      </c>
      <c r="F336" s="1860">
        <v>0.11799999999999999</v>
      </c>
    </row>
    <row r="337" spans="1:6" ht="14.25" thickBot="1">
      <c r="A337" s="1862" t="s">
        <v>2220</v>
      </c>
      <c r="B337" s="1869" t="s">
        <v>1286</v>
      </c>
      <c r="C337" s="1865"/>
      <c r="D337" s="1865"/>
      <c r="E337" s="1865"/>
      <c r="F337" s="1870">
        <v>0.14299999999999999</v>
      </c>
    </row>
    <row r="338" spans="1:6" ht="14.25" thickBot="1">
      <c r="A338" s="1854" t="s">
        <v>2233</v>
      </c>
      <c r="B338" s="1855" t="s">
        <v>2234</v>
      </c>
      <c r="C338" s="1856">
        <v>0.15</v>
      </c>
      <c r="D338" s="1856">
        <v>0.15</v>
      </c>
      <c r="E338" s="1856">
        <v>0.15</v>
      </c>
      <c r="F338" s="1878"/>
    </row>
    <row r="339" spans="1:6" ht="14.25" thickBot="1">
      <c r="A339" s="1854" t="s">
        <v>2233</v>
      </c>
      <c r="B339" s="1858" t="s">
        <v>2235</v>
      </c>
      <c r="C339" s="1859">
        <v>0.15</v>
      </c>
      <c r="D339" s="1859">
        <v>0.15</v>
      </c>
      <c r="E339" s="1859">
        <v>0.15</v>
      </c>
      <c r="F339" s="1867"/>
    </row>
    <row r="340" spans="1:6" ht="14.25" thickBot="1">
      <c r="A340" s="1854" t="s">
        <v>2233</v>
      </c>
      <c r="B340" s="1858" t="s">
        <v>2236</v>
      </c>
      <c r="C340" s="1859">
        <v>0.15</v>
      </c>
      <c r="D340" s="1859">
        <v>0.15</v>
      </c>
      <c r="E340" s="1859">
        <v>0.15</v>
      </c>
      <c r="F340" s="1867"/>
    </row>
    <row r="341" spans="1:6" ht="14.25" thickBot="1">
      <c r="A341" s="1854" t="s">
        <v>2237</v>
      </c>
      <c r="B341" s="1858" t="s">
        <v>2238</v>
      </c>
      <c r="C341" s="1859">
        <v>0.15</v>
      </c>
      <c r="D341" s="1859">
        <v>0.15</v>
      </c>
      <c r="E341" s="1859">
        <v>0.15</v>
      </c>
      <c r="F341" s="1860">
        <v>0.15</v>
      </c>
    </row>
    <row r="342" spans="1:6" ht="14.25" thickBot="1">
      <c r="A342" s="1854" t="s">
        <v>2233</v>
      </c>
      <c r="B342" s="1858" t="s">
        <v>2239</v>
      </c>
      <c r="C342" s="1859">
        <v>0.15</v>
      </c>
      <c r="D342" s="1859">
        <v>0.15</v>
      </c>
      <c r="E342" s="1859">
        <v>0.15</v>
      </c>
      <c r="F342" s="1860">
        <v>0.15</v>
      </c>
    </row>
    <row r="343" spans="1:6" ht="14.25" thickBot="1">
      <c r="A343" s="1854" t="s">
        <v>2233</v>
      </c>
      <c r="B343" s="1858" t="s">
        <v>2240</v>
      </c>
      <c r="C343" s="1859">
        <v>0.15</v>
      </c>
      <c r="D343" s="1859">
        <v>0.15</v>
      </c>
      <c r="E343" s="1859">
        <v>0.15</v>
      </c>
      <c r="F343" s="1860">
        <v>0.15</v>
      </c>
    </row>
    <row r="344" spans="1:6" ht="14.25" thickBot="1">
      <c r="A344" s="1862" t="s">
        <v>2233</v>
      </c>
      <c r="B344" s="1869" t="s">
        <v>2241</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2950</v>
      </c>
      <c r="B1" s="3134"/>
      <c r="C1" s="3134"/>
      <c r="D1" s="3134"/>
      <c r="E1" s="3134"/>
      <c r="F1" s="3134"/>
    </row>
    <row r="2" spans="1:6" ht="14.25">
      <c r="A2" s="3135" t="s">
        <v>2944</v>
      </c>
      <c r="B2" s="3136" t="e">
        <f ca="1">SUMIF(B7:B14,"&lt;&gt;#ref!",B7:B14)</f>
        <v>#DIV/0!</v>
      </c>
      <c r="C2" s="3135" t="s">
        <v>2945</v>
      </c>
      <c r="D2" s="3134"/>
      <c r="E2" s="3134"/>
      <c r="F2" s="3134"/>
    </row>
    <row r="3" spans="1:6" ht="14.25">
      <c r="A3" s="3135" t="s">
        <v>2947</v>
      </c>
      <c r="B3" s="3136" t="e">
        <f ca="1">ROUND(B2*10000/E3,0)</f>
        <v>#DIV/0!</v>
      </c>
      <c r="C3" s="3135" t="s">
        <v>2082</v>
      </c>
      <c r="D3" s="3135" t="s">
        <v>2946</v>
      </c>
      <c r="E3" s="3136" t="e">
        <f ca="1">SUM(E7:E14)</f>
        <v>#REF!</v>
      </c>
      <c r="F3" s="3134"/>
    </row>
    <row r="4" spans="1:6" ht="14.25">
      <c r="A4" s="3135" t="s">
        <v>2954</v>
      </c>
      <c r="B4" s="3136" t="e">
        <f ca="1">ROUND(B2*10000/E4,0)</f>
        <v>#DIV/0!</v>
      </c>
      <c r="C4" s="3135" t="s">
        <v>2082</v>
      </c>
      <c r="D4" s="3135" t="s">
        <v>2955</v>
      </c>
      <c r="E4" s="3136" t="e">
        <f ca="1">SUM(F7:F14)</f>
        <v>#REF!</v>
      </c>
      <c r="F4" s="3134"/>
    </row>
    <row r="5" spans="1:6" ht="14.25">
      <c r="A5" s="3137"/>
      <c r="B5" s="1880"/>
      <c r="C5" s="1880"/>
      <c r="D5" s="1880"/>
      <c r="E5" s="1880"/>
      <c r="F5" s="3134"/>
    </row>
    <row r="6" spans="1:6" ht="28.5">
      <c r="A6" s="3138" t="s">
        <v>2951</v>
      </c>
      <c r="B6" s="3135" t="s">
        <v>2948</v>
      </c>
      <c r="C6" s="3136"/>
      <c r="D6" s="1880"/>
      <c r="E6" s="3135" t="s">
        <v>2949</v>
      </c>
      <c r="F6" s="3135" t="s">
        <v>2953</v>
      </c>
    </row>
    <row r="7" spans="1:6" ht="14.25">
      <c r="A7" s="259" t="s">
        <v>2952</v>
      </c>
      <c r="B7" s="3139" t="e">
        <f ca="1">SUMIF(INDIRECT("'"&amp;A7&amp;"'"&amp;"!A:A"),"总价",INDIRECT("'"&amp;A7&amp;"'"&amp;"!B:B"))</f>
        <v>#DIV/0!</v>
      </c>
      <c r="C7" s="3135" t="s">
        <v>2945</v>
      </c>
      <c r="D7" s="1880"/>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2945</v>
      </c>
      <c r="D8" s="1880"/>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2945</v>
      </c>
      <c r="D9" s="1880"/>
      <c r="E9" s="3140" t="e">
        <f t="shared" ca="1" si="1"/>
        <v>#REF!</v>
      </c>
      <c r="F9" s="3140" t="e">
        <f t="shared" ca="1" si="2"/>
        <v>#REF!</v>
      </c>
    </row>
    <row r="10" spans="1:6" ht="14.25">
      <c r="A10" s="259"/>
      <c r="B10" s="3139" t="e">
        <f t="shared" ca="1" si="0"/>
        <v>#REF!</v>
      </c>
      <c r="C10" s="3135" t="s">
        <v>2945</v>
      </c>
      <c r="D10" s="1880"/>
      <c r="E10" s="3140" t="e">
        <f t="shared" ca="1" si="1"/>
        <v>#REF!</v>
      </c>
      <c r="F10" s="3140" t="e">
        <f t="shared" ca="1" si="2"/>
        <v>#REF!</v>
      </c>
    </row>
    <row r="11" spans="1:6" ht="14.25">
      <c r="A11" s="259"/>
      <c r="B11" s="3139" t="e">
        <f t="shared" ca="1" si="0"/>
        <v>#REF!</v>
      </c>
      <c r="C11" s="3135" t="s">
        <v>2945</v>
      </c>
      <c r="D11" s="1880"/>
      <c r="E11" s="3140" t="e">
        <f t="shared" ca="1" si="1"/>
        <v>#REF!</v>
      </c>
      <c r="F11" s="3140" t="e">
        <f t="shared" ca="1" si="2"/>
        <v>#REF!</v>
      </c>
    </row>
    <row r="12" spans="1:6" ht="14.25">
      <c r="A12" s="259"/>
      <c r="B12" s="3139" t="e">
        <f t="shared" ca="1" si="0"/>
        <v>#REF!</v>
      </c>
      <c r="C12" s="3135" t="s">
        <v>2945</v>
      </c>
      <c r="D12" s="1880"/>
      <c r="E12" s="3140" t="e">
        <f t="shared" ca="1" si="1"/>
        <v>#REF!</v>
      </c>
      <c r="F12" s="3140" t="e">
        <f t="shared" ca="1" si="2"/>
        <v>#REF!</v>
      </c>
    </row>
    <row r="13" spans="1:6" ht="14.25">
      <c r="A13" s="259"/>
      <c r="B13" s="3139" t="e">
        <f t="shared" ca="1" si="0"/>
        <v>#REF!</v>
      </c>
      <c r="C13" s="3135" t="s">
        <v>2945</v>
      </c>
      <c r="D13" s="1880"/>
      <c r="E13" s="3140" t="e">
        <f t="shared" ca="1" si="1"/>
        <v>#REF!</v>
      </c>
      <c r="F13" s="3140" t="e">
        <f t="shared" ca="1" si="2"/>
        <v>#REF!</v>
      </c>
    </row>
    <row r="14" spans="1:6" ht="14.25">
      <c r="A14" s="3133"/>
      <c r="B14" s="3139" t="e">
        <f t="shared" ca="1" si="0"/>
        <v>#REF!</v>
      </c>
      <c r="C14" s="3135" t="s">
        <v>2945</v>
      </c>
      <c r="D14" s="1880"/>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629</v>
      </c>
      <c r="B1" s="737"/>
      <c r="C1" s="772"/>
      <c r="D1" s="2049"/>
      <c r="E1" s="2410" t="s">
        <v>2378</v>
      </c>
      <c r="F1" s="2411">
        <f ca="1">J54</f>
        <v>0</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630</v>
      </c>
      <c r="B2" s="774">
        <f ca="1">IF(ISERROR(C45+J31),0,C45+J31)</f>
        <v>0</v>
      </c>
      <c r="C2" s="1349"/>
      <c r="D2" s="2054"/>
      <c r="E2" s="2055"/>
      <c r="F2" s="2055"/>
      <c r="G2" s="1588"/>
      <c r="H2" s="1361"/>
      <c r="I2" s="2056"/>
      <c r="J2" s="2056"/>
      <c r="K2" s="2057"/>
      <c r="L2" s="2056"/>
      <c r="M2" s="2056"/>
    </row>
    <row r="3" spans="1:25" ht="18" customHeight="1">
      <c r="A3" s="1643" t="s">
        <v>1688</v>
      </c>
      <c r="B3" s="1389">
        <f ca="1">ROUND(B2*10000/'数据-汇总表'!E3,0)</f>
        <v>0</v>
      </c>
      <c r="C3" s="1349"/>
      <c r="D3" s="2054"/>
      <c r="E3" s="2055"/>
      <c r="F3" s="2055"/>
      <c r="G3" s="1588"/>
      <c r="H3" s="775" t="s">
        <v>696</v>
      </c>
      <c r="I3" s="2056"/>
      <c r="J3" s="2056"/>
      <c r="K3" s="2057"/>
      <c r="L3" s="2056"/>
      <c r="M3" s="2056"/>
    </row>
    <row r="4" spans="1:25" ht="18" customHeight="1">
      <c r="A4" s="1644" t="s">
        <v>697</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698</v>
      </c>
      <c r="D5" s="2054"/>
      <c r="E5" s="2055"/>
      <c r="F5" s="2055"/>
      <c r="G5" s="1588"/>
      <c r="H5" s="775"/>
      <c r="I5" s="2056"/>
      <c r="J5" s="2056"/>
      <c r="K5" s="2057"/>
      <c r="L5" s="2056"/>
      <c r="M5" s="2056"/>
    </row>
    <row r="6" spans="1:25" ht="18" customHeight="1">
      <c r="A6" s="1827" t="s">
        <v>699</v>
      </c>
      <c r="B6" s="1819" t="s">
        <v>700</v>
      </c>
      <c r="C6" s="1819" t="s">
        <v>633</v>
      </c>
      <c r="D6" s="1819" t="s">
        <v>634</v>
      </c>
      <c r="E6" s="778" t="s">
        <v>635</v>
      </c>
      <c r="F6" s="779"/>
      <c r="G6" s="1590"/>
      <c r="H6" s="1827" t="s">
        <v>631</v>
      </c>
      <c r="I6" s="1819" t="s">
        <v>632</v>
      </c>
      <c r="J6" s="1819" t="s">
        <v>633</v>
      </c>
      <c r="K6" s="1819" t="s">
        <v>634</v>
      </c>
      <c r="L6" s="778" t="s">
        <v>635</v>
      </c>
      <c r="M6" s="779"/>
    </row>
    <row r="7" spans="1:25" ht="18" customHeight="1">
      <c r="A7" s="780">
        <v>1</v>
      </c>
      <c r="B7" s="781" t="s">
        <v>2463</v>
      </c>
      <c r="C7" s="52">
        <f ca="1">C8+C12+C14</f>
        <v>0</v>
      </c>
      <c r="D7" s="2519" t="s">
        <v>2466</v>
      </c>
      <c r="E7" s="2513"/>
      <c r="F7" s="2514"/>
      <c r="G7" s="1590"/>
      <c r="H7" s="780">
        <v>1</v>
      </c>
      <c r="I7" s="781" t="s">
        <v>2463</v>
      </c>
      <c r="J7" s="52">
        <f ca="1">J8+J12+J14</f>
        <v>0</v>
      </c>
      <c r="K7" s="2519" t="s">
        <v>2466</v>
      </c>
      <c r="L7" s="2513"/>
      <c r="M7" s="2514"/>
    </row>
    <row r="8" spans="1:25" ht="18" customHeight="1">
      <c r="A8" s="1829" t="s">
        <v>1826</v>
      </c>
      <c r="B8" s="3810" t="s">
        <v>2468</v>
      </c>
      <c r="C8" s="1824">
        <f ca="1">ROUND(F8*F10*F9*(1-F11)/10000,0)</f>
        <v>0</v>
      </c>
      <c r="D8" s="1821" t="s">
        <v>2540</v>
      </c>
      <c r="E8" s="60" t="s">
        <v>638</v>
      </c>
      <c r="F8" s="784">
        <f ca="1">INDIRECT("'数据-取费表'!u"&amp;$G$1)</f>
        <v>0</v>
      </c>
      <c r="G8" s="1590"/>
      <c r="H8" s="2527" t="s">
        <v>1826</v>
      </c>
      <c r="I8" s="3810" t="s">
        <v>2468</v>
      </c>
      <c r="J8" s="782">
        <f ca="1">ROUND(M8*M10*M9*(1-M11)/10000,0)</f>
        <v>0</v>
      </c>
      <c r="K8" s="340" t="s">
        <v>2540</v>
      </c>
      <c r="L8" s="783" t="s">
        <v>1740</v>
      </c>
      <c r="M8" s="784">
        <f ca="1">INDIRECT("'数据-取费表'!z"&amp;$G$1)</f>
        <v>0</v>
      </c>
    </row>
    <row r="9" spans="1:25" ht="18" customHeight="1">
      <c r="A9" s="2523"/>
      <c r="B9" s="3811"/>
      <c r="C9" s="1825"/>
      <c r="D9" s="1822"/>
      <c r="E9" s="60" t="s">
        <v>639</v>
      </c>
      <c r="F9" s="784">
        <f ca="1">IF(INDIRECT("'数据-取费表'!ah"&amp;$G$1)="",INDIRECT("'数据-取费表'!k"&amp;$G$1),INDIRECT("'数据-取费表'!ah"&amp;$G$1))</f>
        <v>0</v>
      </c>
      <c r="G9" s="1590"/>
      <c r="H9" s="2512"/>
      <c r="I9" s="3811"/>
      <c r="J9" s="787"/>
      <c r="K9" s="788"/>
      <c r="L9" s="783" t="s">
        <v>1741</v>
      </c>
      <c r="M9" s="784">
        <f ca="1">F9</f>
        <v>0</v>
      </c>
    </row>
    <row r="10" spans="1:25" ht="18" customHeight="1">
      <c r="A10" s="2516"/>
      <c r="B10" s="3812"/>
      <c r="C10" s="1825"/>
      <c r="D10" s="1822"/>
      <c r="E10" s="60" t="s">
        <v>640</v>
      </c>
      <c r="F10" s="784">
        <f ca="1">INDIRECT("'数据-取费表'!ai"&amp;$G$1)</f>
        <v>0</v>
      </c>
      <c r="G10" s="1590"/>
      <c r="H10" s="2512"/>
      <c r="I10" s="3812"/>
      <c r="J10" s="787"/>
      <c r="K10" s="788"/>
      <c r="L10" s="783" t="s">
        <v>1742</v>
      </c>
      <c r="M10" s="784">
        <f ca="1">INDIRECT("'数据-取费表'!ai"&amp;$G$1)</f>
        <v>0</v>
      </c>
    </row>
    <row r="11" spans="1:25" ht="18" customHeight="1">
      <c r="A11" s="785"/>
      <c r="B11" s="3813"/>
      <c r="C11" s="1825"/>
      <c r="D11" s="1822"/>
      <c r="E11" s="60" t="s">
        <v>641</v>
      </c>
      <c r="F11" s="793">
        <f ca="1">INDIRECT("'数据-取费表'!w"&amp;$G$1)</f>
        <v>0</v>
      </c>
      <c r="G11" s="1590"/>
      <c r="H11" s="2528"/>
      <c r="I11" s="3812"/>
      <c r="J11" s="787"/>
      <c r="K11" s="788"/>
      <c r="L11" s="794" t="s">
        <v>1743</v>
      </c>
      <c r="M11" s="795">
        <f ca="1">INDIRECT("'数据-取费表'!ab"&amp;$G$1)</f>
        <v>0</v>
      </c>
    </row>
    <row r="12" spans="1:25" ht="18" customHeight="1">
      <c r="A12" s="1829" t="s">
        <v>1827</v>
      </c>
      <c r="B12" s="2517" t="s">
        <v>2464</v>
      </c>
      <c r="C12" s="798">
        <f ca="1">ROUND(IF(F12="押一",F8*F10*F9/12*F13,IF(F12="押二",F8*F10*F9/12*2*F13,IF(F12="押三",F8*F10*F9/12*3*F13,C13*F13)))/10000,0)</f>
        <v>0</v>
      </c>
      <c r="D12" s="2524" t="s">
        <v>2471</v>
      </c>
      <c r="E12" s="2521" t="s">
        <v>2469</v>
      </c>
      <c r="F12" s="2644"/>
      <c r="G12" s="1590"/>
      <c r="H12" s="2584" t="s">
        <v>1827</v>
      </c>
      <c r="I12" s="2589" t="s">
        <v>2464</v>
      </c>
      <c r="J12" s="782">
        <f ca="1">ROUND(IF(M12="押一",M8*M10*M9/12*M13,IF(M12="押二",M8*M10*M9/12*2*M13,IF(M12="押三",M8*M10*M9/12*3*M13,J13*M13)))/10000,0)</f>
        <v>0</v>
      </c>
      <c r="K12" s="2524" t="s">
        <v>2471</v>
      </c>
      <c r="L12" s="2521" t="s">
        <v>2469</v>
      </c>
      <c r="M12" s="2644"/>
    </row>
    <row r="13" spans="1:25" ht="18" customHeight="1">
      <c r="A13" s="789"/>
      <c r="B13" s="2518" t="s">
        <v>2579</v>
      </c>
      <c r="C13" s="2522"/>
      <c r="D13" s="788"/>
      <c r="E13" s="2521" t="s">
        <v>2461</v>
      </c>
      <c r="F13" s="795">
        <f ca="1">'数据-取费表'!B39</f>
        <v>1.4999999999999999E-2</v>
      </c>
      <c r="G13" s="1590"/>
      <c r="H13" s="2585"/>
      <c r="I13" s="2518" t="s">
        <v>2579</v>
      </c>
      <c r="J13" s="2522"/>
      <c r="K13" s="2586"/>
      <c r="L13" s="2521" t="s">
        <v>2461</v>
      </c>
      <c r="M13" s="2515">
        <f ca="1">'数据-取费表'!B39</f>
        <v>1.4999999999999999E-2</v>
      </c>
    </row>
    <row r="14" spans="1:25" ht="18" customHeight="1" thickBot="1">
      <c r="A14" s="2560" t="s">
        <v>2473</v>
      </c>
      <c r="B14" s="2561" t="s">
        <v>2465</v>
      </c>
      <c r="C14" s="2562"/>
      <c r="D14" s="2563"/>
      <c r="E14" s="2564"/>
      <c r="F14" s="2565"/>
      <c r="G14" s="1590"/>
      <c r="H14" s="2574" t="s">
        <v>2473</v>
      </c>
      <c r="I14" s="2587" t="s">
        <v>2465</v>
      </c>
      <c r="J14" s="2588"/>
      <c r="K14" s="2563"/>
      <c r="L14" s="2564"/>
      <c r="M14" s="2577"/>
    </row>
    <row r="15" spans="1:25" ht="18" customHeight="1" thickTop="1">
      <c r="A15" s="1828" t="s">
        <v>1876</v>
      </c>
      <c r="B15" s="1826" t="s">
        <v>642</v>
      </c>
      <c r="C15" s="791">
        <f ca="1">ROUND(C31*F15,0)</f>
        <v>0</v>
      </c>
      <c r="D15" s="1833" t="s">
        <v>643</v>
      </c>
      <c r="E15" s="794" t="s">
        <v>644</v>
      </c>
      <c r="F15" s="799">
        <f ca="1">INDIRECT("'数据-取费表'!y"&amp;$G$1)</f>
        <v>0</v>
      </c>
      <c r="G15" s="1590"/>
      <c r="H15" s="1828" t="s">
        <v>1828</v>
      </c>
      <c r="I15" s="1826" t="s">
        <v>645</v>
      </c>
      <c r="J15" s="1818">
        <f ca="1">ROUND(J16*J17,0)</f>
        <v>0</v>
      </c>
      <c r="K15" s="1820" t="s">
        <v>643</v>
      </c>
      <c r="L15" s="800"/>
      <c r="M15" s="801"/>
    </row>
    <row r="16" spans="1:25" ht="18" customHeight="1">
      <c r="A16" s="802" t="s">
        <v>1877</v>
      </c>
      <c r="B16" s="783" t="s">
        <v>646</v>
      </c>
      <c r="C16" s="803">
        <f ca="1">INDIRECT("'数据-取费表'!m"&amp;$G$1)+INDIRECT("'数据-取费表'!t"&amp;$G$1)</f>
        <v>0</v>
      </c>
      <c r="D16" s="1978" t="s">
        <v>647</v>
      </c>
      <c r="E16" s="1979"/>
      <c r="F16" s="804"/>
      <c r="G16" s="1590"/>
      <c r="H16" s="802" t="s">
        <v>2073</v>
      </c>
      <c r="I16" s="2230" t="s">
        <v>2831</v>
      </c>
      <c r="J16" s="52">
        <f ca="1">C31</f>
        <v>0</v>
      </c>
      <c r="K16" s="25"/>
      <c r="L16" s="800"/>
      <c r="M16" s="801"/>
    </row>
    <row r="17" spans="1:25" s="2063" customFormat="1" ht="18" customHeight="1">
      <c r="A17" s="802" t="s">
        <v>1851</v>
      </c>
      <c r="B17" s="783" t="s">
        <v>648</v>
      </c>
      <c r="C17" s="52">
        <f ca="1">ROUND(C16*F17,0)</f>
        <v>0</v>
      </c>
      <c r="D17" s="805" t="s">
        <v>649</v>
      </c>
      <c r="E17" s="805" t="s">
        <v>650</v>
      </c>
      <c r="F17" s="806">
        <f>'数据-取费表'!B33</f>
        <v>0.03</v>
      </c>
      <c r="G17" s="1591"/>
      <c r="H17" s="802" t="s">
        <v>2074</v>
      </c>
      <c r="I17" s="783" t="s">
        <v>644</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1852</v>
      </c>
      <c r="B18" s="783" t="s">
        <v>651</v>
      </c>
      <c r="C18" s="52">
        <f ca="1">ROUND(INDIRECT("'数据-取费表'!m"&amp;$G$1)*F18,0)</f>
        <v>0</v>
      </c>
      <c r="D18" s="783" t="s">
        <v>649</v>
      </c>
      <c r="E18" s="783" t="s">
        <v>650</v>
      </c>
      <c r="F18" s="808">
        <f ca="1">IF(INDIRECT("'数据-取费表'!c"&amp;$G$1)="住宅",'数据-取费表'!B34,0)</f>
        <v>0</v>
      </c>
      <c r="G18" s="1590"/>
      <c r="H18" s="796" t="s">
        <v>1829</v>
      </c>
      <c r="I18" s="797" t="s">
        <v>652</v>
      </c>
      <c r="J18" s="798">
        <f ca="1">ROUND(J19+J24+J25+J26,0)</f>
        <v>0</v>
      </c>
      <c r="K18" s="25" t="s">
        <v>653</v>
      </c>
      <c r="L18" s="1981"/>
      <c r="M18" s="55"/>
    </row>
    <row r="19" spans="1:25" s="2063" customFormat="1" ht="18" customHeight="1">
      <c r="A19" s="802" t="s">
        <v>1853</v>
      </c>
      <c r="B19" s="783" t="s">
        <v>654</v>
      </c>
      <c r="C19" s="52">
        <f ca="1">ROUND(F19*(INDIRECT("'数据-取费表'!k"&amp;$G$1)+INDIRECT("'数据-取费表'!S"&amp;$G$1))/10000,0)</f>
        <v>0</v>
      </c>
      <c r="D19" s="783" t="s">
        <v>655</v>
      </c>
      <c r="E19" s="783" t="s">
        <v>656</v>
      </c>
      <c r="F19" s="55">
        <f>'数据-取费表'!B35</f>
        <v>150</v>
      </c>
      <c r="G19" s="1591"/>
      <c r="H19" s="802" t="s">
        <v>2073</v>
      </c>
      <c r="I19" s="783" t="s">
        <v>657</v>
      </c>
      <c r="J19" s="52">
        <f ca="1">ROUND(IF(项目基本情况!B11="自然人",J7*M19,J20+J21+J22),0)</f>
        <v>0</v>
      </c>
      <c r="K19" s="1978" t="s">
        <v>658</v>
      </c>
      <c r="L19" s="1976" t="s">
        <v>659</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1854</v>
      </c>
      <c r="B20" s="783" t="s">
        <v>660</v>
      </c>
      <c r="C20" s="52">
        <f ca="1">ROUND(C16*F20,0)</f>
        <v>0</v>
      </c>
      <c r="D20" s="783" t="s">
        <v>649</v>
      </c>
      <c r="E20" s="783" t="s">
        <v>650</v>
      </c>
      <c r="F20" s="808">
        <f>'数据-取费表'!B36</f>
        <v>1.4999999999999999E-2</v>
      </c>
      <c r="G20" s="1591"/>
      <c r="H20" s="802" t="s">
        <v>1833</v>
      </c>
      <c r="I20" s="783" t="s">
        <v>661</v>
      </c>
      <c r="J20" s="52">
        <f ca="1">ROUND(J7*M20/1.05,1)</f>
        <v>0</v>
      </c>
      <c r="K20" s="1976" t="s">
        <v>662</v>
      </c>
      <c r="L20" s="783" t="s">
        <v>650</v>
      </c>
      <c r="M20" s="808">
        <f>'数据-取费表'!B41</f>
        <v>5.6000000000000001E-2</v>
      </c>
      <c r="N20" s="2062"/>
      <c r="O20" s="2062"/>
      <c r="P20" s="2062"/>
      <c r="Q20" s="2062"/>
      <c r="R20" s="2062"/>
      <c r="S20" s="2062"/>
      <c r="T20" s="2062"/>
      <c r="U20" s="2062"/>
      <c r="V20" s="2062"/>
      <c r="W20" s="2062"/>
      <c r="X20" s="2062"/>
      <c r="Y20" s="2062"/>
    </row>
    <row r="21" spans="1:25" ht="18" customHeight="1">
      <c r="A21" s="802" t="s">
        <v>1878</v>
      </c>
      <c r="B21" s="783" t="s">
        <v>663</v>
      </c>
      <c r="C21" s="52">
        <f ca="1">SUM(C16:C20)</f>
        <v>0</v>
      </c>
      <c r="D21" s="260" t="s">
        <v>664</v>
      </c>
      <c r="E21" s="1981"/>
      <c r="F21" s="55"/>
      <c r="G21" s="1590"/>
      <c r="H21" s="1829" t="s">
        <v>1851</v>
      </c>
      <c r="I21" s="783" t="s">
        <v>665</v>
      </c>
      <c r="J21" s="52">
        <f ca="1">IF(K21="按租金收入计税",ROUND(J7*M21,1),ROUND(C31*F35*0.7,1))</f>
        <v>0</v>
      </c>
      <c r="K21" s="810" t="s">
        <v>666</v>
      </c>
      <c r="L21" s="783" t="s">
        <v>650</v>
      </c>
      <c r="M21" s="808">
        <f>IF(K21="按租金收入计税",'数据-取费表'!B51,'数据-取费表'!B50)</f>
        <v>1.2E-2</v>
      </c>
    </row>
    <row r="22" spans="1:25" s="2063" customFormat="1" ht="18" customHeight="1">
      <c r="A22" s="802" t="s">
        <v>1879</v>
      </c>
      <c r="B22" s="783" t="s">
        <v>667</v>
      </c>
      <c r="C22" s="52">
        <f ca="1">ROUND(C21*F22,0)</f>
        <v>0</v>
      </c>
      <c r="D22" s="811" t="s">
        <v>668</v>
      </c>
      <c r="E22" s="783" t="s">
        <v>650</v>
      </c>
      <c r="F22" s="808">
        <f>'数据-取费表'!B37</f>
        <v>0.01</v>
      </c>
      <c r="G22" s="1591"/>
      <c r="H22" s="1831" t="s">
        <v>1852</v>
      </c>
      <c r="I22" s="1821" t="s">
        <v>669</v>
      </c>
      <c r="J22" s="53">
        <f ca="1">ROUND(M22*M23/10000,0)</f>
        <v>0</v>
      </c>
      <c r="K22" s="813" t="s">
        <v>670</v>
      </c>
      <c r="L22" s="783" t="s">
        <v>671</v>
      </c>
      <c r="M22" s="639">
        <f>'数据-取费表'!B52</f>
        <v>6</v>
      </c>
      <c r="N22" s="2062"/>
      <c r="O22" s="2062"/>
      <c r="P22" s="2062"/>
      <c r="Q22" s="2062"/>
      <c r="R22" s="2062"/>
      <c r="S22" s="2062"/>
      <c r="T22" s="2062"/>
      <c r="U22" s="2062"/>
      <c r="V22" s="2062"/>
      <c r="W22" s="2062"/>
      <c r="X22" s="2062"/>
      <c r="Y22" s="2062"/>
    </row>
    <row r="23" spans="1:25" s="2063" customFormat="1" ht="18" customHeight="1">
      <c r="A23" s="802" t="s">
        <v>1880</v>
      </c>
      <c r="B23" s="783" t="s">
        <v>672</v>
      </c>
      <c r="C23" s="52" t="s">
        <v>1</v>
      </c>
      <c r="D23" s="811" t="s">
        <v>673</v>
      </c>
      <c r="E23" s="783" t="s">
        <v>674</v>
      </c>
      <c r="F23" s="808">
        <f>'数据-取费表'!B38</f>
        <v>1.4999999999999999E-2</v>
      </c>
      <c r="G23" s="1591"/>
      <c r="H23" s="1832"/>
      <c r="I23" s="1823"/>
      <c r="J23" s="68"/>
      <c r="K23" s="815"/>
      <c r="L23" s="783" t="s">
        <v>675</v>
      </c>
      <c r="M23" s="784">
        <f ca="1">INDIRECT("'数据-取费表'!r"&amp;$G$1)</f>
        <v>0</v>
      </c>
      <c r="N23" s="2062"/>
      <c r="O23" s="2062"/>
      <c r="P23" s="2062"/>
      <c r="Q23" s="2062"/>
      <c r="R23" s="2062"/>
      <c r="S23" s="2062"/>
      <c r="T23" s="2062"/>
      <c r="U23" s="2062"/>
      <c r="V23" s="2062"/>
      <c r="W23" s="2062"/>
      <c r="X23" s="2062"/>
      <c r="Y23" s="2062"/>
    </row>
    <row r="24" spans="1:25" ht="18" customHeight="1">
      <c r="A24" s="802" t="s">
        <v>1881</v>
      </c>
      <c r="B24" s="783" t="s">
        <v>676</v>
      </c>
      <c r="C24" s="52"/>
      <c r="D24" s="2595" t="str">
        <f>IF(F25&lt;=1,"单利计息。","复利计息。")&amp;"建造成本、管理费用、销售费用产生的利息。"</f>
        <v>复利计息。建造成本、管理费用、销售费用产生的利息。</v>
      </c>
      <c r="E24" s="1981"/>
      <c r="F24" s="55"/>
      <c r="G24" s="1590"/>
      <c r="H24" s="1830" t="s">
        <v>2074</v>
      </c>
      <c r="I24" s="783" t="s">
        <v>677</v>
      </c>
      <c r="J24" s="52">
        <f ca="1">ROUND(J16*M24,0)</f>
        <v>0</v>
      </c>
      <c r="K24" s="1976" t="s">
        <v>678</v>
      </c>
      <c r="L24" s="783" t="s">
        <v>650</v>
      </c>
      <c r="M24" s="816">
        <f ca="1">INDIRECT("'数据-取费表'!Ak"&amp;$G$1)</f>
        <v>0</v>
      </c>
    </row>
    <row r="25" spans="1:25" s="2063" customFormat="1" ht="18" customHeight="1">
      <c r="A25" s="802" t="s">
        <v>1877</v>
      </c>
      <c r="B25" s="783" t="s">
        <v>2441</v>
      </c>
      <c r="C25" s="52">
        <f ca="1">ROUND(IF('数据-取费表'!B22&lt;=1,(C21+C22)*F26*F25/2,(C21+C22)*(POWER((1+F26),F25/2)-1)),0)</f>
        <v>0</v>
      </c>
      <c r="D25" s="2594" t="str">
        <f>IF(F25&lt;=1,"(建造成本+管理费用)×利率×(建设周期÷2)","(建造成本+管理费用)×((1+利率)^(建设周期÷2)-1)")</f>
        <v>(建造成本+管理费用)×((1+利率)^(建设周期÷2)-1)</v>
      </c>
      <c r="E25" s="783" t="s">
        <v>679</v>
      </c>
      <c r="F25" s="639">
        <f>'数据-取费表'!B20</f>
        <v>1.5</v>
      </c>
      <c r="G25" s="1591"/>
      <c r="H25" s="802" t="s">
        <v>1880</v>
      </c>
      <c r="I25" s="783" t="s">
        <v>680</v>
      </c>
      <c r="J25" s="52">
        <f ca="1">ROUND(J15*M25,0)</f>
        <v>0</v>
      </c>
      <c r="K25" s="1976" t="s">
        <v>681</v>
      </c>
      <c r="L25" s="783" t="s">
        <v>650</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1851</v>
      </c>
      <c r="B26" s="783" t="s">
        <v>682</v>
      </c>
      <c r="C26" s="52">
        <f ca="1">ROUND(IF('数据-取费表'!B22&lt;=1,F23*F26*F25/2,F23*(POWER((1+F26),F25/2)-1)),4)</f>
        <v>5.0000000000000001E-4</v>
      </c>
      <c r="D26" s="2594" t="str">
        <f>IF(F25&lt;=1,"销售费用×利率×(建设周期÷2)","销售费用×((1+利率)^(建设周期÷2)-1)")</f>
        <v>销售费用×((1+利率)^(建设周期÷2)-1)</v>
      </c>
      <c r="E26" s="783" t="s">
        <v>683</v>
      </c>
      <c r="F26" s="818">
        <f ca="1">'数据-取费表'!B40</f>
        <v>4.7500000000000001E-2</v>
      </c>
      <c r="G26" s="1591"/>
      <c r="H26" s="802" t="s">
        <v>1881</v>
      </c>
      <c r="I26" s="783" t="s">
        <v>667</v>
      </c>
      <c r="J26" s="52">
        <f ca="1">ROUND(J7*M26,0)</f>
        <v>0</v>
      </c>
      <c r="K26" s="1976" t="s">
        <v>684</v>
      </c>
      <c r="L26" s="783" t="s">
        <v>650</v>
      </c>
      <c r="M26" s="793">
        <f ca="1">INDIRECT("'数据-取费表'!Am"&amp;$G$1)</f>
        <v>0</v>
      </c>
      <c r="N26" s="2062"/>
      <c r="O26" s="2062"/>
      <c r="P26" s="2062"/>
      <c r="Q26" s="2062"/>
      <c r="R26" s="2062"/>
      <c r="S26" s="2062"/>
      <c r="T26" s="2062"/>
      <c r="U26" s="2062"/>
      <c r="V26" s="2062"/>
      <c r="W26" s="2062"/>
      <c r="X26" s="2062"/>
      <c r="Y26" s="2062"/>
    </row>
    <row r="27" spans="1:25" ht="18" customHeight="1">
      <c r="A27" s="802" t="s">
        <v>1883</v>
      </c>
      <c r="B27" s="783" t="s">
        <v>685</v>
      </c>
      <c r="C27" s="52"/>
      <c r="D27" s="260" t="s">
        <v>686</v>
      </c>
      <c r="E27" s="1981"/>
      <c r="F27" s="55"/>
      <c r="G27" s="1590"/>
      <c r="H27" s="796" t="s">
        <v>1830</v>
      </c>
      <c r="I27" s="3035" t="s">
        <v>2828</v>
      </c>
      <c r="J27" s="798">
        <f ca="1">J7-J18</f>
        <v>0</v>
      </c>
      <c r="K27" s="1978" t="s">
        <v>701</v>
      </c>
      <c r="L27" s="1980"/>
      <c r="M27" s="819"/>
    </row>
    <row r="28" spans="1:25" ht="18" customHeight="1">
      <c r="A28" s="802" t="s">
        <v>1877</v>
      </c>
      <c r="B28" s="783" t="s">
        <v>2442</v>
      </c>
      <c r="C28" s="52">
        <f ca="1">ROUND((C21+C22)*F28,0)</f>
        <v>0</v>
      </c>
      <c r="D28" s="811" t="s">
        <v>702</v>
      </c>
      <c r="E28" s="794" t="s">
        <v>703</v>
      </c>
      <c r="F28" s="793">
        <f ca="1">INDIRECT("'数据-取费表'!q"&amp;$G$1)</f>
        <v>0</v>
      </c>
      <c r="G28" s="1590"/>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2">
        <f ca="1">ROUND(F23*F28,4)</f>
        <v>0</v>
      </c>
      <c r="D29" s="811" t="s">
        <v>707</v>
      </c>
      <c r="E29" s="805"/>
      <c r="F29" s="806"/>
      <c r="G29" s="1590"/>
      <c r="H29" s="785"/>
      <c r="I29" s="786"/>
      <c r="J29" s="787"/>
      <c r="K29" s="820" t="s">
        <v>708</v>
      </c>
      <c r="L29" s="783" t="s">
        <v>709</v>
      </c>
      <c r="M29" s="821">
        <f ca="1">INDIRECT("'数据-取费表'!ag"&amp;$G$1)</f>
        <v>0</v>
      </c>
    </row>
    <row r="30" spans="1:25" s="2063" customFormat="1" ht="18" customHeight="1">
      <c r="A30" s="802" t="s">
        <v>1884</v>
      </c>
      <c r="B30" s="783" t="s">
        <v>688</v>
      </c>
      <c r="C30" s="52">
        <f>ROUND(F30/(1+'数据-取费表'!C42),4)</f>
        <v>5.33E-2</v>
      </c>
      <c r="D30" s="811" t="s">
        <v>710</v>
      </c>
      <c r="E30" s="783" t="s">
        <v>650</v>
      </c>
      <c r="F30" s="808">
        <f>'数据-取费表'!B41</f>
        <v>5.6000000000000001E-2</v>
      </c>
      <c r="G30" s="1591"/>
      <c r="H30" s="789"/>
      <c r="I30" s="790"/>
      <c r="J30" s="791"/>
      <c r="K30" s="815"/>
      <c r="L30" s="783" t="s">
        <v>711</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1885</v>
      </c>
      <c r="B31" s="2564" t="s">
        <v>2829</v>
      </c>
      <c r="C31" s="2567">
        <f ca="1">ROUND((C21+C22+C25+C28)/(1-F23-C26-C29-C30),0)</f>
        <v>0</v>
      </c>
      <c r="D31" s="2568"/>
      <c r="E31" s="2569"/>
      <c r="F31" s="2570"/>
      <c r="G31" s="1591"/>
      <c r="H31" s="822" t="s">
        <v>1874</v>
      </c>
      <c r="I31" s="3036" t="s">
        <v>2830</v>
      </c>
      <c r="J31" s="824">
        <f ca="1">ROUND(J28/(1+F45)^F46,0)</f>
        <v>0</v>
      </c>
      <c r="K31" s="825" t="s">
        <v>689</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1">
        <f ca="1">ROUND(C33+C38+C39+C40,0)</f>
        <v>0</v>
      </c>
      <c r="D32" s="1820" t="s">
        <v>653</v>
      </c>
      <c r="E32" s="2510"/>
      <c r="F32" s="2514"/>
      <c r="G32" s="2061"/>
      <c r="H32" s="2064"/>
      <c r="I32" s="2065"/>
      <c r="J32" s="2066"/>
      <c r="K32" s="2067"/>
      <c r="L32" s="2068"/>
      <c r="M32" s="2069"/>
    </row>
    <row r="33" spans="1:18" ht="18" customHeight="1">
      <c r="A33" s="802" t="s">
        <v>1878</v>
      </c>
      <c r="B33" s="783" t="s">
        <v>657</v>
      </c>
      <c r="C33" s="52">
        <f ca="1">ROUND(IF(项目基本情况!B11="自然人",C7*F33,C34+C35+C36),1)</f>
        <v>0</v>
      </c>
      <c r="D33" s="1978" t="s">
        <v>658</v>
      </c>
      <c r="E33" s="1976" t="s">
        <v>691</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1877</v>
      </c>
      <c r="B34" s="783" t="s">
        <v>661</v>
      </c>
      <c r="C34" s="52">
        <f ca="1">ROUND(C7*F34/1.05,1)</f>
        <v>0</v>
      </c>
      <c r="D34" s="1976" t="s">
        <v>662</v>
      </c>
      <c r="E34" s="783" t="s">
        <v>650</v>
      </c>
      <c r="F34" s="808">
        <f>'数据-取费表'!B41</f>
        <v>5.6000000000000001E-2</v>
      </c>
      <c r="G34" s="2061"/>
      <c r="H34" s="2070"/>
      <c r="I34" s="2071"/>
      <c r="J34" s="2072"/>
      <c r="K34" s="2073"/>
      <c r="L34" s="2074"/>
      <c r="M34" s="2075"/>
    </row>
    <row r="35" spans="1:18" ht="18" customHeight="1">
      <c r="A35" s="802" t="s">
        <v>1851</v>
      </c>
      <c r="B35" s="783" t="s">
        <v>665</v>
      </c>
      <c r="C35" s="52">
        <f ca="1">IF(D35="按租金收入计税",ROUND(C7*F35,1),IF(D35="按房产原值计税",ROUND(C31*F35*0.7,1),INDIRECT("'数据-取费表'!Aj"&amp;$G$1)))</f>
        <v>0</v>
      </c>
      <c r="D35" s="810" t="s">
        <v>1682</v>
      </c>
      <c r="E35" s="783" t="s">
        <v>650</v>
      </c>
      <c r="F35" s="808">
        <f>IF(D35="按租金收入计税",'数据-取费表'!B51,'数据-取费表'!B50)</f>
        <v>1.2E-2</v>
      </c>
      <c r="G35" s="2061"/>
      <c r="H35" s="2076"/>
      <c r="I35" s="2076"/>
      <c r="J35" s="2076"/>
      <c r="K35" s="2077"/>
      <c r="L35" s="2076"/>
      <c r="M35" s="2076"/>
    </row>
    <row r="36" spans="1:18" ht="18" customHeight="1">
      <c r="A36" s="812" t="s">
        <v>1882</v>
      </c>
      <c r="B36" s="340" t="s">
        <v>669</v>
      </c>
      <c r="C36" s="53">
        <f ca="1">ROUND(F36*F37/10000,1)</f>
        <v>0</v>
      </c>
      <c r="D36" s="813" t="s">
        <v>670</v>
      </c>
      <c r="E36" s="783" t="s">
        <v>671</v>
      </c>
      <c r="F36" s="639">
        <f>'数据-取费表'!B52</f>
        <v>6</v>
      </c>
      <c r="G36" s="2061"/>
      <c r="H36" s="2064"/>
      <c r="I36" s="3809"/>
      <c r="J36" s="2078"/>
      <c r="K36" s="2079"/>
      <c r="L36" s="2078"/>
      <c r="M36" s="2078"/>
    </row>
    <row r="37" spans="1:18" ht="18" customHeight="1">
      <c r="A37" s="814"/>
      <c r="B37" s="792"/>
      <c r="C37" s="68"/>
      <c r="D37" s="815"/>
      <c r="E37" s="783" t="s">
        <v>675</v>
      </c>
      <c r="F37" s="784">
        <f ca="1">INDIRECT("'数据-取费表'!r"&amp;$G$1)</f>
        <v>0</v>
      </c>
      <c r="G37" s="2061"/>
      <c r="H37" s="2064"/>
      <c r="I37" s="3809"/>
      <c r="J37" s="2076"/>
      <c r="K37" s="2077"/>
      <c r="L37" s="2076"/>
      <c r="M37" s="2076"/>
    </row>
    <row r="38" spans="1:18" ht="18" customHeight="1">
      <c r="A38" s="802" t="s">
        <v>1879</v>
      </c>
      <c r="B38" s="783" t="s">
        <v>677</v>
      </c>
      <c r="C38" s="52">
        <f ca="1">ROUND(C31*F38,1)</f>
        <v>0</v>
      </c>
      <c r="D38" s="1976" t="s">
        <v>692</v>
      </c>
      <c r="E38" s="783" t="s">
        <v>650</v>
      </c>
      <c r="F38" s="816">
        <f ca="1">INDIRECT("'数据-取费表'!Ak"&amp;$G$1)</f>
        <v>0</v>
      </c>
      <c r="G38" s="2061"/>
      <c r="H38" s="2076"/>
      <c r="I38" s="2080"/>
      <c r="J38" s="1987"/>
      <c r="K38" s="2081"/>
      <c r="L38" s="2076"/>
      <c r="M38" s="2076"/>
    </row>
    <row r="39" spans="1:18" ht="18" customHeight="1">
      <c r="A39" s="802" t="s">
        <v>1880</v>
      </c>
      <c r="B39" s="783" t="s">
        <v>680</v>
      </c>
      <c r="C39" s="52">
        <f ca="1">ROUND(C15*F39,1)</f>
        <v>0</v>
      </c>
      <c r="D39" s="1976" t="s">
        <v>681</v>
      </c>
      <c r="E39" s="783" t="s">
        <v>650</v>
      </c>
      <c r="F39" s="817">
        <f ca="1">INDIRECT("'数据-取费表'!Al"&amp;$G$1)</f>
        <v>0</v>
      </c>
      <c r="G39" s="2061"/>
      <c r="H39" s="2076"/>
      <c r="I39" s="2080"/>
      <c r="J39" s="1987"/>
      <c r="K39" s="2081"/>
      <c r="L39" s="2076"/>
      <c r="M39" s="2076"/>
    </row>
    <row r="40" spans="1:18" ht="18" customHeight="1" thickBot="1">
      <c r="A40" s="2583" t="s">
        <v>1881</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28">
        <v>4</v>
      </c>
      <c r="B41" s="1826" t="s">
        <v>693</v>
      </c>
      <c r="C41" s="1351"/>
      <c r="D41" s="1352"/>
      <c r="E41" s="1352"/>
      <c r="F41" s="1353"/>
      <c r="G41" s="2061"/>
      <c r="H41" s="2061"/>
      <c r="I41" s="2061"/>
      <c r="J41" s="2061"/>
      <c r="K41" s="2082"/>
      <c r="L41" s="2061"/>
      <c r="M41" s="2061"/>
    </row>
    <row r="42" spans="1:18" ht="18" customHeight="1">
      <c r="A42" s="802" t="s">
        <v>1878</v>
      </c>
      <c r="B42" s="834" t="s">
        <v>694</v>
      </c>
      <c r="C42" s="828">
        <f ca="1">C7-C32</f>
        <v>0</v>
      </c>
      <c r="D42" s="1978" t="s">
        <v>695</v>
      </c>
      <c r="E42" s="1980"/>
      <c r="F42" s="819"/>
      <c r="G42" s="2061"/>
      <c r="H42" s="2061"/>
      <c r="I42" s="2061"/>
      <c r="J42" s="2061"/>
      <c r="K42" s="2082"/>
      <c r="L42" s="2061"/>
      <c r="M42" s="2061"/>
    </row>
    <row r="43" spans="1:18" ht="18" customHeight="1">
      <c r="A43" s="802" t="s">
        <v>1879</v>
      </c>
      <c r="B43" s="834" t="s">
        <v>712</v>
      </c>
      <c r="C43" s="835">
        <f ca="1">ROUND(C15*F43,0)</f>
        <v>0</v>
      </c>
      <c r="D43" s="1354" t="s">
        <v>713</v>
      </c>
      <c r="E43" s="3153" t="s">
        <v>2963</v>
      </c>
      <c r="F43" s="3154">
        <f ca="1">INDIRECT("'数据-取费表'!j"&amp;$G$1)</f>
        <v>0</v>
      </c>
      <c r="G43" s="2061"/>
      <c r="H43" s="2061"/>
      <c r="I43" s="2061"/>
      <c r="J43" s="2061"/>
      <c r="K43" s="2082"/>
      <c r="L43" s="2061"/>
      <c r="M43" s="2061"/>
    </row>
    <row r="44" spans="1:18" ht="18" customHeight="1">
      <c r="A44" s="802" t="s">
        <v>1880</v>
      </c>
      <c r="B44" s="834" t="s">
        <v>714</v>
      </c>
      <c r="C44" s="1355">
        <f ca="1">C42-C43</f>
        <v>0</v>
      </c>
      <c r="D44" s="462" t="s">
        <v>715</v>
      </c>
      <c r="E44" s="463"/>
      <c r="F44" s="464"/>
      <c r="G44" s="2061"/>
      <c r="H44" s="2061"/>
      <c r="I44" s="2061"/>
      <c r="J44" s="2061"/>
      <c r="K44" s="2082"/>
      <c r="L44" s="2061"/>
      <c r="M44" s="2061"/>
    </row>
    <row r="45" spans="1:18" ht="18" customHeight="1">
      <c r="A45" s="802" t="s">
        <v>1881</v>
      </c>
      <c r="B45" s="1354" t="s">
        <v>716</v>
      </c>
      <c r="C45" s="3062">
        <f ca="1">ROUND(-PV(F45,F46,C44,0),0)</f>
        <v>0</v>
      </c>
      <c r="D45" s="1356" t="s">
        <v>717</v>
      </c>
      <c r="E45" s="805" t="s">
        <v>718</v>
      </c>
      <c r="F45" s="829">
        <f ca="1">INDIRECT("'数据-取费表'!h"&amp;$G$1)</f>
        <v>0</v>
      </c>
      <c r="G45" s="2061"/>
      <c r="H45" s="2061"/>
      <c r="I45" s="2061"/>
      <c r="J45" s="2061"/>
      <c r="K45" s="2082"/>
      <c r="L45" s="2061"/>
      <c r="M45" s="2061"/>
    </row>
    <row r="46" spans="1:18" ht="18" customHeight="1" thickBot="1">
      <c r="A46" s="830"/>
      <c r="B46" s="1357"/>
      <c r="C46" s="1358"/>
      <c r="D46" s="1359"/>
      <c r="E46" s="3155" t="s">
        <v>2966</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2346</v>
      </c>
      <c r="J47" s="2378"/>
      <c r="K47" s="2379"/>
      <c r="L47" s="2380" t="str">
        <f ca="1">IF(M48="住宅",0,IF(L49&gt;J52,L61,J61))</f>
        <v>0</v>
      </c>
      <c r="O47" s="2417" t="s">
        <v>2414</v>
      </c>
      <c r="P47" s="1590"/>
      <c r="Q47" s="1602"/>
      <c r="R47" s="1590"/>
    </row>
    <row r="48" spans="1:18" s="2058" customFormat="1" ht="18" customHeight="1" thickBot="1">
      <c r="A48" s="2083"/>
      <c r="C48" s="2086"/>
      <c r="D48" s="2087"/>
      <c r="E48" s="2087"/>
      <c r="F48" s="2088"/>
      <c r="G48" s="2089"/>
      <c r="I48" s="2381" t="s">
        <v>2347</v>
      </c>
      <c r="J48" s="2386"/>
      <c r="K48" s="2387" t="s">
        <v>2353</v>
      </c>
      <c r="L48" s="2388">
        <f ca="1">INDIRECT("'数据-取费表'!d"&amp;$G$1)</f>
        <v>0</v>
      </c>
      <c r="M48" s="3150" t="str">
        <f>IF(ISNUMBER(FIND("住宅",C1)),"住宅","非住宅")</f>
        <v>非住宅</v>
      </c>
      <c r="O48" s="2418" t="s">
        <v>2379</v>
      </c>
      <c r="P48" s="2419" t="s">
        <v>2380</v>
      </c>
      <c r="Q48" s="2420" t="s">
        <v>2381</v>
      </c>
      <c r="R48" s="2419" t="s">
        <v>2382</v>
      </c>
    </row>
    <row r="49" spans="1:18" s="2058" customFormat="1" ht="18" customHeight="1" thickBot="1">
      <c r="A49" s="2083"/>
      <c r="D49" s="2090"/>
      <c r="E49" s="2091"/>
      <c r="F49" s="2088"/>
      <c r="G49" s="2089"/>
      <c r="H49" s="2092"/>
      <c r="I49" s="2382" t="s">
        <v>2348</v>
      </c>
      <c r="J49" s="2389"/>
      <c r="K49" s="2390" t="s">
        <v>2355</v>
      </c>
      <c r="L49" s="2391">
        <f ca="1">INDIRECT("'数据-取费表'!f"&amp;$G$1)</f>
        <v>0</v>
      </c>
      <c r="O49" s="2421" t="s">
        <v>2383</v>
      </c>
      <c r="P49" s="2422" t="s">
        <v>2409</v>
      </c>
      <c r="Q49" s="2423">
        <f ca="1">C41+J31</f>
        <v>0</v>
      </c>
      <c r="R49" s="2422" t="s">
        <v>2384</v>
      </c>
    </row>
    <row r="50" spans="1:18" s="2058" customFormat="1" ht="18" customHeight="1" thickBot="1">
      <c r="A50" s="2083"/>
      <c r="D50" s="2093"/>
      <c r="E50" s="2093"/>
      <c r="F50" s="2087"/>
      <c r="G50" s="2094"/>
      <c r="H50" s="2092"/>
      <c r="I50" s="2382" t="s">
        <v>2349</v>
      </c>
      <c r="J50" s="2392"/>
      <c r="K50" s="2393" t="s">
        <v>2356</v>
      </c>
      <c r="L50" s="2394"/>
      <c r="O50" s="2421" t="s">
        <v>2385</v>
      </c>
      <c r="P50" s="2422" t="s">
        <v>2410</v>
      </c>
      <c r="Q50" s="2423" t="str">
        <f ca="1">J61</f>
        <v>0</v>
      </c>
      <c r="R50" s="2422" t="s">
        <v>2386</v>
      </c>
    </row>
    <row r="51" spans="1:18" s="2058" customFormat="1" ht="18" customHeight="1" thickBot="1">
      <c r="A51" s="2095"/>
      <c r="D51" s="2093"/>
      <c r="E51" s="2093"/>
      <c r="F51" s="2084"/>
      <c r="H51" s="2092"/>
      <c r="I51" s="2382" t="s">
        <v>2350</v>
      </c>
      <c r="J51" s="2395">
        <f>SUMPRODUCT((I64:I66=J48)*(J63:L63=J49)*(J64:L66))</f>
        <v>0</v>
      </c>
      <c r="K51" s="2393" t="s">
        <v>2357</v>
      </c>
      <c r="L51" s="2394"/>
      <c r="O51" s="2424" t="s">
        <v>2387</v>
      </c>
      <c r="P51" s="2422" t="s">
        <v>2411</v>
      </c>
      <c r="Q51" s="2423">
        <f ca="1">C31</f>
        <v>0</v>
      </c>
      <c r="R51" s="2422" t="s">
        <v>2384</v>
      </c>
    </row>
    <row r="52" spans="1:18" s="2058" customFormat="1" ht="18" customHeight="1" thickBot="1">
      <c r="A52" s="2095"/>
      <c r="F52" s="2084"/>
      <c r="I52" s="2383" t="s">
        <v>2351</v>
      </c>
      <c r="J52" s="2396">
        <f>IF(J50="",J51,J50+J51-YEAR('数据-取费表'!B3))</f>
        <v>0</v>
      </c>
      <c r="K52" s="2382" t="s">
        <v>2358</v>
      </c>
      <c r="L52" s="2397">
        <f ca="1">ROUND(-PV(INDIRECT("'数据-取费表'!h"&amp;$G$1),L49,(C40-C14*J36),0),0)</f>
        <v>0</v>
      </c>
      <c r="O52" s="2424" t="s">
        <v>2388</v>
      </c>
      <c r="P52" s="2422" t="s">
        <v>2389</v>
      </c>
      <c r="Q52" s="2425" t="e">
        <f ca="1">J59</f>
        <v>#VALUE!</v>
      </c>
      <c r="R52" s="2426"/>
    </row>
    <row r="53" spans="1:18" s="2058" customFormat="1" ht="18" customHeight="1" thickBot="1">
      <c r="A53" s="2095"/>
      <c r="F53" s="2084"/>
      <c r="I53" s="2384" t="s">
        <v>2425</v>
      </c>
      <c r="J53" s="2398"/>
      <c r="K53" s="2384" t="s">
        <v>2424</v>
      </c>
      <c r="L53" s="2398"/>
      <c r="O53" s="2424" t="s">
        <v>2390</v>
      </c>
      <c r="P53" s="2422" t="s">
        <v>2391</v>
      </c>
      <c r="Q53" s="2425">
        <f>J53</f>
        <v>0</v>
      </c>
      <c r="R53" s="2426"/>
    </row>
    <row r="54" spans="1:18" s="2058" customFormat="1" ht="43.5" thickBot="1">
      <c r="A54" s="2095"/>
      <c r="I54" s="2385" t="s">
        <v>2352</v>
      </c>
      <c r="J54" s="2399">
        <f ca="1">IF(M48="住宅",J52,IF(J52&gt;L49,L49-'数据-取费表'!B25,J52))</f>
        <v>0</v>
      </c>
      <c r="K54" s="3814"/>
      <c r="L54" s="3815"/>
      <c r="O54" s="2424" t="s">
        <v>2392</v>
      </c>
      <c r="P54" s="2422" t="s">
        <v>2393</v>
      </c>
      <c r="Q54" s="2423">
        <f ca="1">J54</f>
        <v>0</v>
      </c>
      <c r="R54" s="2422" t="s">
        <v>2394</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2395</v>
      </c>
      <c r="P55" s="2422" t="s">
        <v>2412</v>
      </c>
      <c r="Q55" s="2423">
        <f ca="1">Q49+Q50</f>
        <v>0</v>
      </c>
      <c r="R55" s="2426" t="s">
        <v>2396</v>
      </c>
    </row>
    <row r="56" spans="1:18" s="2058" customFormat="1" ht="16.5" thickBot="1">
      <c r="A56" s="2095"/>
      <c r="B56" s="2096"/>
      <c r="C56" s="2096"/>
      <c r="I56" s="3127" t="s">
        <v>2359</v>
      </c>
      <c r="J56" s="3151" t="e">
        <f ca="1">ROUND(IF(J48="钢混",J58/J51,1-(1-2%)*(J51-J58)/J51),3)</f>
        <v>#VALUE!</v>
      </c>
      <c r="K56" s="2400" t="s">
        <v>2360</v>
      </c>
      <c r="L56" s="2401"/>
      <c r="O56" s="2427" t="s">
        <v>2415</v>
      </c>
      <c r="P56" s="1590"/>
      <c r="Q56" s="1602"/>
      <c r="R56" s="1590"/>
    </row>
    <row r="57" spans="1:18" s="2058" customFormat="1" ht="43.5" thickBot="1">
      <c r="A57" s="2095"/>
      <c r="B57" s="2096"/>
      <c r="C57" s="2096"/>
      <c r="I57" s="2402" t="s">
        <v>2361</v>
      </c>
      <c r="J57" s="3150" t="s">
        <v>1680</v>
      </c>
      <c r="K57" s="2382" t="s">
        <v>2366</v>
      </c>
      <c r="L57" s="2391">
        <f ca="1">IF(L49&lt;J52,"——",L49-J52)</f>
        <v>0</v>
      </c>
      <c r="O57" s="2418" t="s">
        <v>2379</v>
      </c>
      <c r="P57" s="2419" t="s">
        <v>2380</v>
      </c>
      <c r="Q57" s="2420" t="s">
        <v>2381</v>
      </c>
      <c r="R57" s="2419" t="s">
        <v>2382</v>
      </c>
    </row>
    <row r="58" spans="1:18" s="2058" customFormat="1" ht="29.25" thickBot="1">
      <c r="A58" s="2095"/>
      <c r="B58" s="2096"/>
      <c r="C58" s="2096"/>
      <c r="I58" s="2403" t="s">
        <v>2362</v>
      </c>
      <c r="J58" s="2405" t="str">
        <f ca="1">IF(OR(M48="住宅",J52&lt;L49,J57="是"),"——",J52-L49)</f>
        <v>——</v>
      </c>
      <c r="K58" s="2382" t="s">
        <v>2367</v>
      </c>
      <c r="L58" s="2391">
        <f ca="1">IF(L49&lt;J52,"——",IF(L56="比较法",L50,IF(L56="基准地价",L51,L52)))</f>
        <v>0</v>
      </c>
      <c r="O58" s="2421" t="s">
        <v>2383</v>
      </c>
      <c r="P58" s="2422" t="s">
        <v>2409</v>
      </c>
      <c r="Q58" s="2423">
        <f ca="1">C41+J31</f>
        <v>0</v>
      </c>
      <c r="R58" s="2422" t="s">
        <v>2384</v>
      </c>
    </row>
    <row r="59" spans="1:18" s="2058" customFormat="1" ht="29.25" thickBot="1">
      <c r="A59" s="2095"/>
      <c r="B59" s="2096"/>
      <c r="C59" s="2096"/>
      <c r="I59" s="2403" t="s">
        <v>2363</v>
      </c>
      <c r="J59" s="3152" t="e">
        <f ca="1">IF(J56&lt;0.4,0.4,J56)</f>
        <v>#VALUE!</v>
      </c>
      <c r="K59" s="2382" t="s">
        <v>2368</v>
      </c>
      <c r="L59" s="2391">
        <f ca="1">IF(ISERROR(POWER(1+L53,L48-L49)*(POWER(1+L53,L49)-1)/(POWER(1+L53,L48)-1)),0,POWER(1+L53,L48-L49)*(POWER(1+L53,L49)-1)/(POWER(1+L53,L48)-1))</f>
        <v>0</v>
      </c>
      <c r="O59" s="2421" t="s">
        <v>2385</v>
      </c>
      <c r="P59" s="2422" t="s">
        <v>2416</v>
      </c>
      <c r="Q59" s="2423" t="e">
        <f ca="1">L61</f>
        <v>#DIV/0!</v>
      </c>
      <c r="R59" s="2426" t="s">
        <v>2418</v>
      </c>
    </row>
    <row r="60" spans="1:18" s="2058" customFormat="1" ht="29.25" thickBot="1">
      <c r="A60" s="2095"/>
      <c r="B60" s="2096"/>
      <c r="C60" s="2096"/>
      <c r="I60" s="2403" t="s">
        <v>2364</v>
      </c>
      <c r="J60" s="2405" t="str">
        <f ca="1">IF(OR(M48="住宅",J52&lt;L49,J57="是"),"——",ROUND(C30*J59,0))</f>
        <v>——</v>
      </c>
      <c r="K60" s="2382" t="s">
        <v>2369</v>
      </c>
      <c r="L60" s="2391">
        <f ca="1">IF(ISERROR(POWER(1+L53,L48-J52)*(POWER(1+L53,J52)-1)/(POWER(1+L53,L48)-1)),0,POWER(1+L53,L48-J52)*(POWER(1+L53,J52)-1)/(POWER(1+L53,L48)-1))</f>
        <v>0</v>
      </c>
      <c r="O60" s="2424" t="s">
        <v>2387</v>
      </c>
      <c r="P60" s="2422" t="s">
        <v>2417</v>
      </c>
      <c r="Q60" s="2423">
        <f>IF(L56="比较法",L50,IF(L56="基准地价",L51,0))</f>
        <v>0</v>
      </c>
      <c r="R60" s="2422" t="s">
        <v>2384</v>
      </c>
    </row>
    <row r="61" spans="1:18" s="2058" customFormat="1" ht="15.75" thickBot="1">
      <c r="A61" s="2095"/>
      <c r="B61" s="2096"/>
      <c r="C61" s="2096"/>
      <c r="I61" s="2404" t="s">
        <v>2365</v>
      </c>
      <c r="J61" s="2406" t="str">
        <f ca="1">IF(OR(M48="住宅",J52&lt;L49,J57="是"),"0",ROUND(J60/(1+J53)^J54,0))</f>
        <v>0</v>
      </c>
      <c r="K61" s="2407" t="s">
        <v>2370</v>
      </c>
      <c r="L61" s="2406" t="e">
        <f ca="1">IF(OR(M48="住宅",L49&lt;J52),0,ROUND(L58*(L59/L60-1),0))</f>
        <v>#DIV/0!</v>
      </c>
      <c r="O61" s="2424" t="s">
        <v>2388</v>
      </c>
      <c r="P61" s="2422" t="s">
        <v>2397</v>
      </c>
      <c r="Q61" s="2425">
        <f>L53</f>
        <v>0</v>
      </c>
      <c r="R61" s="2426"/>
    </row>
    <row r="62" spans="1:18" s="2058" customFormat="1" ht="20.25" thickBot="1">
      <c r="A62" s="2095"/>
      <c r="B62" s="2096"/>
      <c r="C62" s="2096"/>
      <c r="K62" s="2085"/>
      <c r="O62" s="2424" t="s">
        <v>2390</v>
      </c>
      <c r="P62" s="2422" t="s">
        <v>2398</v>
      </c>
      <c r="Q62" s="2423">
        <f ca="1">L59</f>
        <v>0</v>
      </c>
      <c r="R62" s="2426" t="s">
        <v>2399</v>
      </c>
    </row>
    <row r="63" spans="1:18" s="2058" customFormat="1" ht="20.25" thickBot="1">
      <c r="A63" s="2095"/>
      <c r="B63" s="2096"/>
      <c r="C63" s="2096"/>
      <c r="I63" s="2408" t="s">
        <v>2371</v>
      </c>
      <c r="J63" s="2409" t="s">
        <v>2372</v>
      </c>
      <c r="K63" s="2409" t="s">
        <v>2373</v>
      </c>
      <c r="L63" s="2409" t="s">
        <v>2354</v>
      </c>
      <c r="M63" s="3129" t="s">
        <v>2942</v>
      </c>
      <c r="O63" s="2424" t="s">
        <v>2392</v>
      </c>
      <c r="P63" s="2422" t="s">
        <v>2400</v>
      </c>
      <c r="Q63" s="2423">
        <f ca="1">L60</f>
        <v>0</v>
      </c>
      <c r="R63" s="2426" t="s">
        <v>2401</v>
      </c>
    </row>
    <row r="64" spans="1:18" s="2058" customFormat="1" ht="15.75" thickBot="1">
      <c r="A64" s="2095"/>
      <c r="B64" s="2096"/>
      <c r="C64" s="2096"/>
      <c r="I64" s="2408" t="s">
        <v>2374</v>
      </c>
      <c r="J64" s="2409">
        <v>70</v>
      </c>
      <c r="K64" s="2409">
        <v>50</v>
      </c>
      <c r="L64" s="2409">
        <v>80</v>
      </c>
      <c r="M64" s="3130">
        <v>0.02</v>
      </c>
      <c r="O64" s="2421" t="s">
        <v>2395</v>
      </c>
      <c r="P64" s="2422" t="s">
        <v>2412</v>
      </c>
      <c r="Q64" s="2423" t="e">
        <f ca="1">Q58+Q59</f>
        <v>#DIV/0!</v>
      </c>
      <c r="R64" s="2426" t="s">
        <v>2396</v>
      </c>
    </row>
    <row r="65" spans="1:18" s="2058" customFormat="1" ht="16.5" thickBot="1">
      <c r="A65" s="2095"/>
      <c r="B65" s="2096"/>
      <c r="C65" s="2096"/>
      <c r="I65" s="2408" t="s">
        <v>2375</v>
      </c>
      <c r="J65" s="2409">
        <v>50</v>
      </c>
      <c r="K65" s="2409">
        <v>35</v>
      </c>
      <c r="L65" s="2409">
        <v>60</v>
      </c>
      <c r="M65" s="3131">
        <v>0</v>
      </c>
      <c r="O65" s="2427" t="s">
        <v>2419</v>
      </c>
      <c r="P65" s="1590"/>
      <c r="Q65" s="1602"/>
      <c r="R65" s="1590"/>
    </row>
    <row r="66" spans="1:18" s="2058" customFormat="1" ht="15.75" thickBot="1">
      <c r="A66" s="2095"/>
      <c r="B66" s="2096"/>
      <c r="C66" s="2096"/>
      <c r="I66" s="2408" t="s">
        <v>2376</v>
      </c>
      <c r="J66" s="2409">
        <v>40</v>
      </c>
      <c r="K66" s="2409">
        <v>30</v>
      </c>
      <c r="L66" s="2409">
        <v>50</v>
      </c>
      <c r="M66" s="3130">
        <v>0.02</v>
      </c>
      <c r="O66" s="2418" t="s">
        <v>2379</v>
      </c>
      <c r="P66" s="2419" t="s">
        <v>2380</v>
      </c>
      <c r="Q66" s="2420" t="s">
        <v>2381</v>
      </c>
      <c r="R66" s="2419" t="s">
        <v>2382</v>
      </c>
    </row>
    <row r="67" spans="1:18" s="2058" customFormat="1" ht="15.75" thickBot="1">
      <c r="A67" s="2095"/>
      <c r="B67" s="2096"/>
      <c r="C67" s="2096"/>
      <c r="K67" s="2085"/>
      <c r="O67" s="2421" t="s">
        <v>2383</v>
      </c>
      <c r="P67" s="2422" t="s">
        <v>2409</v>
      </c>
      <c r="Q67" s="2423">
        <f ca="1">C41+J31</f>
        <v>0</v>
      </c>
      <c r="R67" s="2422" t="s">
        <v>2384</v>
      </c>
    </row>
    <row r="68" spans="1:18" s="2058" customFormat="1" ht="20.25" thickBot="1">
      <c r="A68" s="2095"/>
      <c r="B68" s="2096"/>
      <c r="C68" s="2096"/>
      <c r="K68" s="2085"/>
      <c r="O68" s="2421" t="s">
        <v>2385</v>
      </c>
      <c r="P68" s="2422" t="s">
        <v>2416</v>
      </c>
      <c r="Q68" s="2423" t="e">
        <f ca="1">L61</f>
        <v>#DIV/0!</v>
      </c>
      <c r="R68" s="2426" t="s">
        <v>2418</v>
      </c>
    </row>
    <row r="69" spans="1:18" s="2058" customFormat="1" ht="21.75" thickBot="1">
      <c r="A69" s="2095"/>
      <c r="B69" s="2096"/>
      <c r="C69" s="2096"/>
      <c r="K69" s="2085"/>
      <c r="O69" s="2424" t="s">
        <v>2387</v>
      </c>
      <c r="P69" s="2422" t="s">
        <v>2417</v>
      </c>
      <c r="Q69" s="2428">
        <f ca="1">L52</f>
        <v>0</v>
      </c>
      <c r="R69" s="2429" t="s">
        <v>2420</v>
      </c>
    </row>
    <row r="70" spans="1:18" s="2058" customFormat="1" ht="20.25" thickBot="1">
      <c r="A70" s="2095"/>
      <c r="B70" s="2096"/>
      <c r="C70" s="2096"/>
      <c r="K70" s="2085"/>
      <c r="O70" s="2424" t="s">
        <v>2388</v>
      </c>
      <c r="P70" s="2430" t="s">
        <v>2402</v>
      </c>
      <c r="Q70" s="2423">
        <f ca="1">ROUND(Q71-Q72*Q73,0)</f>
        <v>0</v>
      </c>
      <c r="R70" s="2426"/>
    </row>
    <row r="71" spans="1:18" s="2058" customFormat="1" ht="15.75" thickBot="1">
      <c r="A71" s="2095"/>
      <c r="B71" s="2096"/>
      <c r="C71" s="2096"/>
      <c r="K71" s="2085"/>
      <c r="O71" s="2424" t="s">
        <v>2403</v>
      </c>
      <c r="P71" s="2430" t="s">
        <v>2404</v>
      </c>
      <c r="Q71" s="2423">
        <f ca="1">C42</f>
        <v>0</v>
      </c>
      <c r="R71" s="2422" t="s">
        <v>2384</v>
      </c>
    </row>
    <row r="72" spans="1:18" s="2058" customFormat="1" ht="15.75" thickBot="1">
      <c r="A72" s="2095"/>
      <c r="B72" s="2096"/>
      <c r="C72" s="2096"/>
      <c r="K72" s="2085"/>
      <c r="O72" s="2424" t="s">
        <v>2405</v>
      </c>
      <c r="P72" s="2430" t="s">
        <v>2406</v>
      </c>
      <c r="Q72" s="2423">
        <f ca="1">C15</f>
        <v>0</v>
      </c>
      <c r="R72" s="2422" t="s">
        <v>2384</v>
      </c>
    </row>
    <row r="73" spans="1:18" s="2058" customFormat="1" ht="15.75" thickBot="1">
      <c r="A73" s="2095"/>
      <c r="B73" s="2096"/>
      <c r="C73" s="2096"/>
      <c r="K73" s="2085"/>
      <c r="O73" s="2424" t="s">
        <v>2407</v>
      </c>
      <c r="P73" s="2430" t="s">
        <v>2408</v>
      </c>
      <c r="Q73" s="2425">
        <f ca="1">F43</f>
        <v>0</v>
      </c>
      <c r="R73" s="2426"/>
    </row>
    <row r="74" spans="1:18" s="2058" customFormat="1" ht="15.75" thickBot="1">
      <c r="A74" s="2095"/>
      <c r="B74" s="2096"/>
      <c r="C74" s="2096"/>
      <c r="K74" s="2085"/>
      <c r="O74" s="2424" t="s">
        <v>2390</v>
      </c>
      <c r="P74" s="2422" t="s">
        <v>2397</v>
      </c>
      <c r="Q74" s="2425">
        <f>L53</f>
        <v>0</v>
      </c>
      <c r="R74" s="2426"/>
    </row>
    <row r="75" spans="1:18" s="2058" customFormat="1" ht="20.25" thickBot="1">
      <c r="A75" s="2095"/>
      <c r="B75" s="2096"/>
      <c r="C75" s="2096"/>
      <c r="K75" s="2085"/>
      <c r="O75" s="2424" t="s">
        <v>2392</v>
      </c>
      <c r="P75" s="2422" t="s">
        <v>2398</v>
      </c>
      <c r="Q75" s="2423">
        <f ca="1">L59</f>
        <v>0</v>
      </c>
      <c r="R75" s="2426" t="s">
        <v>2399</v>
      </c>
    </row>
    <row r="76" spans="1:18" s="2058" customFormat="1" ht="20.25" thickBot="1">
      <c r="A76" s="2095"/>
      <c r="B76" s="2096"/>
      <c r="C76" s="2096"/>
      <c r="K76" s="2085"/>
      <c r="O76" s="2424" t="s">
        <v>2421</v>
      </c>
      <c r="P76" s="2422" t="s">
        <v>2400</v>
      </c>
      <c r="Q76" s="2423">
        <f ca="1">L60</f>
        <v>0</v>
      </c>
      <c r="R76" s="2426" t="s">
        <v>2401</v>
      </c>
    </row>
    <row r="77" spans="1:18" s="2058" customFormat="1" ht="15.75" thickBot="1">
      <c r="A77" s="2095"/>
      <c r="B77" s="2096"/>
      <c r="C77" s="2096"/>
      <c r="K77" s="2085"/>
      <c r="O77" s="2421" t="s">
        <v>2395</v>
      </c>
      <c r="P77" s="2422" t="s">
        <v>2412</v>
      </c>
      <c r="Q77" s="2423" t="e">
        <f ca="1">Q67+Q68</f>
        <v>#DIV/0!</v>
      </c>
      <c r="R77" s="2426" t="s">
        <v>2396</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1903</v>
      </c>
      <c r="B36" s="1652" t="s">
        <v>1904</v>
      </c>
    </row>
    <row r="37" spans="1:9" ht="28.5" customHeight="1">
      <c r="A37" s="1652"/>
      <c r="B37" s="3560" t="str">
        <f>项目基本情况!B1</f>
        <v>出让国有建设用地使用权抵押价格预评估</v>
      </c>
      <c r="C37" s="3560"/>
      <c r="D37" s="3560"/>
      <c r="E37" s="3560"/>
      <c r="F37" s="3560"/>
      <c r="G37" s="3560"/>
      <c r="H37" s="3560"/>
      <c r="I37" s="3560"/>
    </row>
    <row r="38" spans="1:9">
      <c r="A38" s="1654"/>
      <c r="B38" s="1654"/>
    </row>
    <row r="39" spans="1:9">
      <c r="A39" s="1652" t="s">
        <v>1903</v>
      </c>
      <c r="B39" s="1652" t="s">
        <v>2050</v>
      </c>
    </row>
    <row r="40" spans="1:9">
      <c r="A40" s="1652"/>
      <c r="B40" s="1652">
        <f>项目基本情况!B5</f>
        <v>0</v>
      </c>
    </row>
    <row r="41" spans="1:9">
      <c r="A41" s="1652"/>
      <c r="B41" s="1652"/>
    </row>
    <row r="42" spans="1:9">
      <c r="A42" s="1652" t="s">
        <v>1903</v>
      </c>
      <c r="B42" s="1652" t="s">
        <v>2051</v>
      </c>
    </row>
    <row r="43" spans="1:9">
      <c r="A43" s="1652"/>
      <c r="B43" s="1652" t="s">
        <v>1905</v>
      </c>
    </row>
    <row r="44" spans="1:9">
      <c r="A44" s="1652"/>
      <c r="B44" s="1652"/>
    </row>
    <row r="45" spans="1:9">
      <c r="A45" s="1652" t="s">
        <v>1903</v>
      </c>
      <c r="B45" s="1652" t="s">
        <v>2049</v>
      </c>
    </row>
    <row r="46" spans="1:9" s="1652" customFormat="1" ht="12.75">
      <c r="B46" s="1652" t="str">
        <f>项目基本情况!K4</f>
        <v>土地估价师、土地估价师</v>
      </c>
    </row>
    <row r="47" spans="1:9">
      <c r="A47" s="1652"/>
      <c r="B47" s="1652"/>
    </row>
    <row r="48" spans="1:9">
      <c r="A48" s="1652" t="s">
        <v>1903</v>
      </c>
      <c r="B48" s="1652" t="s">
        <v>2052</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818" t="s">
        <v>2582</v>
      </c>
      <c r="C1" s="3818"/>
      <c r="D1" s="3818"/>
      <c r="E1" s="3818"/>
      <c r="F1" s="3818"/>
      <c r="G1" s="3817" t="s">
        <v>2583</v>
      </c>
      <c r="H1" s="3817"/>
      <c r="I1" s="3817"/>
      <c r="J1" s="3817"/>
      <c r="K1" s="3817"/>
      <c r="L1" s="3817"/>
      <c r="N1" s="3817" t="s">
        <v>2584</v>
      </c>
      <c r="O1" s="3817"/>
      <c r="P1" s="3817"/>
      <c r="Q1" s="3817"/>
      <c r="R1" s="2678"/>
      <c r="S1" s="3817" t="s">
        <v>2585</v>
      </c>
      <c r="T1" s="3817"/>
      <c r="U1" s="3817"/>
      <c r="V1" s="3817"/>
      <c r="X1" s="3816" t="s">
        <v>2645</v>
      </c>
      <c r="Y1" s="3817"/>
      <c r="Z1" s="3817"/>
      <c r="AA1" s="3817"/>
      <c r="AB1" s="3817"/>
      <c r="AD1" s="3816" t="s">
        <v>2649</v>
      </c>
      <c r="AE1" s="3817"/>
      <c r="AF1" s="3817"/>
      <c r="AG1" s="3817"/>
      <c r="AH1" s="3817"/>
    </row>
    <row r="2" spans="1:34" s="2780" customFormat="1" ht="14.25" thickBot="1">
      <c r="B2" s="2788" t="s">
        <v>2586</v>
      </c>
      <c r="C2" s="2788" t="s">
        <v>2647</v>
      </c>
      <c r="D2" s="2781" t="s">
        <v>1646</v>
      </c>
      <c r="E2" s="2781" t="s">
        <v>1953</v>
      </c>
      <c r="F2" s="2788" t="s">
        <v>2648</v>
      </c>
      <c r="G2" s="2784"/>
      <c r="H2" s="2783"/>
      <c r="I2" s="2788" t="s">
        <v>2957</v>
      </c>
      <c r="J2" s="2781" t="s">
        <v>2959</v>
      </c>
      <c r="K2" s="2781" t="s">
        <v>2960</v>
      </c>
      <c r="L2" s="2788" t="s">
        <v>2961</v>
      </c>
      <c r="N2" s="2788" t="s">
        <v>2586</v>
      </c>
      <c r="O2" s="2781" t="s">
        <v>2958</v>
      </c>
      <c r="P2" s="2781" t="s">
        <v>1953</v>
      </c>
      <c r="Q2" s="2788" t="s">
        <v>2648</v>
      </c>
      <c r="R2" s="2782"/>
      <c r="S2" s="2788" t="s">
        <v>2586</v>
      </c>
      <c r="T2" s="2781" t="s">
        <v>2958</v>
      </c>
      <c r="U2" s="2781" t="s">
        <v>1953</v>
      </c>
      <c r="V2" s="2788" t="s">
        <v>2648</v>
      </c>
      <c r="X2" s="2788" t="s">
        <v>2586</v>
      </c>
      <c r="Y2" s="2788" t="s">
        <v>2647</v>
      </c>
      <c r="Z2" s="2781" t="s">
        <v>1646</v>
      </c>
      <c r="AA2" s="2781" t="s">
        <v>1953</v>
      </c>
      <c r="AB2" s="2788" t="s">
        <v>2648</v>
      </c>
      <c r="AD2" s="2788" t="s">
        <v>2586</v>
      </c>
      <c r="AE2" s="2788" t="s">
        <v>2647</v>
      </c>
      <c r="AF2" s="2781" t="s">
        <v>1646</v>
      </c>
      <c r="AG2" s="2781" t="s">
        <v>1953</v>
      </c>
      <c r="AH2" s="2788" t="s">
        <v>2648</v>
      </c>
    </row>
    <row r="3" spans="1:34" s="3165" customFormat="1" ht="14.25">
      <c r="A3" s="3177" t="s">
        <v>2971</v>
      </c>
      <c r="B3" s="3166"/>
      <c r="C3" s="3166"/>
      <c r="D3" s="3167"/>
      <c r="E3" s="3167"/>
      <c r="F3" s="3166"/>
      <c r="G3" s="3168"/>
      <c r="H3" s="3169"/>
      <c r="I3" s="3176">
        <f>ROUND(AVERAGE($I6:$I21),2)</f>
        <v>2.4500000000000002</v>
      </c>
      <c r="J3" s="3176">
        <f>ROUND(AVERAGE($J6:$J21),2)</f>
        <v>1.65</v>
      </c>
      <c r="K3" s="3176">
        <f>ROUND(AVERAGE($K6:$K21),2)</f>
        <v>2.71</v>
      </c>
      <c r="L3" s="3176">
        <f>ROUND(AVERAGE($L6:$L21),2)</f>
        <v>1.39</v>
      </c>
      <c r="N3" s="3168"/>
      <c r="O3" s="3170"/>
      <c r="P3" s="3170"/>
      <c r="Q3" s="3170"/>
      <c r="R3" s="3170"/>
      <c r="S3" s="3168"/>
      <c r="T3" s="3170"/>
      <c r="U3" s="3170"/>
      <c r="V3" s="3170"/>
      <c r="W3" s="3173"/>
      <c r="X3" s="3171">
        <f>ROUND(SUMPRODUCT(PRODUCT(1+N3:N$20)),4)</f>
        <v>1.4274</v>
      </c>
      <c r="Y3" s="3171">
        <f>ROUND(SUMPRODUCT(PRODUCT(1+O3:O$20)),4)</f>
        <v>1.2685</v>
      </c>
      <c r="Z3" s="3171">
        <f t="shared" ref="Z3:Z18" si="0">Y3</f>
        <v>1.2685</v>
      </c>
      <c r="AA3" s="3171">
        <f>ROUND(SUMPRODUCT(PRODUCT(1+P3:P$20)),4)</f>
        <v>1.4825999999999999</v>
      </c>
      <c r="AB3" s="3171">
        <f>ROUND(SUMPRODUCT(PRODUCT(1+Q3:Q$20)),4)</f>
        <v>1.2309000000000001</v>
      </c>
      <c r="AD3" s="3172">
        <f>ROUND(AVERAGE(I3:I$21)/100,4)</f>
        <v>2.3099999999999999E-2</v>
      </c>
      <c r="AE3" s="3172">
        <f>ROUND(AVERAGE(J3:J$21)/100,4)</f>
        <v>1.5599999999999999E-2</v>
      </c>
      <c r="AF3" s="3172">
        <f t="shared" ref="AF3:AF19" si="1">AE3</f>
        <v>1.5599999999999999E-2</v>
      </c>
      <c r="AG3" s="3172">
        <f>ROUND(AVERAGE(K3:K$21)/100,4)</f>
        <v>2.5600000000000001E-2</v>
      </c>
      <c r="AH3" s="3172">
        <f>ROUND(AVERAGE(L3:L$21)/100,4)</f>
        <v>1.32E-2</v>
      </c>
    </row>
    <row r="4" spans="1:34" s="2773" customFormat="1" ht="14.25">
      <c r="B4" s="2774"/>
      <c r="C4" s="2774"/>
      <c r="D4" s="2775"/>
      <c r="E4" s="2775"/>
      <c r="F4" s="2774"/>
      <c r="G4" s="2779"/>
      <c r="H4" s="2776"/>
      <c r="I4" s="3158"/>
      <c r="J4" s="3158"/>
      <c r="K4" s="3158"/>
      <c r="L4" s="3158"/>
      <c r="N4" s="2779"/>
      <c r="O4" s="2777"/>
      <c r="P4" s="2777"/>
      <c r="Q4" s="2777"/>
      <c r="R4" s="2777"/>
      <c r="S4" s="2779"/>
      <c r="T4" s="2777"/>
      <c r="U4" s="2777"/>
      <c r="V4" s="2777"/>
      <c r="W4" s="3174"/>
      <c r="X4" s="2778"/>
      <c r="Y4" s="2778"/>
      <c r="Z4" s="2778"/>
      <c r="AA4" s="2778"/>
      <c r="AB4" s="2778"/>
      <c r="AD4" s="2698"/>
      <c r="AE4" s="2698"/>
      <c r="AF4" s="2698"/>
      <c r="AG4" s="2698"/>
      <c r="AH4" s="2698"/>
    </row>
    <row r="5" spans="1:34" s="3144" customFormat="1" ht="13.5" thickBot="1">
      <c r="A5" s="3142" t="s">
        <v>2970</v>
      </c>
      <c r="B5" s="2819">
        <f>B6*(1+N5)</f>
        <v>439.19121308559727</v>
      </c>
      <c r="C5" s="2819">
        <f t="shared" ref="C5" si="2">C6*(1+O5)</f>
        <v>326.28510789673351</v>
      </c>
      <c r="D5" s="2819">
        <f t="shared" ref="D5:D10" si="3">C5</f>
        <v>326.28510789673351</v>
      </c>
      <c r="E5" s="2819">
        <f t="shared" ref="E5" si="4">E6*(1+P5)</f>
        <v>626.49404043656455</v>
      </c>
      <c r="F5" s="2819">
        <f t="shared" ref="F5" si="5">F6*(1+Q5)</f>
        <v>283.46416215500358</v>
      </c>
      <c r="G5" s="2779">
        <v>2018</v>
      </c>
      <c r="H5" s="3143">
        <v>1</v>
      </c>
      <c r="I5" s="3159">
        <v>0</v>
      </c>
      <c r="J5" s="3159">
        <v>0</v>
      </c>
      <c r="K5" s="3159">
        <v>0</v>
      </c>
      <c r="L5" s="3159">
        <v>0</v>
      </c>
      <c r="N5" s="2786">
        <f t="shared" ref="N5:N10" si="6">I5/100</f>
        <v>0</v>
      </c>
      <c r="O5" s="2786">
        <f t="shared" ref="O5" si="7">J5/100</f>
        <v>0</v>
      </c>
      <c r="P5" s="2786">
        <f t="shared" ref="P5" si="8">K5/100</f>
        <v>0</v>
      </c>
      <c r="Q5" s="2786">
        <f t="shared" ref="Q5" si="9">L5/100</f>
        <v>0</v>
      </c>
      <c r="R5" s="3145"/>
      <c r="S5" s="3146"/>
      <c r="T5" s="3145"/>
      <c r="U5" s="3145"/>
      <c r="V5" s="3145"/>
      <c r="W5" s="3175" t="s">
        <v>2972</v>
      </c>
      <c r="X5" s="3147">
        <f>ROUND(SUMPRODUCT(PRODUCT(1+N5:N$20)),4)</f>
        <v>1.4274</v>
      </c>
      <c r="Y5" s="3147">
        <f>ROUND(SUMPRODUCT(PRODUCT(1+O5:O$20)),4)</f>
        <v>1.2685</v>
      </c>
      <c r="Z5" s="3147">
        <f t="shared" ref="Z5" si="10">Y5</f>
        <v>1.2685</v>
      </c>
      <c r="AA5" s="3147">
        <f>ROUND(SUMPRODUCT(PRODUCT(1+P5:P$20)),4)</f>
        <v>1.4825999999999999</v>
      </c>
      <c r="AB5" s="3147">
        <f>ROUND(SUMPRODUCT(PRODUCT(1+Q5:Q$20)),4)</f>
        <v>1.2309000000000001</v>
      </c>
      <c r="AD5" s="3148">
        <f>ROUND(AVERAGE(I5:I$21)/100,4)</f>
        <v>2.3E-2</v>
      </c>
      <c r="AE5" s="3148">
        <f>ROUND(AVERAGE(J5:J$21)/100,4)</f>
        <v>1.55E-2</v>
      </c>
      <c r="AF5" s="3148">
        <f t="shared" ref="AF5" si="11">AE5</f>
        <v>1.55E-2</v>
      </c>
      <c r="AG5" s="3148">
        <f>ROUND(AVERAGE(K5:K$21)/100,4)</f>
        <v>2.5499999999999998E-2</v>
      </c>
      <c r="AH5" s="3148">
        <f>ROUND(AVERAGE(L5:L$21)/100,4)</f>
        <v>1.3100000000000001E-2</v>
      </c>
    </row>
    <row r="6" spans="1:34">
      <c r="A6" s="2679" t="s">
        <v>2968</v>
      </c>
      <c r="B6" s="2685">
        <f t="shared" ref="B6" si="12">B7*(1+N6)</f>
        <v>439.19121308559727</v>
      </c>
      <c r="C6" s="2685">
        <f t="shared" ref="C6" si="13">C7*(1+O6)</f>
        <v>326.28510789673351</v>
      </c>
      <c r="D6" s="2685">
        <f t="shared" si="3"/>
        <v>326.28510789673351</v>
      </c>
      <c r="E6" s="2685">
        <f t="shared" ref="E6" si="14">E7*(1+P6)</f>
        <v>626.49404043656455</v>
      </c>
      <c r="F6" s="2686">
        <f t="shared" ref="F6" si="15">F7*(1+Q6)</f>
        <v>283.46416215500358</v>
      </c>
      <c r="G6" s="3162">
        <v>2017</v>
      </c>
      <c r="H6" s="2680">
        <v>4</v>
      </c>
      <c r="I6" s="2680">
        <v>1.71</v>
      </c>
      <c r="J6" s="2680">
        <v>1.78</v>
      </c>
      <c r="K6" s="2680">
        <v>1.71</v>
      </c>
      <c r="L6" s="2681">
        <v>1.43</v>
      </c>
      <c r="N6" s="2688">
        <f t="shared" si="6"/>
        <v>1.7100000000000001E-2</v>
      </c>
      <c r="O6" s="2689">
        <f t="shared" ref="O6" si="16">J6/100</f>
        <v>1.78E-2</v>
      </c>
      <c r="P6" s="2689">
        <f t="shared" ref="P6" si="17">K6/100</f>
        <v>1.7100000000000001E-2</v>
      </c>
      <c r="Q6" s="2689">
        <f t="shared" ref="Q6" si="18">L6/100</f>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2973</v>
      </c>
      <c r="B7" s="2693">
        <f t="shared" ref="B7:C9" si="19">B8*(1+N7)</f>
        <v>431.80730811680002</v>
      </c>
      <c r="C7" s="2693">
        <f t="shared" si="19"/>
        <v>320.57880516480003</v>
      </c>
      <c r="D7" s="2693">
        <f t="shared" si="3"/>
        <v>320.57880516480003</v>
      </c>
      <c r="E7" s="2693">
        <f t="shared" ref="E7:F9" si="20">E8*(1+P7)</f>
        <v>615.96110553196797</v>
      </c>
      <c r="F7" s="2693">
        <f t="shared" si="20"/>
        <v>279.46777300108801</v>
      </c>
      <c r="G7" s="3164"/>
      <c r="H7" s="2683">
        <v>3</v>
      </c>
      <c r="I7" s="2683">
        <v>2.98</v>
      </c>
      <c r="J7" s="2683">
        <v>2.11</v>
      </c>
      <c r="K7" s="2683">
        <v>3.24</v>
      </c>
      <c r="L7" s="2694">
        <v>1.72</v>
      </c>
      <c r="M7" s="2687"/>
      <c r="N7" s="2688">
        <f t="shared" si="6"/>
        <v>2.98E-2</v>
      </c>
      <c r="O7" s="2689">
        <f t="shared" ref="O7:O8" si="21">J7/100</f>
        <v>2.1099999999999997E-2</v>
      </c>
      <c r="P7" s="2689">
        <f t="shared" ref="P7:P8" si="22">K7/100</f>
        <v>3.2400000000000005E-2</v>
      </c>
      <c r="Q7" s="2689">
        <f t="shared" ref="Q7:Q8" si="23">L7/100</f>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2587</v>
      </c>
      <c r="B8" s="2693">
        <f t="shared" si="19"/>
        <v>419.31181600000002</v>
      </c>
      <c r="C8" s="2693">
        <f t="shared" si="19"/>
        <v>313.95436800000004</v>
      </c>
      <c r="D8" s="2693">
        <f t="shared" si="3"/>
        <v>313.95436800000004</v>
      </c>
      <c r="E8" s="2693">
        <f t="shared" si="20"/>
        <v>596.63028431999999</v>
      </c>
      <c r="F8" s="2693">
        <f t="shared" si="20"/>
        <v>274.74220703999998</v>
      </c>
      <c r="G8" s="3163"/>
      <c r="H8" s="2684">
        <v>2</v>
      </c>
      <c r="I8" s="2684">
        <v>3.4</v>
      </c>
      <c r="J8" s="2684">
        <v>2</v>
      </c>
      <c r="K8" s="2684">
        <v>3.82</v>
      </c>
      <c r="L8" s="2695">
        <v>1.68</v>
      </c>
      <c r="N8" s="2688">
        <f t="shared" si="6"/>
        <v>3.4000000000000002E-2</v>
      </c>
      <c r="O8" s="2689">
        <f t="shared" si="21"/>
        <v>0.02</v>
      </c>
      <c r="P8" s="2689">
        <f t="shared" si="22"/>
        <v>3.8199999999999998E-2</v>
      </c>
      <c r="Q8" s="2689">
        <f t="shared" si="23"/>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2588</v>
      </c>
      <c r="B9" s="2693">
        <f t="shared" si="19"/>
        <v>405.524</v>
      </c>
      <c r="C9" s="2693">
        <f t="shared" si="19"/>
        <v>307.79840000000002</v>
      </c>
      <c r="D9" s="2693">
        <f t="shared" si="3"/>
        <v>307.79840000000002</v>
      </c>
      <c r="E9" s="2693">
        <f t="shared" si="20"/>
        <v>574.67759999999998</v>
      </c>
      <c r="F9" s="2693">
        <f t="shared" si="20"/>
        <v>270.20280000000002</v>
      </c>
      <c r="G9" s="3164"/>
      <c r="H9" s="2683">
        <v>1</v>
      </c>
      <c r="I9" s="2683">
        <v>3.45</v>
      </c>
      <c r="J9" s="2683">
        <v>1.92</v>
      </c>
      <c r="K9" s="2683">
        <v>3.92</v>
      </c>
      <c r="L9" s="2694">
        <v>1.58</v>
      </c>
      <c r="M9" s="2687"/>
      <c r="N9" s="2688">
        <f t="shared" si="6"/>
        <v>3.4500000000000003E-2</v>
      </c>
      <c r="O9" s="2689">
        <f t="shared" ref="O9" si="24">J9/100</f>
        <v>1.9199999999999998E-2</v>
      </c>
      <c r="P9" s="2689">
        <f t="shared" ref="P9" si="25">K9/100</f>
        <v>3.9199999999999999E-2</v>
      </c>
      <c r="Q9" s="2689">
        <f t="shared" ref="Q9" si="26">L9/100</f>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972</v>
      </c>
      <c r="B10" s="2685">
        <v>392</v>
      </c>
      <c r="C10" s="2685">
        <v>302</v>
      </c>
      <c r="D10" s="2685">
        <f t="shared" si="3"/>
        <v>302</v>
      </c>
      <c r="E10" s="2685">
        <v>553</v>
      </c>
      <c r="F10" s="2686">
        <v>266</v>
      </c>
      <c r="G10" s="3825">
        <v>2016</v>
      </c>
      <c r="H10" s="2680">
        <v>4</v>
      </c>
      <c r="I10" s="2680">
        <v>4.5599999999999996</v>
      </c>
      <c r="J10" s="2680">
        <v>2.15</v>
      </c>
      <c r="K10" s="2680">
        <v>5.32</v>
      </c>
      <c r="L10" s="2681">
        <v>1.57</v>
      </c>
      <c r="N10" s="2688">
        <f t="shared" si="6"/>
        <v>4.5599999999999995E-2</v>
      </c>
      <c r="O10" s="2689">
        <f t="shared" ref="O10:Q25" si="27">J10/100</f>
        <v>2.1499999999999998E-2</v>
      </c>
      <c r="P10" s="2689">
        <f t="shared" si="27"/>
        <v>5.3200000000000004E-2</v>
      </c>
      <c r="Q10" s="2689">
        <f t="shared" si="2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971</v>
      </c>
      <c r="B11" s="2693">
        <f t="shared" ref="B11:C13" si="28">B10/(1+N10)</f>
        <v>374.90436113236416</v>
      </c>
      <c r="C11" s="2693">
        <f t="shared" si="28"/>
        <v>295.64366128242779</v>
      </c>
      <c r="D11" s="2693">
        <f t="shared" ref="D11:D70" si="29">C11</f>
        <v>295.64366128242779</v>
      </c>
      <c r="E11" s="2693">
        <f t="shared" ref="E11:F13" si="30">E10/(1+P10)</f>
        <v>525.06646410938095</v>
      </c>
      <c r="F11" s="2693">
        <f t="shared" si="30"/>
        <v>261.88835286009646</v>
      </c>
      <c r="G11" s="3820"/>
      <c r="H11" s="2683">
        <v>3</v>
      </c>
      <c r="I11" s="2683">
        <v>4.12</v>
      </c>
      <c r="J11" s="2683">
        <v>2</v>
      </c>
      <c r="K11" s="2683">
        <v>4.79</v>
      </c>
      <c r="L11" s="2694">
        <v>1.97</v>
      </c>
      <c r="N11" s="2688">
        <f t="shared" ref="N11:Q45" si="31">I11/100</f>
        <v>4.1200000000000001E-2</v>
      </c>
      <c r="O11" s="2689">
        <f t="shared" si="27"/>
        <v>0.02</v>
      </c>
      <c r="P11" s="2689">
        <f t="shared" si="27"/>
        <v>4.7899999999999998E-2</v>
      </c>
      <c r="Q11" s="2689">
        <f t="shared" si="2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961</v>
      </c>
      <c r="B12" s="2693">
        <f t="shared" si="28"/>
        <v>360.06949782209392</v>
      </c>
      <c r="C12" s="2693">
        <f t="shared" si="28"/>
        <v>289.84672674747821</v>
      </c>
      <c r="D12" s="2693">
        <f t="shared" si="29"/>
        <v>289.84672674747821</v>
      </c>
      <c r="E12" s="2693">
        <f t="shared" si="30"/>
        <v>501.06543001181495</v>
      </c>
      <c r="F12" s="2693">
        <f t="shared" si="30"/>
        <v>256.82882500744967</v>
      </c>
      <c r="G12" s="3820"/>
      <c r="H12" s="2684">
        <v>2</v>
      </c>
      <c r="I12" s="2684">
        <v>3.85</v>
      </c>
      <c r="J12" s="2684">
        <v>1.95</v>
      </c>
      <c r="K12" s="2684">
        <v>4.4800000000000004</v>
      </c>
      <c r="L12" s="2695">
        <v>1.41</v>
      </c>
      <c r="N12" s="2688">
        <f t="shared" si="31"/>
        <v>3.85E-2</v>
      </c>
      <c r="O12" s="2689">
        <f t="shared" si="27"/>
        <v>1.95E-2</v>
      </c>
      <c r="P12" s="2689">
        <f t="shared" si="27"/>
        <v>4.4800000000000006E-2</v>
      </c>
      <c r="Q12" s="2689">
        <f t="shared" si="2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970</v>
      </c>
      <c r="B13" s="2693">
        <f t="shared" si="28"/>
        <v>346.720748986128</v>
      </c>
      <c r="C13" s="2693">
        <f t="shared" si="28"/>
        <v>284.30282172386285</v>
      </c>
      <c r="D13" s="2693">
        <f t="shared" si="29"/>
        <v>284.30282172386285</v>
      </c>
      <c r="E13" s="2693">
        <f t="shared" si="30"/>
        <v>479.58023546306947</v>
      </c>
      <c r="F13" s="2693">
        <f t="shared" si="30"/>
        <v>253.25788877571213</v>
      </c>
      <c r="G13" s="3821"/>
      <c r="H13" s="2683">
        <v>1</v>
      </c>
      <c r="I13" s="2683">
        <v>4.09</v>
      </c>
      <c r="J13" s="2683">
        <v>2.93</v>
      </c>
      <c r="K13" s="2683">
        <v>4.54</v>
      </c>
      <c r="L13" s="2694">
        <v>1.48</v>
      </c>
      <c r="N13" s="2688">
        <f t="shared" si="31"/>
        <v>4.0899999999999999E-2</v>
      </c>
      <c r="O13" s="2689">
        <f t="shared" si="27"/>
        <v>2.9300000000000003E-2</v>
      </c>
      <c r="P13" s="2689">
        <f t="shared" si="27"/>
        <v>4.5400000000000003E-2</v>
      </c>
      <c r="Q13" s="2689">
        <f t="shared" si="2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969</v>
      </c>
      <c r="B14" s="2685">
        <v>333</v>
      </c>
      <c r="C14" s="2685">
        <v>277</v>
      </c>
      <c r="D14" s="2685">
        <f t="shared" si="29"/>
        <v>277</v>
      </c>
      <c r="E14" s="2685">
        <v>459</v>
      </c>
      <c r="F14" s="2686">
        <v>249</v>
      </c>
      <c r="G14" s="3819">
        <v>2015</v>
      </c>
      <c r="H14" s="2699">
        <v>4</v>
      </c>
      <c r="I14" s="2699">
        <v>1.63</v>
      </c>
      <c r="J14" s="2699">
        <v>1.1100000000000001</v>
      </c>
      <c r="K14" s="2699">
        <v>1.77</v>
      </c>
      <c r="L14" s="2700">
        <v>1.89</v>
      </c>
      <c r="N14" s="2701">
        <f t="shared" si="31"/>
        <v>1.6299999999999999E-2</v>
      </c>
      <c r="O14" s="2702">
        <f t="shared" si="27"/>
        <v>1.11E-2</v>
      </c>
      <c r="P14" s="2702">
        <f t="shared" si="27"/>
        <v>1.77E-2</v>
      </c>
      <c r="Q14" s="2702">
        <f t="shared" si="2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968</v>
      </c>
      <c r="B15" s="2693">
        <f t="shared" ref="B15:C17" si="32">B14/(1+N14)</f>
        <v>327.65915576109415</v>
      </c>
      <c r="C15" s="2693">
        <f t="shared" si="32"/>
        <v>273.95905449510434</v>
      </c>
      <c r="D15" s="2693">
        <f t="shared" si="29"/>
        <v>273.95905449510434</v>
      </c>
      <c r="E15" s="2693">
        <f t="shared" ref="E15:F17" si="33">E14/(1+P14)</f>
        <v>451.01699911565294</v>
      </c>
      <c r="F15" s="2693">
        <f t="shared" si="33"/>
        <v>244.38119540681129</v>
      </c>
      <c r="G15" s="3820"/>
      <c r="H15" s="2704">
        <v>3</v>
      </c>
      <c r="I15" s="2704">
        <v>1.65</v>
      </c>
      <c r="J15" s="2704">
        <v>0.92</v>
      </c>
      <c r="K15" s="2704">
        <v>1.88</v>
      </c>
      <c r="L15" s="2705">
        <v>1.26</v>
      </c>
      <c r="N15" s="2688">
        <f t="shared" si="31"/>
        <v>1.6500000000000001E-2</v>
      </c>
      <c r="O15" s="2706">
        <f t="shared" si="27"/>
        <v>9.1999999999999998E-3</v>
      </c>
      <c r="P15" s="2706">
        <f t="shared" si="27"/>
        <v>1.8799999999999997E-2</v>
      </c>
      <c r="Q15" s="2706">
        <f t="shared" si="2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967</v>
      </c>
      <c r="B16" s="2693">
        <f t="shared" si="32"/>
        <v>322.34053690220776</v>
      </c>
      <c r="C16" s="2693">
        <f t="shared" si="32"/>
        <v>271.46160770422546</v>
      </c>
      <c r="D16" s="2693">
        <f t="shared" si="29"/>
        <v>271.46160770422546</v>
      </c>
      <c r="E16" s="2693">
        <f t="shared" si="33"/>
        <v>442.69434542172456</v>
      </c>
      <c r="F16" s="2693">
        <f t="shared" si="33"/>
        <v>241.34030753190925</v>
      </c>
      <c r="G16" s="3820"/>
      <c r="H16" s="2684">
        <v>2</v>
      </c>
      <c r="I16" s="2684">
        <v>0.77</v>
      </c>
      <c r="J16" s="2684">
        <v>0.69</v>
      </c>
      <c r="K16" s="2684">
        <v>0.8</v>
      </c>
      <c r="L16" s="2695">
        <v>0.88</v>
      </c>
      <c r="N16" s="2688">
        <f t="shared" si="31"/>
        <v>7.7000000000000002E-3</v>
      </c>
      <c r="O16" s="2706">
        <f t="shared" si="27"/>
        <v>6.8999999999999999E-3</v>
      </c>
      <c r="P16" s="2706">
        <f t="shared" si="27"/>
        <v>8.0000000000000002E-3</v>
      </c>
      <c r="Q16" s="2706">
        <f t="shared" si="2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966</v>
      </c>
      <c r="B17" s="2693">
        <f t="shared" si="32"/>
        <v>319.87748030386797</v>
      </c>
      <c r="C17" s="2693">
        <f t="shared" si="32"/>
        <v>269.60135833173649</v>
      </c>
      <c r="D17" s="2693">
        <f t="shared" si="29"/>
        <v>269.60135833173649</v>
      </c>
      <c r="E17" s="2693">
        <f t="shared" si="33"/>
        <v>439.18089823583784</v>
      </c>
      <c r="F17" s="2693">
        <f t="shared" si="33"/>
        <v>239.23503918706311</v>
      </c>
      <c r="G17" s="3821"/>
      <c r="H17" s="2683">
        <v>1</v>
      </c>
      <c r="I17" s="2683">
        <v>0.51</v>
      </c>
      <c r="J17" s="2683">
        <v>0.54</v>
      </c>
      <c r="K17" s="2683">
        <v>0.48</v>
      </c>
      <c r="L17" s="2694">
        <v>0.93</v>
      </c>
      <c r="N17" s="2696">
        <f t="shared" si="31"/>
        <v>5.1000000000000004E-3</v>
      </c>
      <c r="O17" s="2697">
        <f t="shared" si="27"/>
        <v>5.4000000000000003E-3</v>
      </c>
      <c r="P17" s="2697">
        <f t="shared" si="27"/>
        <v>4.7999999999999996E-3</v>
      </c>
      <c r="Q17" s="2697">
        <f t="shared" si="2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965</v>
      </c>
      <c r="B18" s="2707">
        <v>318</v>
      </c>
      <c r="C18" s="2707">
        <v>268</v>
      </c>
      <c r="D18" s="2707">
        <f t="shared" si="29"/>
        <v>268</v>
      </c>
      <c r="E18" s="2707">
        <v>437</v>
      </c>
      <c r="F18" s="2708">
        <v>237</v>
      </c>
      <c r="G18" s="3819">
        <v>2014</v>
      </c>
      <c r="H18" s="2699">
        <v>4</v>
      </c>
      <c r="I18" s="2699">
        <v>0.21</v>
      </c>
      <c r="J18" s="2699">
        <v>0.41</v>
      </c>
      <c r="K18" s="2699">
        <v>0.12</v>
      </c>
      <c r="L18" s="2700">
        <v>0.89</v>
      </c>
      <c r="N18" s="2688">
        <f t="shared" si="31"/>
        <v>2.0999999999999999E-3</v>
      </c>
      <c r="O18" s="2689">
        <f t="shared" si="27"/>
        <v>4.0999999999999995E-3</v>
      </c>
      <c r="P18" s="2689">
        <f t="shared" si="27"/>
        <v>1.1999999999999999E-3</v>
      </c>
      <c r="Q18" s="2689">
        <f t="shared" si="2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964</v>
      </c>
      <c r="B19" s="2693">
        <f t="shared" ref="B19:C21" si="34">B18/(1+N18)</f>
        <v>317.33359944117353</v>
      </c>
      <c r="C19" s="2693">
        <f t="shared" si="34"/>
        <v>266.90568668459315</v>
      </c>
      <c r="D19" s="2693">
        <f t="shared" si="29"/>
        <v>266.90568668459315</v>
      </c>
      <c r="E19" s="2693">
        <f t="shared" ref="E19:F21" si="35">E18/(1+P18)</f>
        <v>436.47622852576905</v>
      </c>
      <c r="F19" s="2693">
        <f t="shared" si="35"/>
        <v>234.90930716622066</v>
      </c>
      <c r="G19" s="3820"/>
      <c r="H19" s="2709">
        <v>3</v>
      </c>
      <c r="I19" s="2709">
        <v>0.83</v>
      </c>
      <c r="J19" s="2709">
        <v>1.47</v>
      </c>
      <c r="K19" s="2709">
        <v>0.65</v>
      </c>
      <c r="L19" s="2710">
        <v>0.72</v>
      </c>
      <c r="N19" s="2688">
        <f t="shared" si="31"/>
        <v>8.3000000000000001E-3</v>
      </c>
      <c r="O19" s="2689">
        <f t="shared" si="27"/>
        <v>1.47E-2</v>
      </c>
      <c r="P19" s="2689">
        <f t="shared" si="27"/>
        <v>6.5000000000000006E-3</v>
      </c>
      <c r="Q19" s="2689">
        <f t="shared" si="27"/>
        <v>7.1999999999999998E-3</v>
      </c>
      <c r="R19" s="2690"/>
      <c r="S19" s="2688"/>
      <c r="T19" s="2689"/>
      <c r="U19" s="2689"/>
      <c r="V19" s="2689"/>
      <c r="X19" s="2778">
        <f>ROUND(SUMPRODUCT(PRODUCT(1+N19:N$20)),4)</f>
        <v>1.0325</v>
      </c>
      <c r="Y19" s="2778">
        <f>ROUND(SUMPRODUCT(PRODUCT(1+O19:O$20)),4)</f>
        <v>1.0353000000000001</v>
      </c>
      <c r="Z19" s="2778">
        <f t="shared" ref="Z19:Z20" si="36">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963</v>
      </c>
      <c r="B20" s="2693">
        <f t="shared" si="34"/>
        <v>314.72141172386546</v>
      </c>
      <c r="C20" s="2693">
        <f t="shared" si="34"/>
        <v>263.03901319069001</v>
      </c>
      <c r="D20" s="2693">
        <f t="shared" si="29"/>
        <v>263.03901319069001</v>
      </c>
      <c r="E20" s="2693">
        <f t="shared" si="35"/>
        <v>433.65745506782821</v>
      </c>
      <c r="F20" s="2693">
        <f t="shared" si="35"/>
        <v>233.23005080045735</v>
      </c>
      <c r="G20" s="3820"/>
      <c r="H20" s="2699">
        <v>2</v>
      </c>
      <c r="I20" s="2699">
        <v>2.4</v>
      </c>
      <c r="J20" s="2699">
        <v>2.0299999999999998</v>
      </c>
      <c r="K20" s="2699">
        <v>2.59</v>
      </c>
      <c r="L20" s="2700">
        <v>1.52</v>
      </c>
      <c r="N20" s="2688">
        <f t="shared" si="31"/>
        <v>2.4E-2</v>
      </c>
      <c r="O20" s="2689">
        <f t="shared" si="27"/>
        <v>2.0299999999999999E-2</v>
      </c>
      <c r="P20" s="2689">
        <f t="shared" si="27"/>
        <v>2.5899999999999999E-2</v>
      </c>
      <c r="Q20" s="2689">
        <f t="shared" si="27"/>
        <v>1.52E-2</v>
      </c>
      <c r="R20" s="2690"/>
      <c r="S20" s="2688"/>
      <c r="T20" s="2689"/>
      <c r="U20" s="2689"/>
      <c r="V20" s="2689"/>
      <c r="X20" s="2778">
        <f>1+N20</f>
        <v>1.024</v>
      </c>
      <c r="Y20" s="2778">
        <f>1+O20</f>
        <v>1.0203</v>
      </c>
      <c r="Z20" s="2778">
        <f t="shared" si="36"/>
        <v>1.0203</v>
      </c>
      <c r="AA20" s="2778">
        <f>1+P20</f>
        <v>1.0259</v>
      </c>
      <c r="AB20" s="2778">
        <f>1+Q20</f>
        <v>1.0152000000000001</v>
      </c>
      <c r="AD20" s="2698">
        <f>ROUND(AVERAGE(I20:I$21)/100,4)</f>
        <v>2.69E-2</v>
      </c>
      <c r="AE20" s="2698">
        <f>ROUND(AVERAGE(J20:J$21)/100,4)</f>
        <v>2.1899999999999999E-2</v>
      </c>
      <c r="AF20" s="2698">
        <f t="shared" ref="AF20" si="37">AE20</f>
        <v>2.1899999999999999E-2</v>
      </c>
      <c r="AG20" s="2698">
        <f>ROUND(AVERAGE(K20:K$21)/100,4)</f>
        <v>2.9399999999999999E-2</v>
      </c>
      <c r="AH20" s="2698">
        <f>ROUND(AVERAGE(L20:L$21)/100,4)</f>
        <v>1.44E-2</v>
      </c>
    </row>
    <row r="21" spans="1:34" s="2715" customFormat="1" ht="13.5" thickBot="1">
      <c r="A21" s="2711" t="s">
        <v>962</v>
      </c>
      <c r="B21" s="2712">
        <f t="shared" si="34"/>
        <v>307.34512863658733</v>
      </c>
      <c r="C21" s="2712">
        <f t="shared" si="34"/>
        <v>257.80556031626975</v>
      </c>
      <c r="D21" s="2712">
        <f t="shared" si="29"/>
        <v>257.80556031626975</v>
      </c>
      <c r="E21" s="2712">
        <f t="shared" si="35"/>
        <v>422.70928459677179</v>
      </c>
      <c r="F21" s="2712">
        <f t="shared" si="35"/>
        <v>229.73803270336617</v>
      </c>
      <c r="G21" s="3821"/>
      <c r="H21" s="2713">
        <v>1</v>
      </c>
      <c r="I21" s="2713">
        <v>2.97</v>
      </c>
      <c r="J21" s="2713">
        <v>2.34</v>
      </c>
      <c r="K21" s="2713">
        <v>3.28</v>
      </c>
      <c r="L21" s="2714">
        <v>1.36</v>
      </c>
      <c r="N21" s="2716">
        <f t="shared" si="31"/>
        <v>2.9700000000000001E-2</v>
      </c>
      <c r="O21" s="2717">
        <f t="shared" si="27"/>
        <v>2.3399999999999997E-2</v>
      </c>
      <c r="P21" s="2717">
        <f t="shared" si="27"/>
        <v>3.2799999999999996E-2</v>
      </c>
      <c r="Q21" s="2717">
        <f t="shared" si="27"/>
        <v>1.3600000000000001E-2</v>
      </c>
      <c r="R21" s="2718"/>
      <c r="S21" s="2719">
        <f>B21/B22-1</f>
        <v>2.7910129219355539E-2</v>
      </c>
      <c r="T21" s="2720">
        <f>C21/C22-1</f>
        <v>2.3037937762975247E-2</v>
      </c>
      <c r="U21" s="2720">
        <f>E21/E22-1</f>
        <v>3.3519033243940788E-2</v>
      </c>
      <c r="V21" s="2720">
        <f>F21/F22-1</f>
        <v>1.2061818076502862E-2</v>
      </c>
      <c r="W21" s="2787" t="s">
        <v>2646</v>
      </c>
      <c r="X21" s="2789">
        <v>1</v>
      </c>
      <c r="Y21" s="2789">
        <v>1</v>
      </c>
      <c r="Z21" s="2789">
        <v>1</v>
      </c>
      <c r="AA21" s="2789">
        <v>1</v>
      </c>
      <c r="AB21" s="2789">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79" t="s">
        <v>2589</v>
      </c>
      <c r="B22" s="2685">
        <v>299</v>
      </c>
      <c r="C22" s="2685">
        <v>252</v>
      </c>
      <c r="D22" s="2685">
        <f t="shared" si="29"/>
        <v>252</v>
      </c>
      <c r="E22" s="2685">
        <v>409</v>
      </c>
      <c r="F22" s="2686">
        <v>227</v>
      </c>
      <c r="G22" s="3822">
        <v>2013</v>
      </c>
      <c r="H22" s="2721">
        <v>4</v>
      </c>
      <c r="I22" s="2721">
        <v>1.83</v>
      </c>
      <c r="J22" s="2721">
        <v>1.68</v>
      </c>
      <c r="K22" s="2721">
        <v>1.97</v>
      </c>
      <c r="L22" s="2722">
        <v>0.87</v>
      </c>
      <c r="N22" s="2701">
        <f t="shared" si="31"/>
        <v>1.83E-2</v>
      </c>
      <c r="O22" s="2702">
        <f t="shared" si="27"/>
        <v>1.6799999999999999E-2</v>
      </c>
      <c r="P22" s="2702">
        <f t="shared" si="27"/>
        <v>1.9699999999999999E-2</v>
      </c>
      <c r="Q22" s="2702">
        <f t="shared" si="27"/>
        <v>8.6999999999999994E-3</v>
      </c>
      <c r="R22" s="2690"/>
      <c r="S22" s="2691"/>
      <c r="T22" s="2692"/>
      <c r="U22" s="2692"/>
      <c r="V22" s="2692"/>
      <c r="X22" s="2692"/>
      <c r="Y22" s="2692"/>
      <c r="Z22" s="2692"/>
    </row>
    <row r="23" spans="1:34">
      <c r="A23" s="2679" t="s">
        <v>2590</v>
      </c>
      <c r="B23" s="2693">
        <f t="shared" ref="B23:C25" si="38">B22/(1+N22)</f>
        <v>293.62663262299913</v>
      </c>
      <c r="C23" s="2693">
        <f t="shared" si="38"/>
        <v>247.83634933123525</v>
      </c>
      <c r="D23" s="2693">
        <f t="shared" si="29"/>
        <v>247.83634933123525</v>
      </c>
      <c r="E23" s="2693">
        <f t="shared" ref="E23:F25" si="39">E22/(1+P22)</f>
        <v>401.09836226341076</v>
      </c>
      <c r="F23" s="2693">
        <f t="shared" si="39"/>
        <v>225.04213343908003</v>
      </c>
      <c r="G23" s="3823"/>
      <c r="H23" s="2704">
        <v>3</v>
      </c>
      <c r="I23" s="2704">
        <v>1.86</v>
      </c>
      <c r="J23" s="2704">
        <v>1.72</v>
      </c>
      <c r="K23" s="2704">
        <v>1.98</v>
      </c>
      <c r="L23" s="2705">
        <v>0.88</v>
      </c>
      <c r="N23" s="2688">
        <f t="shared" si="31"/>
        <v>1.8600000000000002E-2</v>
      </c>
      <c r="O23" s="2706">
        <f t="shared" si="27"/>
        <v>1.72E-2</v>
      </c>
      <c r="P23" s="2706">
        <f t="shared" si="27"/>
        <v>1.9799999999999998E-2</v>
      </c>
      <c r="Q23" s="2706">
        <f t="shared" si="27"/>
        <v>8.8000000000000005E-3</v>
      </c>
      <c r="R23" s="2690"/>
      <c r="S23" s="2688"/>
      <c r="T23" s="2689"/>
      <c r="U23" s="2689"/>
      <c r="V23" s="2689"/>
    </row>
    <row r="24" spans="1:34">
      <c r="A24" s="2679" t="s">
        <v>2591</v>
      </c>
      <c r="B24" s="2693">
        <f t="shared" si="38"/>
        <v>288.2649053828776</v>
      </c>
      <c r="C24" s="2693">
        <f t="shared" si="38"/>
        <v>243.64564425013293</v>
      </c>
      <c r="D24" s="2693">
        <f t="shared" si="29"/>
        <v>243.64564425013293</v>
      </c>
      <c r="E24" s="2693">
        <f t="shared" si="39"/>
        <v>393.31080825986544</v>
      </c>
      <c r="F24" s="2693">
        <f t="shared" si="39"/>
        <v>223.07903790551154</v>
      </c>
      <c r="G24" s="3823"/>
      <c r="H24" s="2684">
        <v>2</v>
      </c>
      <c r="I24" s="2684">
        <v>2.04</v>
      </c>
      <c r="J24" s="2684">
        <v>2.33</v>
      </c>
      <c r="K24" s="2684">
        <v>2.0699999999999998</v>
      </c>
      <c r="L24" s="2695">
        <v>0.69</v>
      </c>
      <c r="N24" s="2688">
        <f t="shared" si="31"/>
        <v>2.0400000000000001E-2</v>
      </c>
      <c r="O24" s="2706">
        <f t="shared" si="27"/>
        <v>2.3300000000000001E-2</v>
      </c>
      <c r="P24" s="2706">
        <f t="shared" si="27"/>
        <v>2.07E-2</v>
      </c>
      <c r="Q24" s="2706">
        <f t="shared" si="27"/>
        <v>6.8999999999999999E-3</v>
      </c>
      <c r="R24" s="2690"/>
      <c r="S24" s="2688"/>
      <c r="T24" s="2689"/>
      <c r="U24" s="2689"/>
      <c r="V24" s="2689"/>
      <c r="X24" s="2790"/>
      <c r="Y24" s="2792"/>
    </row>
    <row r="25" spans="1:34">
      <c r="A25" s="2679" t="s">
        <v>2592</v>
      </c>
      <c r="B25" s="2693">
        <f t="shared" si="38"/>
        <v>282.50186729015837</v>
      </c>
      <c r="C25" s="2693">
        <f t="shared" si="38"/>
        <v>238.09796174155468</v>
      </c>
      <c r="D25" s="2693">
        <f t="shared" si="29"/>
        <v>238.09796174155468</v>
      </c>
      <c r="E25" s="2693">
        <f t="shared" si="39"/>
        <v>385.33438646014054</v>
      </c>
      <c r="F25" s="2693">
        <f t="shared" si="39"/>
        <v>221.55034055567739</v>
      </c>
      <c r="G25" s="3824"/>
      <c r="H25" s="2683">
        <v>1</v>
      </c>
      <c r="I25" s="2683">
        <v>1.67</v>
      </c>
      <c r="J25" s="2683">
        <v>1.31</v>
      </c>
      <c r="K25" s="2683">
        <v>1.85</v>
      </c>
      <c r="L25" s="2694">
        <v>0.96</v>
      </c>
      <c r="N25" s="2696">
        <f t="shared" si="31"/>
        <v>1.67E-2</v>
      </c>
      <c r="O25" s="2697">
        <f t="shared" si="27"/>
        <v>1.3100000000000001E-2</v>
      </c>
      <c r="P25" s="2697">
        <f t="shared" si="27"/>
        <v>1.8500000000000003E-2</v>
      </c>
      <c r="Q25" s="2697">
        <f t="shared" si="2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2593</v>
      </c>
      <c r="B26" s="2723">
        <v>278</v>
      </c>
      <c r="C26" s="2723">
        <v>234</v>
      </c>
      <c r="D26" s="2723">
        <f t="shared" si="29"/>
        <v>234</v>
      </c>
      <c r="E26" s="2723">
        <v>379</v>
      </c>
      <c r="F26" s="2724">
        <v>220</v>
      </c>
      <c r="G26" s="3819">
        <v>2012</v>
      </c>
      <c r="H26" s="2699">
        <v>4</v>
      </c>
      <c r="I26" s="2699">
        <v>0.91</v>
      </c>
      <c r="J26" s="2699">
        <v>0.68</v>
      </c>
      <c r="K26" s="2699">
        <v>0.98</v>
      </c>
      <c r="L26" s="2700">
        <v>0.9</v>
      </c>
      <c r="N26" s="2688">
        <f t="shared" si="31"/>
        <v>9.1000000000000004E-3</v>
      </c>
      <c r="O26" s="2689">
        <f t="shared" si="31"/>
        <v>6.8000000000000005E-3</v>
      </c>
      <c r="P26" s="2689">
        <f t="shared" si="31"/>
        <v>9.7999999999999997E-3</v>
      </c>
      <c r="Q26" s="2689">
        <f t="shared" si="31"/>
        <v>9.0000000000000011E-3</v>
      </c>
      <c r="R26" s="2690"/>
      <c r="S26" s="2691"/>
      <c r="T26" s="2692"/>
      <c r="U26" s="2692"/>
      <c r="V26" s="2692"/>
      <c r="X26" s="2692"/>
      <c r="Y26" s="2692"/>
      <c r="Z26" s="2692"/>
    </row>
    <row r="27" spans="1:34">
      <c r="A27" s="2679" t="s">
        <v>2594</v>
      </c>
      <c r="B27" s="2693">
        <f>B26/(1+N26)</f>
        <v>275.49301357645425</v>
      </c>
      <c r="C27" s="2693">
        <f>C26/(1+O26)</f>
        <v>232.41954707985698</v>
      </c>
      <c r="D27" s="2693">
        <f t="shared" si="29"/>
        <v>232.41954707985698</v>
      </c>
      <c r="E27" s="2693">
        <f t="shared" ref="E27:F29" si="40">E26/(1+P26)</f>
        <v>375.32184591008121</v>
      </c>
      <c r="F27" s="2693">
        <f t="shared" si="40"/>
        <v>218.03766105054513</v>
      </c>
      <c r="G27" s="3820"/>
      <c r="H27" s="2704">
        <v>3</v>
      </c>
      <c r="I27" s="2704">
        <v>0.09</v>
      </c>
      <c r="J27" s="2704">
        <v>0.28999999999999998</v>
      </c>
      <c r="K27" s="2704">
        <v>-0.01</v>
      </c>
      <c r="L27" s="2705">
        <v>0.57999999999999996</v>
      </c>
      <c r="N27" s="2688">
        <f t="shared" si="31"/>
        <v>8.9999999999999998E-4</v>
      </c>
      <c r="O27" s="2689">
        <f t="shared" si="31"/>
        <v>2.8999999999999998E-3</v>
      </c>
      <c r="P27" s="2689">
        <f t="shared" si="31"/>
        <v>-1E-4</v>
      </c>
      <c r="Q27" s="2689">
        <f t="shared" si="31"/>
        <v>5.7999999999999996E-3</v>
      </c>
      <c r="R27" s="2690"/>
      <c r="S27" s="2688"/>
      <c r="T27" s="2689"/>
      <c r="U27" s="2689"/>
      <c r="V27" s="2689"/>
    </row>
    <row r="28" spans="1:34">
      <c r="A28" s="2679" t="s">
        <v>2595</v>
      </c>
      <c r="B28" s="2693">
        <f>B27/(1+N27)</f>
        <v>275.24529281292263</v>
      </c>
      <c r="C28" s="2693">
        <f>C27/(1+O27)</f>
        <v>231.74747938962707</v>
      </c>
      <c r="D28" s="2693">
        <f t="shared" si="29"/>
        <v>231.74747938962707</v>
      </c>
      <c r="E28" s="2693">
        <f t="shared" si="40"/>
        <v>375.35938184826603</v>
      </c>
      <c r="F28" s="2693">
        <f t="shared" si="40"/>
        <v>216.78033510692495</v>
      </c>
      <c r="G28" s="3820"/>
      <c r="H28" s="2684">
        <v>2</v>
      </c>
      <c r="I28" s="2684">
        <v>0.02</v>
      </c>
      <c r="J28" s="2684">
        <v>0.12</v>
      </c>
      <c r="K28" s="2684">
        <v>-0.08</v>
      </c>
      <c r="L28" s="2695">
        <v>1.24</v>
      </c>
      <c r="N28" s="2688">
        <f t="shared" si="31"/>
        <v>2.0000000000000001E-4</v>
      </c>
      <c r="O28" s="2689">
        <f t="shared" si="31"/>
        <v>1.1999999999999999E-3</v>
      </c>
      <c r="P28" s="2689">
        <f t="shared" si="31"/>
        <v>-8.0000000000000004E-4</v>
      </c>
      <c r="Q28" s="2689">
        <f t="shared" si="31"/>
        <v>1.24E-2</v>
      </c>
      <c r="R28" s="2690"/>
      <c r="S28" s="2688"/>
      <c r="T28" s="2689"/>
      <c r="U28" s="2689"/>
      <c r="V28" s="2689"/>
    </row>
    <row r="29" spans="1:34" ht="13.5" thickBot="1">
      <c r="A29" s="2679" t="s">
        <v>2596</v>
      </c>
      <c r="B29" s="2693">
        <f>B28/(1+N28)</f>
        <v>275.19025476197027</v>
      </c>
      <c r="C29" s="2725">
        <v>232</v>
      </c>
      <c r="D29" s="2725">
        <f t="shared" si="29"/>
        <v>232</v>
      </c>
      <c r="E29" s="2693">
        <f t="shared" si="40"/>
        <v>375.65990977608692</v>
      </c>
      <c r="F29" s="2693">
        <f t="shared" si="40"/>
        <v>214.12518283971252</v>
      </c>
      <c r="G29" s="3821"/>
      <c r="H29" s="2683">
        <v>1</v>
      </c>
      <c r="I29" s="2683">
        <v>0.02</v>
      </c>
      <c r="J29" s="2683">
        <v>0.13</v>
      </c>
      <c r="K29" s="2683">
        <v>-0.04</v>
      </c>
      <c r="L29" s="2694">
        <v>0.46</v>
      </c>
      <c r="N29" s="2688">
        <f t="shared" si="31"/>
        <v>2.0000000000000001E-4</v>
      </c>
      <c r="O29" s="2689">
        <f t="shared" si="31"/>
        <v>1.2999999999999999E-3</v>
      </c>
      <c r="P29" s="2689">
        <f t="shared" si="31"/>
        <v>-4.0000000000000002E-4</v>
      </c>
      <c r="Q29" s="2689">
        <f t="shared" si="3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2597</v>
      </c>
      <c r="B30" s="2685">
        <v>275</v>
      </c>
      <c r="C30" s="2685">
        <v>232</v>
      </c>
      <c r="D30" s="2685">
        <f t="shared" si="29"/>
        <v>232</v>
      </c>
      <c r="E30" s="2685">
        <v>376</v>
      </c>
      <c r="F30" s="2686">
        <v>213</v>
      </c>
      <c r="G30" s="3819">
        <v>2011</v>
      </c>
      <c r="H30" s="2699">
        <v>4</v>
      </c>
      <c r="I30" s="2699">
        <v>-0.2</v>
      </c>
      <c r="J30" s="2699">
        <v>0.04</v>
      </c>
      <c r="K30" s="2699">
        <v>-0.34</v>
      </c>
      <c r="L30" s="2700">
        <v>0.46</v>
      </c>
      <c r="N30" s="2701">
        <f t="shared" si="31"/>
        <v>-2E-3</v>
      </c>
      <c r="O30" s="2702">
        <f t="shared" si="31"/>
        <v>4.0000000000000002E-4</v>
      </c>
      <c r="P30" s="2702">
        <f t="shared" si="31"/>
        <v>-3.4000000000000002E-3</v>
      </c>
      <c r="Q30" s="2702">
        <f t="shared" si="31"/>
        <v>4.5999999999999999E-3</v>
      </c>
      <c r="R30" s="2690"/>
      <c r="S30" s="2691"/>
      <c r="T30" s="2692"/>
      <c r="U30" s="2692"/>
      <c r="V30" s="2692"/>
      <c r="X30" s="2692"/>
      <c r="Y30" s="2692"/>
      <c r="Z30" s="2692"/>
    </row>
    <row r="31" spans="1:34">
      <c r="A31" s="2679" t="s">
        <v>2598</v>
      </c>
      <c r="B31" s="2693">
        <f t="shared" ref="B31:C33" si="41">B30/(1+N30)</f>
        <v>275.55110220440883</v>
      </c>
      <c r="C31" s="2693">
        <f t="shared" si="41"/>
        <v>231.90723710515795</v>
      </c>
      <c r="D31" s="2693">
        <f t="shared" si="29"/>
        <v>231.90723710515795</v>
      </c>
      <c r="E31" s="2693">
        <f t="shared" ref="E31:F33" si="42">E30/(1+P30)</f>
        <v>377.28276138872161</v>
      </c>
      <c r="F31" s="2693">
        <f t="shared" si="42"/>
        <v>212.02468644236512</v>
      </c>
      <c r="G31" s="3820">
        <v>2011</v>
      </c>
      <c r="H31" s="2704">
        <v>3</v>
      </c>
      <c r="I31" s="2704">
        <v>0.13</v>
      </c>
      <c r="J31" s="2704">
        <v>0.75</v>
      </c>
      <c r="K31" s="2704">
        <v>-0.08</v>
      </c>
      <c r="L31" s="2705">
        <v>0.53</v>
      </c>
      <c r="N31" s="2688">
        <f t="shared" si="31"/>
        <v>1.2999999999999999E-3</v>
      </c>
      <c r="O31" s="2706">
        <f t="shared" si="31"/>
        <v>7.4999999999999997E-3</v>
      </c>
      <c r="P31" s="2706">
        <f t="shared" si="31"/>
        <v>-8.0000000000000004E-4</v>
      </c>
      <c r="Q31" s="2706">
        <f t="shared" si="31"/>
        <v>5.3E-3</v>
      </c>
      <c r="R31" s="2690"/>
      <c r="S31" s="2688"/>
      <c r="T31" s="2689"/>
      <c r="U31" s="2689"/>
      <c r="V31" s="2689"/>
    </row>
    <row r="32" spans="1:34">
      <c r="A32" s="2679" t="s">
        <v>2599</v>
      </c>
      <c r="B32" s="2693">
        <f t="shared" si="41"/>
        <v>275.19335084830601</v>
      </c>
      <c r="C32" s="2693">
        <f t="shared" si="41"/>
        <v>230.18088050139744</v>
      </c>
      <c r="D32" s="2693">
        <f t="shared" si="29"/>
        <v>230.18088050139744</v>
      </c>
      <c r="E32" s="2693">
        <f t="shared" si="42"/>
        <v>377.58482925212331</v>
      </c>
      <c r="F32" s="2693">
        <f t="shared" si="42"/>
        <v>210.90687997847917</v>
      </c>
      <c r="G32" s="3820">
        <v>2011</v>
      </c>
      <c r="H32" s="2684">
        <v>2</v>
      </c>
      <c r="I32" s="2684">
        <v>-0.4</v>
      </c>
      <c r="J32" s="2684">
        <v>0.17</v>
      </c>
      <c r="K32" s="2684">
        <v>-0.57999999999999996</v>
      </c>
      <c r="L32" s="2695">
        <v>-0.2</v>
      </c>
      <c r="N32" s="2688">
        <f t="shared" si="31"/>
        <v>-4.0000000000000001E-3</v>
      </c>
      <c r="O32" s="2706">
        <f t="shared" si="31"/>
        <v>1.7000000000000001E-3</v>
      </c>
      <c r="P32" s="2706">
        <f t="shared" si="31"/>
        <v>-5.7999999999999996E-3</v>
      </c>
      <c r="Q32" s="2706">
        <f t="shared" si="31"/>
        <v>-2E-3</v>
      </c>
      <c r="R32" s="2690"/>
      <c r="S32" s="2688"/>
      <c r="T32" s="2689"/>
      <c r="U32" s="2689"/>
      <c r="V32" s="2689"/>
    </row>
    <row r="33" spans="1:26" ht="13.5" thickBot="1">
      <c r="A33" s="2679" t="s">
        <v>2600</v>
      </c>
      <c r="B33" s="2693">
        <f t="shared" si="41"/>
        <v>276.29854502841971</v>
      </c>
      <c r="C33" s="2693">
        <f t="shared" si="41"/>
        <v>229.79023709833027</v>
      </c>
      <c r="D33" s="2693">
        <f t="shared" si="29"/>
        <v>229.79023709833027</v>
      </c>
      <c r="E33" s="2693">
        <f t="shared" si="42"/>
        <v>379.78759731655936</v>
      </c>
      <c r="F33" s="2693">
        <f t="shared" si="42"/>
        <v>211.32953905659235</v>
      </c>
      <c r="G33" s="3821">
        <v>2011</v>
      </c>
      <c r="H33" s="2683">
        <v>1</v>
      </c>
      <c r="I33" s="2683">
        <v>2.65</v>
      </c>
      <c r="J33" s="2683">
        <v>3.76</v>
      </c>
      <c r="K33" s="2683">
        <v>1.89</v>
      </c>
      <c r="L33" s="2694">
        <v>7.95</v>
      </c>
      <c r="N33" s="2696">
        <f t="shared" si="31"/>
        <v>2.6499999999999999E-2</v>
      </c>
      <c r="O33" s="2697">
        <f t="shared" si="31"/>
        <v>3.7599999999999995E-2</v>
      </c>
      <c r="P33" s="2697">
        <f t="shared" si="31"/>
        <v>1.89E-2</v>
      </c>
      <c r="Q33" s="2697">
        <f t="shared" si="3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2601</v>
      </c>
      <c r="B34" s="2685">
        <v>269</v>
      </c>
      <c r="C34" s="2685">
        <v>221</v>
      </c>
      <c r="D34" s="2685">
        <f t="shared" si="29"/>
        <v>221</v>
      </c>
      <c r="E34" s="2685">
        <v>373</v>
      </c>
      <c r="F34" s="2686">
        <v>196</v>
      </c>
      <c r="G34" s="3819">
        <v>2010</v>
      </c>
      <c r="H34" s="2699">
        <v>4</v>
      </c>
      <c r="I34" s="2699">
        <v>5.72</v>
      </c>
      <c r="J34" s="2699">
        <v>6.57</v>
      </c>
      <c r="K34" s="2699">
        <v>5.72</v>
      </c>
      <c r="L34" s="2700">
        <v>2.72</v>
      </c>
      <c r="N34" s="2688">
        <f t="shared" si="31"/>
        <v>5.7200000000000001E-2</v>
      </c>
      <c r="O34" s="2689">
        <f t="shared" si="31"/>
        <v>6.5700000000000008E-2</v>
      </c>
      <c r="P34" s="2689">
        <f t="shared" si="31"/>
        <v>5.7200000000000001E-2</v>
      </c>
      <c r="Q34" s="2689">
        <f t="shared" si="31"/>
        <v>2.7200000000000002E-2</v>
      </c>
      <c r="R34" s="2690"/>
      <c r="S34" s="2691"/>
      <c r="T34" s="2692"/>
      <c r="U34" s="2692"/>
      <c r="V34" s="2692"/>
      <c r="X34" s="2692"/>
      <c r="Y34" s="2692"/>
      <c r="Z34" s="2692"/>
    </row>
    <row r="35" spans="1:26">
      <c r="A35" s="2679" t="s">
        <v>2602</v>
      </c>
      <c r="B35" s="2693">
        <f t="shared" ref="B35:C37" si="43">B34/(1+N34)</f>
        <v>254.44570563753314</v>
      </c>
      <c r="C35" s="2693">
        <f t="shared" si="43"/>
        <v>207.37543398705074</v>
      </c>
      <c r="D35" s="2693">
        <f t="shared" si="29"/>
        <v>207.37543398705074</v>
      </c>
      <c r="E35" s="2693">
        <f t="shared" ref="E35:F37" si="44">E34/(1+P34)</f>
        <v>352.81876655315932</v>
      </c>
      <c r="F35" s="2693">
        <f t="shared" si="44"/>
        <v>190.809968847352</v>
      </c>
      <c r="G35" s="3820">
        <v>2010</v>
      </c>
      <c r="H35" s="2704">
        <v>3</v>
      </c>
      <c r="I35" s="2704">
        <v>4.7300000000000004</v>
      </c>
      <c r="J35" s="2704">
        <v>3.9</v>
      </c>
      <c r="K35" s="2704">
        <v>5.03</v>
      </c>
      <c r="L35" s="2705">
        <v>4.21</v>
      </c>
      <c r="N35" s="2688">
        <f t="shared" si="31"/>
        <v>4.7300000000000002E-2</v>
      </c>
      <c r="O35" s="2689">
        <f t="shared" si="31"/>
        <v>3.9E-2</v>
      </c>
      <c r="P35" s="2689">
        <f t="shared" si="31"/>
        <v>5.0300000000000004E-2</v>
      </c>
      <c r="Q35" s="2689">
        <f t="shared" si="31"/>
        <v>4.2099999999999999E-2</v>
      </c>
      <c r="R35" s="2690"/>
      <c r="S35" s="2688"/>
      <c r="T35" s="2689"/>
      <c r="U35" s="2689"/>
      <c r="V35" s="2689"/>
    </row>
    <row r="36" spans="1:26">
      <c r="A36" s="2679" t="s">
        <v>2603</v>
      </c>
      <c r="B36" s="2693">
        <f t="shared" si="43"/>
        <v>242.95398227588385</v>
      </c>
      <c r="C36" s="2693">
        <f t="shared" si="43"/>
        <v>199.59137053614126</v>
      </c>
      <c r="D36" s="2693">
        <f t="shared" si="29"/>
        <v>199.59137053614126</v>
      </c>
      <c r="E36" s="2693">
        <f t="shared" si="44"/>
        <v>335.92189522342125</v>
      </c>
      <c r="F36" s="2693">
        <f t="shared" si="44"/>
        <v>183.10139991109489</v>
      </c>
      <c r="G36" s="3820">
        <v>2010</v>
      </c>
      <c r="H36" s="2684">
        <v>2</v>
      </c>
      <c r="I36" s="2684">
        <v>4.6900000000000004</v>
      </c>
      <c r="J36" s="2684">
        <v>3.55</v>
      </c>
      <c r="K36" s="2684">
        <v>5.07</v>
      </c>
      <c r="L36" s="2695">
        <v>4.2300000000000004</v>
      </c>
      <c r="N36" s="2688">
        <f t="shared" si="31"/>
        <v>4.6900000000000004E-2</v>
      </c>
      <c r="O36" s="2689">
        <f t="shared" si="31"/>
        <v>3.5499999999999997E-2</v>
      </c>
      <c r="P36" s="2689">
        <f t="shared" si="31"/>
        <v>5.0700000000000002E-2</v>
      </c>
      <c r="Q36" s="2689">
        <f t="shared" si="31"/>
        <v>4.2300000000000004E-2</v>
      </c>
      <c r="R36" s="2690"/>
      <c r="S36" s="2688"/>
      <c r="T36" s="2689"/>
      <c r="U36" s="2689"/>
      <c r="V36" s="2689"/>
    </row>
    <row r="37" spans="1:26" ht="13.5" thickBot="1">
      <c r="A37" s="2679" t="s">
        <v>2604</v>
      </c>
      <c r="B37" s="2693">
        <f t="shared" si="43"/>
        <v>232.06990378821649</v>
      </c>
      <c r="C37" s="2693">
        <f t="shared" si="43"/>
        <v>192.74878854286936</v>
      </c>
      <c r="D37" s="2693">
        <f t="shared" si="29"/>
        <v>192.74878854286936</v>
      </c>
      <c r="E37" s="2693">
        <f t="shared" si="44"/>
        <v>319.71247284992984</v>
      </c>
      <c r="F37" s="2693">
        <f t="shared" si="44"/>
        <v>175.67053622862409</v>
      </c>
      <c r="G37" s="3821">
        <v>2010</v>
      </c>
      <c r="H37" s="2683">
        <v>1</v>
      </c>
      <c r="I37" s="2683">
        <v>5.4</v>
      </c>
      <c r="J37" s="2683">
        <v>3.2</v>
      </c>
      <c r="K37" s="2683">
        <v>6.16</v>
      </c>
      <c r="L37" s="2694">
        <v>4.51</v>
      </c>
      <c r="N37" s="2688">
        <f t="shared" si="31"/>
        <v>5.4000000000000006E-2</v>
      </c>
      <c r="O37" s="2689">
        <f t="shared" si="31"/>
        <v>3.2000000000000001E-2</v>
      </c>
      <c r="P37" s="2689">
        <f t="shared" si="31"/>
        <v>6.1600000000000002E-2</v>
      </c>
      <c r="Q37" s="2689">
        <f t="shared" si="3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2605</v>
      </c>
      <c r="B38" s="2685">
        <v>220</v>
      </c>
      <c r="C38" s="2685">
        <v>187</v>
      </c>
      <c r="D38" s="2685">
        <f t="shared" si="29"/>
        <v>187</v>
      </c>
      <c r="E38" s="2685">
        <v>301</v>
      </c>
      <c r="F38" s="2686">
        <v>168</v>
      </c>
      <c r="G38" s="3819">
        <v>2009</v>
      </c>
      <c r="H38" s="2699">
        <v>4</v>
      </c>
      <c r="I38" s="2699">
        <v>2.2999999999999998</v>
      </c>
      <c r="J38" s="2699">
        <v>1.04</v>
      </c>
      <c r="K38" s="2699">
        <v>2.84</v>
      </c>
      <c r="L38" s="2700">
        <v>0.67</v>
      </c>
      <c r="N38" s="2701">
        <f t="shared" si="31"/>
        <v>2.3E-2</v>
      </c>
      <c r="O38" s="2702">
        <f t="shared" si="31"/>
        <v>1.04E-2</v>
      </c>
      <c r="P38" s="2702">
        <f t="shared" si="31"/>
        <v>2.8399999999999998E-2</v>
      </c>
      <c r="Q38" s="2702">
        <f t="shared" si="31"/>
        <v>6.7000000000000002E-3</v>
      </c>
      <c r="R38" s="2690"/>
      <c r="S38" s="2691"/>
      <c r="T38" s="2692"/>
      <c r="U38" s="2692"/>
      <c r="V38" s="2692"/>
      <c r="X38" s="2692"/>
      <c r="Y38" s="2692"/>
      <c r="Z38" s="2692"/>
    </row>
    <row r="39" spans="1:26">
      <c r="A39" s="2679" t="s">
        <v>2606</v>
      </c>
      <c r="B39" s="2693">
        <f t="shared" ref="B39:C41" si="45">B38/(1+N38)</f>
        <v>215.05376344086022</v>
      </c>
      <c r="C39" s="2693">
        <f t="shared" si="45"/>
        <v>185.0752177355503</v>
      </c>
      <c r="D39" s="2693">
        <f t="shared" si="29"/>
        <v>185.0752177355503</v>
      </c>
      <c r="E39" s="2693">
        <f t="shared" ref="E39:F41" si="46">E38/(1+P38)</f>
        <v>292.68767016725008</v>
      </c>
      <c r="F39" s="2693">
        <f t="shared" si="46"/>
        <v>166.88189132810174</v>
      </c>
      <c r="G39" s="3820">
        <v>2009</v>
      </c>
      <c r="H39" s="2704">
        <v>3</v>
      </c>
      <c r="I39" s="2704">
        <v>2.1</v>
      </c>
      <c r="J39" s="2704">
        <v>1.86</v>
      </c>
      <c r="K39" s="2704">
        <v>2.29</v>
      </c>
      <c r="L39" s="2705">
        <v>0.85</v>
      </c>
      <c r="N39" s="2688">
        <f t="shared" si="31"/>
        <v>2.1000000000000001E-2</v>
      </c>
      <c r="O39" s="2706">
        <f t="shared" si="31"/>
        <v>1.8600000000000002E-2</v>
      </c>
      <c r="P39" s="2706">
        <f t="shared" si="31"/>
        <v>2.29E-2</v>
      </c>
      <c r="Q39" s="2706">
        <f t="shared" si="31"/>
        <v>8.5000000000000006E-3</v>
      </c>
      <c r="R39" s="2690"/>
      <c r="S39" s="2688"/>
      <c r="T39" s="2689"/>
      <c r="U39" s="2689"/>
      <c r="V39" s="2689"/>
    </row>
    <row r="40" spans="1:26">
      <c r="A40" s="2679" t="s">
        <v>2607</v>
      </c>
      <c r="B40" s="2693">
        <f t="shared" si="45"/>
        <v>210.630522469011</v>
      </c>
      <c r="C40" s="2693">
        <f t="shared" si="45"/>
        <v>181.69567812247232</v>
      </c>
      <c r="D40" s="2693">
        <f t="shared" si="29"/>
        <v>181.69567812247232</v>
      </c>
      <c r="E40" s="2693">
        <f t="shared" si="46"/>
        <v>286.13517466736738</v>
      </c>
      <c r="F40" s="2693">
        <f t="shared" si="46"/>
        <v>165.47535084591149</v>
      </c>
      <c r="G40" s="3820">
        <v>2009</v>
      </c>
      <c r="H40" s="2684">
        <v>2</v>
      </c>
      <c r="I40" s="2684">
        <v>0.86</v>
      </c>
      <c r="J40" s="2684">
        <v>-1.1299999999999999</v>
      </c>
      <c r="K40" s="2684">
        <v>1.79</v>
      </c>
      <c r="L40" s="2695">
        <v>-2.0699999999999998</v>
      </c>
      <c r="N40" s="2688">
        <f t="shared" si="31"/>
        <v>8.6E-3</v>
      </c>
      <c r="O40" s="2706">
        <f t="shared" si="31"/>
        <v>-1.1299999999999999E-2</v>
      </c>
      <c r="P40" s="2706">
        <f t="shared" si="31"/>
        <v>1.7899999999999999E-2</v>
      </c>
      <c r="Q40" s="2706">
        <f t="shared" si="31"/>
        <v>-2.07E-2</v>
      </c>
      <c r="R40" s="2690"/>
      <c r="S40" s="2688"/>
      <c r="T40" s="2689"/>
      <c r="U40" s="2689"/>
      <c r="V40" s="2689"/>
    </row>
    <row r="41" spans="1:26">
      <c r="A41" s="2679" t="s">
        <v>2608</v>
      </c>
      <c r="B41" s="2693">
        <f t="shared" si="45"/>
        <v>208.83454537875372</v>
      </c>
      <c r="C41" s="2693">
        <f t="shared" si="45"/>
        <v>183.77230517090351</v>
      </c>
      <c r="D41" s="2693">
        <f t="shared" si="29"/>
        <v>183.77230517090351</v>
      </c>
      <c r="E41" s="2693">
        <f t="shared" si="46"/>
        <v>281.10342338870947</v>
      </c>
      <c r="F41" s="2693">
        <f t="shared" si="46"/>
        <v>168.97309388942256</v>
      </c>
      <c r="G41" s="3821">
        <v>2009</v>
      </c>
      <c r="H41" s="2683">
        <v>1</v>
      </c>
      <c r="I41" s="2683">
        <v>-2.64</v>
      </c>
      <c r="J41" s="2683">
        <v>-2.5299999999999998</v>
      </c>
      <c r="K41" s="2683">
        <v>-3.02</v>
      </c>
      <c r="L41" s="2694">
        <v>1.52</v>
      </c>
      <c r="N41" s="2696">
        <f t="shared" si="31"/>
        <v>-2.64E-2</v>
      </c>
      <c r="O41" s="2697">
        <f t="shared" si="31"/>
        <v>-2.53E-2</v>
      </c>
      <c r="P41" s="2697">
        <f t="shared" si="31"/>
        <v>-3.0200000000000001E-2</v>
      </c>
      <c r="Q41" s="2697">
        <f t="shared" si="3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2609</v>
      </c>
      <c r="B42" s="2723">
        <v>214</v>
      </c>
      <c r="C42" s="2723">
        <v>188</v>
      </c>
      <c r="D42" s="2723">
        <f t="shared" si="29"/>
        <v>188</v>
      </c>
      <c r="E42" s="2723">
        <v>289</v>
      </c>
      <c r="F42" s="2724">
        <v>166</v>
      </c>
      <c r="G42" s="3819">
        <v>2008</v>
      </c>
      <c r="H42" s="2699">
        <v>4</v>
      </c>
      <c r="I42" s="2699">
        <v>1.73</v>
      </c>
      <c r="J42" s="2699">
        <v>0.03</v>
      </c>
      <c r="K42" s="2699">
        <v>2.59</v>
      </c>
      <c r="L42" s="2700">
        <v>-1.66</v>
      </c>
      <c r="N42" s="2688">
        <f t="shared" si="31"/>
        <v>1.7299999999999999E-2</v>
      </c>
      <c r="O42" s="2689">
        <f t="shared" si="31"/>
        <v>2.9999999999999997E-4</v>
      </c>
      <c r="P42" s="2689">
        <f t="shared" si="31"/>
        <v>2.5899999999999999E-2</v>
      </c>
      <c r="Q42" s="2689">
        <f t="shared" si="31"/>
        <v>-1.66E-2</v>
      </c>
      <c r="R42" s="2690"/>
      <c r="S42" s="2691"/>
      <c r="T42" s="2692"/>
      <c r="U42" s="2692"/>
      <c r="V42" s="2692"/>
      <c r="X42" s="2692"/>
      <c r="Y42" s="2692"/>
      <c r="Z42" s="2692"/>
    </row>
    <row r="43" spans="1:26">
      <c r="A43" s="2679" t="s">
        <v>2610</v>
      </c>
      <c r="B43" s="2693">
        <f t="shared" ref="B43:C45" si="47">B42/(1+N42)</f>
        <v>210.36075887152265</v>
      </c>
      <c r="C43" s="2693">
        <f t="shared" si="47"/>
        <v>187.94361691492554</v>
      </c>
      <c r="D43" s="2693">
        <f t="shared" si="29"/>
        <v>187.94361691492554</v>
      </c>
      <c r="E43" s="2693">
        <f t="shared" ref="E43:F45" si="48">E42/(1+P42)</f>
        <v>281.70386977288234</v>
      </c>
      <c r="F43" s="2693">
        <f t="shared" si="48"/>
        <v>168.80211511083994</v>
      </c>
      <c r="G43" s="3820">
        <v>2008</v>
      </c>
      <c r="H43" s="2704">
        <v>3</v>
      </c>
      <c r="I43" s="2704">
        <v>1.96</v>
      </c>
      <c r="J43" s="2704">
        <v>2.36</v>
      </c>
      <c r="K43" s="2704">
        <v>1.82</v>
      </c>
      <c r="L43" s="2705">
        <v>2.2200000000000002</v>
      </c>
      <c r="N43" s="2688">
        <f t="shared" si="31"/>
        <v>1.9599999999999999E-2</v>
      </c>
      <c r="O43" s="2689">
        <f t="shared" si="31"/>
        <v>2.3599999999999999E-2</v>
      </c>
      <c r="P43" s="2689">
        <f t="shared" si="31"/>
        <v>1.8200000000000001E-2</v>
      </c>
      <c r="Q43" s="2689">
        <f t="shared" si="31"/>
        <v>2.2200000000000001E-2</v>
      </c>
      <c r="R43" s="2690"/>
      <c r="S43" s="2688"/>
      <c r="T43" s="2689"/>
      <c r="U43" s="2689"/>
      <c r="V43" s="2689"/>
    </row>
    <row r="44" spans="1:26">
      <c r="A44" s="2679" t="s">
        <v>2611</v>
      </c>
      <c r="B44" s="2693">
        <f t="shared" si="47"/>
        <v>206.31694671589116</v>
      </c>
      <c r="C44" s="2693">
        <f t="shared" si="47"/>
        <v>183.61041121036101</v>
      </c>
      <c r="D44" s="2693">
        <f t="shared" si="29"/>
        <v>183.61041121036101</v>
      </c>
      <c r="E44" s="2693">
        <f t="shared" si="48"/>
        <v>276.66850301795557</v>
      </c>
      <c r="F44" s="2693">
        <f t="shared" si="48"/>
        <v>165.1360938278614</v>
      </c>
      <c r="G44" s="3820">
        <v>2008</v>
      </c>
      <c r="H44" s="2684">
        <v>2</v>
      </c>
      <c r="I44" s="2684">
        <v>4.93</v>
      </c>
      <c r="J44" s="2684">
        <v>7.38</v>
      </c>
      <c r="K44" s="2684">
        <v>3.98</v>
      </c>
      <c r="L44" s="2695">
        <v>6.86</v>
      </c>
      <c r="N44" s="2688">
        <f t="shared" si="31"/>
        <v>4.9299999999999997E-2</v>
      </c>
      <c r="O44" s="2689">
        <f t="shared" si="31"/>
        <v>7.3800000000000004E-2</v>
      </c>
      <c r="P44" s="2689">
        <f t="shared" si="31"/>
        <v>3.9800000000000002E-2</v>
      </c>
      <c r="Q44" s="2689">
        <f t="shared" si="31"/>
        <v>6.8600000000000008E-2</v>
      </c>
      <c r="R44" s="2690"/>
      <c r="S44" s="2688"/>
      <c r="T44" s="2689"/>
      <c r="U44" s="2689"/>
      <c r="V44" s="2689"/>
    </row>
    <row r="45" spans="1:26" s="2729" customFormat="1" ht="13.5" thickBot="1">
      <c r="A45" s="2679" t="s">
        <v>2612</v>
      </c>
      <c r="B45" s="2726">
        <f t="shared" si="47"/>
        <v>196.62341248059772</v>
      </c>
      <c r="C45" s="2726">
        <f t="shared" si="47"/>
        <v>170.99125648199012</v>
      </c>
      <c r="D45" s="2726">
        <f t="shared" si="29"/>
        <v>170.99125648199012</v>
      </c>
      <c r="E45" s="2726">
        <f t="shared" si="48"/>
        <v>266.07857570490052</v>
      </c>
      <c r="F45" s="2726">
        <f t="shared" si="48"/>
        <v>154.53499328828505</v>
      </c>
      <c r="G45" s="3821">
        <v>2008</v>
      </c>
      <c r="H45" s="2727">
        <v>1</v>
      </c>
      <c r="I45" s="2727">
        <v>4.1399999999999997</v>
      </c>
      <c r="J45" s="2727">
        <v>3.45</v>
      </c>
      <c r="K45" s="2727">
        <v>4.95</v>
      </c>
      <c r="L45" s="2728">
        <v>4.82</v>
      </c>
      <c r="N45" s="2730">
        <f t="shared" si="31"/>
        <v>4.1399999999999999E-2</v>
      </c>
      <c r="O45" s="2731">
        <f t="shared" si="31"/>
        <v>3.4500000000000003E-2</v>
      </c>
      <c r="P45" s="2731">
        <f t="shared" si="31"/>
        <v>4.9500000000000002E-2</v>
      </c>
      <c r="Q45" s="2731">
        <f t="shared" si="3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2613</v>
      </c>
      <c r="B46" s="2685">
        <v>188</v>
      </c>
      <c r="C46" s="2685">
        <v>165</v>
      </c>
      <c r="D46" s="2685">
        <f t="shared" si="29"/>
        <v>165</v>
      </c>
      <c r="E46" s="2685">
        <v>254</v>
      </c>
      <c r="F46" s="2686">
        <v>148</v>
      </c>
      <c r="G46" s="3819">
        <v>2007</v>
      </c>
      <c r="H46" s="2734">
        <v>4</v>
      </c>
      <c r="I46" s="2734">
        <v>5.51</v>
      </c>
      <c r="J46" s="2734">
        <v>4.8899999999999997</v>
      </c>
      <c r="K46" s="2734">
        <v>6.43</v>
      </c>
      <c r="L46" s="2735">
        <v>5.36</v>
      </c>
      <c r="N46" s="2736">
        <f t="shared" ref="N46:O49" si="49">B46/B47-1</f>
        <v>4.1339718365245526E-2</v>
      </c>
      <c r="O46" s="2737">
        <f t="shared" si="49"/>
        <v>4.0324492593776018E-2</v>
      </c>
      <c r="P46" s="2737">
        <f t="shared" ref="P46:Q49" si="50">E46/E47-1</f>
        <v>6.1625555347990968E-2</v>
      </c>
      <c r="Q46" s="2737">
        <f t="shared" si="50"/>
        <v>4.6757569250590603E-2</v>
      </c>
      <c r="R46" s="2690"/>
      <c r="S46" s="2691"/>
      <c r="T46" s="2692"/>
      <c r="U46" s="2692"/>
      <c r="V46" s="2692"/>
      <c r="X46" s="2692"/>
      <c r="Y46" s="2692"/>
      <c r="Z46" s="2692"/>
    </row>
    <row r="47" spans="1:26">
      <c r="A47" s="2679" t="s">
        <v>2614</v>
      </c>
      <c r="B47" s="2693">
        <f t="shared" ref="B47:C49" si="51">B48+(B$46-B$50)*I47/SUM(I$46:I$49)</f>
        <v>180.5366651097618</v>
      </c>
      <c r="C47" s="2693">
        <f t="shared" si="51"/>
        <v>158.60435967302453</v>
      </c>
      <c r="D47" s="2693">
        <f t="shared" si="29"/>
        <v>158.60435967302453</v>
      </c>
      <c r="E47" s="2693">
        <f t="shared" ref="E47:F49" si="52">E48+(E$46-E$50)*K47/SUM(K$46:K$49)</f>
        <v>239.25573260785075</v>
      </c>
      <c r="F47" s="2693">
        <f t="shared" si="52"/>
        <v>141.38899430740037</v>
      </c>
      <c r="G47" s="3820">
        <v>2007</v>
      </c>
      <c r="H47" s="2704">
        <v>3</v>
      </c>
      <c r="I47" s="2704">
        <v>8.65</v>
      </c>
      <c r="J47" s="2704">
        <v>8.06</v>
      </c>
      <c r="K47" s="2704">
        <v>9.94</v>
      </c>
      <c r="L47" s="2705">
        <v>5.8</v>
      </c>
      <c r="N47" s="2736">
        <f t="shared" si="49"/>
        <v>6.940217571740015E-2</v>
      </c>
      <c r="O47" s="2737">
        <f t="shared" si="49"/>
        <v>7.1197482471153428E-2</v>
      </c>
      <c r="P47" s="2737">
        <f t="shared" si="50"/>
        <v>0.10529679922579582</v>
      </c>
      <c r="Q47" s="2737">
        <f t="shared" si="50"/>
        <v>5.3292245059512133E-2</v>
      </c>
      <c r="R47" s="2690"/>
      <c r="S47" s="2688"/>
      <c r="T47" s="2689"/>
      <c r="U47" s="2689"/>
      <c r="V47" s="2689"/>
      <c r="X47" s="2738"/>
      <c r="Y47" s="2738"/>
      <c r="Z47" s="2738"/>
    </row>
    <row r="48" spans="1:26">
      <c r="A48" s="2679" t="s">
        <v>2615</v>
      </c>
      <c r="B48" s="2693">
        <f t="shared" si="51"/>
        <v>168.82017748715555</v>
      </c>
      <c r="C48" s="2693">
        <f t="shared" si="51"/>
        <v>148.06267029972753</v>
      </c>
      <c r="D48" s="2693">
        <f t="shared" si="29"/>
        <v>148.06267029972753</v>
      </c>
      <c r="E48" s="2693">
        <f t="shared" si="52"/>
        <v>216.46288379323747</v>
      </c>
      <c r="F48" s="2693">
        <f t="shared" si="52"/>
        <v>134.23529411764704</v>
      </c>
      <c r="G48" s="3820">
        <v>2007</v>
      </c>
      <c r="H48" s="2684">
        <v>2</v>
      </c>
      <c r="I48" s="2684">
        <v>3.67</v>
      </c>
      <c r="J48" s="2684">
        <v>2.3199999999999998</v>
      </c>
      <c r="K48" s="2684">
        <v>5.0199999999999996</v>
      </c>
      <c r="L48" s="2695">
        <v>6.71</v>
      </c>
      <c r="N48" s="2736">
        <f t="shared" si="49"/>
        <v>3.0339138143848032E-2</v>
      </c>
      <c r="O48" s="2737">
        <f t="shared" si="49"/>
        <v>2.0922341588790472E-2</v>
      </c>
      <c r="P48" s="2737">
        <f t="shared" si="50"/>
        <v>5.6164796592717003E-2</v>
      </c>
      <c r="Q48" s="2737">
        <f t="shared" si="50"/>
        <v>6.5704536723887319E-2</v>
      </c>
      <c r="R48" s="2690"/>
      <c r="S48" s="2688"/>
      <c r="T48" s="2689"/>
      <c r="U48" s="2689"/>
      <c r="V48" s="2689"/>
      <c r="X48" s="2738"/>
      <c r="Y48" s="2738"/>
      <c r="Z48" s="2738"/>
    </row>
    <row r="49" spans="1:26">
      <c r="A49" s="2679" t="s">
        <v>2616</v>
      </c>
      <c r="B49" s="2693">
        <f t="shared" si="51"/>
        <v>163.84913591779542</v>
      </c>
      <c r="C49" s="2693">
        <f t="shared" si="51"/>
        <v>145.0283378746594</v>
      </c>
      <c r="D49" s="2693">
        <f t="shared" si="29"/>
        <v>145.0283378746594</v>
      </c>
      <c r="E49" s="2693">
        <f t="shared" si="52"/>
        <v>204.95180722891567</v>
      </c>
      <c r="F49" s="2693">
        <f t="shared" si="52"/>
        <v>125.95920303605313</v>
      </c>
      <c r="G49" s="3821">
        <v>2007</v>
      </c>
      <c r="H49" s="2683">
        <v>1</v>
      </c>
      <c r="I49" s="2683">
        <v>3.58</v>
      </c>
      <c r="J49" s="2683">
        <v>3.08</v>
      </c>
      <c r="K49" s="2683">
        <v>4.34</v>
      </c>
      <c r="L49" s="2694">
        <v>3.21</v>
      </c>
      <c r="N49" s="2739">
        <f t="shared" si="49"/>
        <v>3.0497710174814063E-2</v>
      </c>
      <c r="O49" s="2740">
        <f t="shared" si="49"/>
        <v>2.8569772160704998E-2</v>
      </c>
      <c r="P49" s="2740">
        <f t="shared" si="50"/>
        <v>5.1034908866234296E-2</v>
      </c>
      <c r="Q49" s="2740">
        <f t="shared" si="50"/>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2617</v>
      </c>
      <c r="B50" s="2707">
        <v>159</v>
      </c>
      <c r="C50" s="2707">
        <v>141</v>
      </c>
      <c r="D50" s="2707">
        <f t="shared" si="29"/>
        <v>141</v>
      </c>
      <c r="E50" s="2707">
        <v>195</v>
      </c>
      <c r="F50" s="2708">
        <v>122</v>
      </c>
      <c r="G50" s="3819">
        <v>2006</v>
      </c>
      <c r="H50" s="2699">
        <v>4</v>
      </c>
      <c r="I50" s="2699">
        <v>3.79</v>
      </c>
      <c r="J50" s="2699">
        <v>2.21</v>
      </c>
      <c r="K50" s="2699">
        <v>5.65</v>
      </c>
      <c r="L50" s="2700">
        <v>5.41</v>
      </c>
      <c r="N50" s="2736">
        <f t="shared" ref="N50:O53" si="53">I50/SUM(I$50:I$53)*(B$50/B$54-1)</f>
        <v>7.245466462748526E-2</v>
      </c>
      <c r="O50" s="2737">
        <f t="shared" si="53"/>
        <v>2.3237230038062766E-2</v>
      </c>
      <c r="P50" s="2737">
        <f t="shared" ref="P50:Q53" si="54">K50/SUM(K$50:K$53)*(E$50/E$54-1)</f>
        <v>0.16146893866323722</v>
      </c>
      <c r="Q50" s="2737">
        <f t="shared" si="54"/>
        <v>5.0755230321793784E-2</v>
      </c>
      <c r="R50" s="2690"/>
      <c r="S50" s="2691"/>
      <c r="T50" s="2692"/>
      <c r="U50" s="2692"/>
      <c r="V50" s="2692"/>
      <c r="X50" s="2738"/>
      <c r="Y50" s="2738"/>
      <c r="Z50" s="2738"/>
    </row>
    <row r="51" spans="1:26">
      <c r="A51" s="2679" t="s">
        <v>2618</v>
      </c>
      <c r="B51" s="2693">
        <f t="shared" ref="B51:C53" si="55">B52+(B$50-B$54)*I51/SUM(I$50:I$53)</f>
        <v>149.00125628140702</v>
      </c>
      <c r="C51" s="2693">
        <f t="shared" si="55"/>
        <v>137.95592286501378</v>
      </c>
      <c r="D51" s="2693">
        <f t="shared" si="29"/>
        <v>137.95592286501378</v>
      </c>
      <c r="E51" s="2693">
        <f t="shared" ref="E51:F53" si="56">E52+(E$50-E$54)*K51/SUM(K$50:K$53)</f>
        <v>169.97231450719823</v>
      </c>
      <c r="F51" s="2693">
        <f t="shared" si="56"/>
        <v>116.21390374331551</v>
      </c>
      <c r="G51" s="3820">
        <v>2006</v>
      </c>
      <c r="H51" s="2704">
        <v>3</v>
      </c>
      <c r="I51" s="2704">
        <v>0.92</v>
      </c>
      <c r="J51" s="2704">
        <v>1.08</v>
      </c>
      <c r="K51" s="2704">
        <v>0.73</v>
      </c>
      <c r="L51" s="2705">
        <v>1.08</v>
      </c>
      <c r="N51" s="2736">
        <f t="shared" si="53"/>
        <v>1.7587939698492462E-2</v>
      </c>
      <c r="O51" s="2737">
        <f t="shared" si="53"/>
        <v>1.1355750425840628E-2</v>
      </c>
      <c r="P51" s="2737">
        <f t="shared" si="54"/>
        <v>2.0862358446754544E-2</v>
      </c>
      <c r="Q51" s="2737">
        <f t="shared" si="54"/>
        <v>1.0132282578103011E-2</v>
      </c>
      <c r="R51" s="2690"/>
      <c r="S51" s="2688"/>
      <c r="T51" s="2689"/>
      <c r="U51" s="2689"/>
      <c r="V51" s="2689"/>
      <c r="X51" s="2738"/>
      <c r="Y51" s="2738"/>
      <c r="Z51" s="2738"/>
    </row>
    <row r="52" spans="1:26">
      <c r="A52" s="2679" t="s">
        <v>2619</v>
      </c>
      <c r="B52" s="2693">
        <f t="shared" si="55"/>
        <v>146.57412060301507</v>
      </c>
      <c r="C52" s="2693">
        <f t="shared" si="55"/>
        <v>136.46831955922866</v>
      </c>
      <c r="D52" s="2693">
        <f t="shared" si="29"/>
        <v>136.46831955922866</v>
      </c>
      <c r="E52" s="2693">
        <f t="shared" si="56"/>
        <v>166.73864894795128</v>
      </c>
      <c r="F52" s="2693">
        <f t="shared" si="56"/>
        <v>115.05882352941177</v>
      </c>
      <c r="G52" s="3820">
        <v>2006</v>
      </c>
      <c r="H52" s="2684">
        <v>2</v>
      </c>
      <c r="I52" s="2684">
        <v>0.96</v>
      </c>
      <c r="J52" s="2684">
        <v>0.25</v>
      </c>
      <c r="K52" s="2684">
        <v>1.9</v>
      </c>
      <c r="L52" s="2695">
        <v>0.95</v>
      </c>
      <c r="N52" s="2736">
        <f t="shared" si="53"/>
        <v>1.8352632728861701E-2</v>
      </c>
      <c r="O52" s="2737">
        <f t="shared" si="53"/>
        <v>2.6286459319075526E-3</v>
      </c>
      <c r="P52" s="2737">
        <f t="shared" si="54"/>
        <v>5.4299289107991269E-2</v>
      </c>
      <c r="Q52" s="2737">
        <f t="shared" si="54"/>
        <v>8.9126559714794995E-3</v>
      </c>
      <c r="R52" s="2690"/>
      <c r="S52" s="2688"/>
      <c r="T52" s="2689"/>
      <c r="U52" s="2689"/>
      <c r="V52" s="2689"/>
      <c r="X52" s="2738"/>
      <c r="Y52" s="2738"/>
      <c r="Z52" s="2738"/>
    </row>
    <row r="53" spans="1:26">
      <c r="A53" s="2679" t="s">
        <v>2620</v>
      </c>
      <c r="B53" s="2693">
        <f t="shared" si="55"/>
        <v>144.04145728643215</v>
      </c>
      <c r="C53" s="2693">
        <f t="shared" si="55"/>
        <v>136.12396694214877</v>
      </c>
      <c r="D53" s="2693">
        <f t="shared" si="29"/>
        <v>136.12396694214877</v>
      </c>
      <c r="E53" s="2693">
        <f t="shared" si="56"/>
        <v>158.32225913621264</v>
      </c>
      <c r="F53" s="2693">
        <f t="shared" si="56"/>
        <v>114.04278074866311</v>
      </c>
      <c r="G53" s="3821">
        <v>2006</v>
      </c>
      <c r="H53" s="2683">
        <v>1</v>
      </c>
      <c r="I53" s="2683">
        <v>2.29</v>
      </c>
      <c r="J53" s="2683">
        <v>3.72</v>
      </c>
      <c r="K53" s="2683">
        <v>0.75</v>
      </c>
      <c r="L53" s="2694">
        <v>0.04</v>
      </c>
      <c r="N53" s="2739">
        <f t="shared" si="53"/>
        <v>4.3778675988638847E-2</v>
      </c>
      <c r="O53" s="2740">
        <f t="shared" si="53"/>
        <v>3.9114251466784385E-2</v>
      </c>
      <c r="P53" s="2740">
        <f t="shared" si="54"/>
        <v>2.1433929911049188E-2</v>
      </c>
      <c r="Q53" s="2740">
        <f t="shared" si="54"/>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2621</v>
      </c>
      <c r="B54" s="2707">
        <v>138</v>
      </c>
      <c r="C54" s="2707">
        <v>131</v>
      </c>
      <c r="D54" s="2707">
        <f t="shared" si="29"/>
        <v>131</v>
      </c>
      <c r="E54" s="2707">
        <v>155</v>
      </c>
      <c r="F54" s="2708">
        <v>114</v>
      </c>
      <c r="G54" s="3819">
        <v>2005</v>
      </c>
      <c r="H54" s="2699">
        <v>4</v>
      </c>
      <c r="I54" s="2699">
        <v>3.29</v>
      </c>
      <c r="J54" s="2699">
        <v>1.44</v>
      </c>
      <c r="K54" s="2699">
        <v>0.66</v>
      </c>
      <c r="L54" s="2700">
        <v>7.78</v>
      </c>
      <c r="N54" s="2736">
        <f t="shared" ref="N54:O57" si="57">I54/SUM(I$54:I$57)*(B$54/B$58-1)</f>
        <v>9.9404603216919935E-2</v>
      </c>
      <c r="O54" s="2737">
        <f t="shared" si="57"/>
        <v>4.7636550760861554E-2</v>
      </c>
      <c r="P54" s="2737">
        <f t="shared" ref="P54:Q57" si="58">K54/SUM(K$54:K$57)*(E$54/E$58-1)</f>
        <v>8.3756345177664976E-2</v>
      </c>
      <c r="Q54" s="2737">
        <f t="shared" si="58"/>
        <v>5.2148766661559584E-2</v>
      </c>
      <c r="R54" s="2690"/>
      <c r="S54" s="2691"/>
      <c r="T54" s="2692"/>
      <c r="U54" s="2692"/>
      <c r="V54" s="2692"/>
      <c r="X54" s="2738"/>
      <c r="Y54" s="2738"/>
      <c r="Z54" s="2738"/>
    </row>
    <row r="55" spans="1:26">
      <c r="A55" s="2679" t="s">
        <v>2622</v>
      </c>
      <c r="B55" s="2693">
        <f t="shared" ref="B55:C57" si="59">B56+(B$54-B$58)*I55/SUM(I$54:I$57)</f>
        <v>125.9720430107527</v>
      </c>
      <c r="C55" s="2693">
        <f t="shared" si="59"/>
        <v>125.1883408071749</v>
      </c>
      <c r="D55" s="2693">
        <f t="shared" si="29"/>
        <v>125.1883408071749</v>
      </c>
      <c r="E55" s="2693">
        <f t="shared" ref="E55:F57" si="60">E56+(E$54-E$58)*K55/SUM(K$54:K$57)</f>
        <v>144.61421319796952</v>
      </c>
      <c r="F55" s="2693">
        <f t="shared" si="60"/>
        <v>108.42008196721311</v>
      </c>
      <c r="G55" s="3820">
        <v>2005</v>
      </c>
      <c r="H55" s="2704">
        <v>3</v>
      </c>
      <c r="I55" s="2704">
        <v>0.46</v>
      </c>
      <c r="J55" s="2704">
        <v>0.32</v>
      </c>
      <c r="K55" s="2704">
        <v>0.42</v>
      </c>
      <c r="L55" s="2705">
        <v>0.64</v>
      </c>
      <c r="N55" s="2736">
        <f t="shared" si="57"/>
        <v>1.3898515951301874E-2</v>
      </c>
      <c r="O55" s="2737">
        <f t="shared" si="57"/>
        <v>1.0585900169080346E-2</v>
      </c>
      <c r="P55" s="2737">
        <f t="shared" si="58"/>
        <v>5.3299492385786795E-2</v>
      </c>
      <c r="Q55" s="2737">
        <f t="shared" si="58"/>
        <v>4.2898728359123568E-3</v>
      </c>
      <c r="R55" s="2690"/>
      <c r="S55" s="2688"/>
      <c r="T55" s="2689"/>
      <c r="U55" s="2689"/>
      <c r="V55" s="2689"/>
      <c r="X55" s="2738"/>
      <c r="Y55" s="2738"/>
      <c r="Z55" s="2738"/>
    </row>
    <row r="56" spans="1:26">
      <c r="A56" s="2679" t="s">
        <v>2623</v>
      </c>
      <c r="B56" s="2693">
        <f t="shared" si="59"/>
        <v>124.29032258064517</v>
      </c>
      <c r="C56" s="2693">
        <f t="shared" si="59"/>
        <v>123.8968609865471</v>
      </c>
      <c r="D56" s="2693">
        <f t="shared" si="29"/>
        <v>123.8968609865471</v>
      </c>
      <c r="E56" s="2693">
        <f t="shared" si="60"/>
        <v>138.00507614213197</v>
      </c>
      <c r="F56" s="2693">
        <f t="shared" si="60"/>
        <v>107.96106557377048</v>
      </c>
      <c r="G56" s="3820">
        <v>2005</v>
      </c>
      <c r="H56" s="2684">
        <v>2</v>
      </c>
      <c r="I56" s="2684">
        <v>0.47</v>
      </c>
      <c r="J56" s="2684">
        <v>0.1</v>
      </c>
      <c r="K56" s="2684">
        <v>0.52</v>
      </c>
      <c r="L56" s="2695">
        <v>0.79</v>
      </c>
      <c r="N56" s="2736">
        <f t="shared" si="57"/>
        <v>1.420065760241713E-2</v>
      </c>
      <c r="O56" s="2737">
        <f t="shared" si="57"/>
        <v>3.3080938028376083E-3</v>
      </c>
      <c r="P56" s="2737">
        <f t="shared" si="58"/>
        <v>6.598984771573603E-2</v>
      </c>
      <c r="Q56" s="2737">
        <f t="shared" si="58"/>
        <v>5.2953117818293153E-3</v>
      </c>
      <c r="R56" s="2690"/>
      <c r="S56" s="2688"/>
      <c r="T56" s="2689"/>
      <c r="U56" s="2689"/>
      <c r="V56" s="2689"/>
      <c r="X56" s="2738"/>
      <c r="Y56" s="2738"/>
      <c r="Z56" s="2738"/>
    </row>
    <row r="57" spans="1:26">
      <c r="A57" s="2679" t="s">
        <v>2624</v>
      </c>
      <c r="B57" s="2693">
        <f t="shared" si="59"/>
        <v>122.57204301075269</v>
      </c>
      <c r="C57" s="2693">
        <f t="shared" si="59"/>
        <v>123.4932735426009</v>
      </c>
      <c r="D57" s="2693">
        <f t="shared" si="29"/>
        <v>123.4932735426009</v>
      </c>
      <c r="E57" s="2693">
        <f t="shared" si="60"/>
        <v>129.82233502538071</v>
      </c>
      <c r="F57" s="2693">
        <f t="shared" si="60"/>
        <v>107.39446721311475</v>
      </c>
      <c r="G57" s="3821">
        <v>2005</v>
      </c>
      <c r="H57" s="2683">
        <v>1</v>
      </c>
      <c r="I57" s="2683">
        <v>0.43</v>
      </c>
      <c r="J57" s="2683">
        <v>0.37</v>
      </c>
      <c r="K57" s="2683">
        <v>0.37</v>
      </c>
      <c r="L57" s="2694">
        <v>0.55000000000000004</v>
      </c>
      <c r="N57" s="2739">
        <f t="shared" si="57"/>
        <v>1.2992090997956099E-2</v>
      </c>
      <c r="O57" s="2740">
        <f t="shared" si="57"/>
        <v>1.2239947070499151E-2</v>
      </c>
      <c r="P57" s="2740">
        <f t="shared" si="58"/>
        <v>4.6954314720812178E-2</v>
      </c>
      <c r="Q57" s="2740">
        <f t="shared" si="58"/>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2625</v>
      </c>
      <c r="B58" s="2723">
        <v>121</v>
      </c>
      <c r="C58" s="2723">
        <v>122</v>
      </c>
      <c r="D58" s="2723">
        <f t="shared" si="29"/>
        <v>122</v>
      </c>
      <c r="E58" s="2723">
        <v>124</v>
      </c>
      <c r="F58" s="2724">
        <v>107</v>
      </c>
      <c r="G58" s="3819">
        <v>2004</v>
      </c>
      <c r="H58" s="2699">
        <v>4</v>
      </c>
      <c r="I58" s="2699">
        <v>0.33</v>
      </c>
      <c r="J58" s="2699">
        <v>0.5</v>
      </c>
      <c r="K58" s="2699">
        <v>0.5</v>
      </c>
      <c r="L58" s="2700">
        <v>0</v>
      </c>
      <c r="N58" s="2736">
        <f t="shared" ref="N58:O61" si="61">I58/SUM(I$58:I$61)*(B$58/B$62-1)</f>
        <v>1.3391770148526898E-2</v>
      </c>
      <c r="O58" s="2737">
        <f t="shared" si="61"/>
        <v>1.063264221158958E-2</v>
      </c>
      <c r="P58" s="2737">
        <f t="shared" ref="P58:Q61" si="62">K58/SUM(K$58:K$61)*(E$58/E$62-1)</f>
        <v>2.2244466688911134E-2</v>
      </c>
      <c r="Q58" s="2737">
        <f t="shared" si="62"/>
        <v>0</v>
      </c>
      <c r="R58" s="2690"/>
      <c r="S58" s="2691"/>
      <c r="T58" s="2692"/>
      <c r="U58" s="2692"/>
      <c r="V58" s="2692"/>
      <c r="X58" s="2738"/>
      <c r="Y58" s="2738"/>
      <c r="Z58" s="2738"/>
    </row>
    <row r="59" spans="1:26">
      <c r="A59" s="2679" t="s">
        <v>2626</v>
      </c>
      <c r="B59" s="2693">
        <f t="shared" ref="B59:C61" si="63">B60+(B$58-B$62)*I59/SUM(I$58:I$61)</f>
        <v>119.51351351351352</v>
      </c>
      <c r="C59" s="2693">
        <f t="shared" si="63"/>
        <v>120.7878787878788</v>
      </c>
      <c r="D59" s="2693">
        <f t="shared" si="29"/>
        <v>120.7878787878788</v>
      </c>
      <c r="E59" s="2693">
        <f t="shared" ref="E59:F61" si="64">E60+(E$58-E$62)*K59/SUM(K$58:K$61)</f>
        <v>121.5975975975976</v>
      </c>
      <c r="F59" s="2693">
        <f t="shared" si="64"/>
        <v>107</v>
      </c>
      <c r="G59" s="3820">
        <v>2004</v>
      </c>
      <c r="H59" s="2704">
        <v>3</v>
      </c>
      <c r="I59" s="2704">
        <v>0.56000000000000005</v>
      </c>
      <c r="J59" s="2704">
        <v>0.8</v>
      </c>
      <c r="K59" s="2704">
        <v>0.83</v>
      </c>
      <c r="L59" s="2705">
        <v>0.06</v>
      </c>
      <c r="N59" s="2736">
        <f t="shared" si="61"/>
        <v>2.2725428130833527E-2</v>
      </c>
      <c r="O59" s="2737">
        <f t="shared" si="61"/>
        <v>1.7012227538543329E-2</v>
      </c>
      <c r="P59" s="2737">
        <f t="shared" si="62"/>
        <v>3.6925814703592477E-2</v>
      </c>
      <c r="Q59" s="2737">
        <f t="shared" si="62"/>
        <v>2.8846153846153744E-2</v>
      </c>
      <c r="R59" s="2690"/>
      <c r="S59" s="2688"/>
      <c r="T59" s="2689"/>
      <c r="U59" s="2689"/>
      <c r="V59" s="2689"/>
      <c r="X59" s="2738"/>
      <c r="Y59" s="2738"/>
      <c r="Z59" s="2738"/>
    </row>
    <row r="60" spans="1:26">
      <c r="A60" s="2679" t="s">
        <v>2627</v>
      </c>
      <c r="B60" s="2693">
        <f t="shared" si="63"/>
        <v>116.99099099099099</v>
      </c>
      <c r="C60" s="2693">
        <f t="shared" si="63"/>
        <v>118.84848484848486</v>
      </c>
      <c r="D60" s="2693">
        <f t="shared" si="29"/>
        <v>118.84848484848486</v>
      </c>
      <c r="E60" s="2693">
        <f t="shared" si="64"/>
        <v>117.60960960960961</v>
      </c>
      <c r="F60" s="2693">
        <f t="shared" si="64"/>
        <v>104</v>
      </c>
      <c r="G60" s="3820">
        <v>2004</v>
      </c>
      <c r="H60" s="2684">
        <v>2</v>
      </c>
      <c r="I60" s="2684">
        <v>1</v>
      </c>
      <c r="J60" s="2684">
        <v>1.5</v>
      </c>
      <c r="K60" s="2684">
        <v>1.5</v>
      </c>
      <c r="L60" s="2695">
        <v>0</v>
      </c>
      <c r="N60" s="2736">
        <f t="shared" si="61"/>
        <v>4.0581121662202721E-2</v>
      </c>
      <c r="O60" s="2737">
        <f t="shared" si="61"/>
        <v>3.1897926634768738E-2</v>
      </c>
      <c r="P60" s="2737">
        <f t="shared" si="62"/>
        <v>6.6733400066733395E-2</v>
      </c>
      <c r="Q60" s="2737">
        <f t="shared" si="62"/>
        <v>0</v>
      </c>
      <c r="R60" s="2690"/>
      <c r="S60" s="2688"/>
      <c r="T60" s="2689"/>
      <c r="U60" s="2689"/>
      <c r="V60" s="2689"/>
      <c r="X60" s="2738"/>
      <c r="Y60" s="2738"/>
      <c r="Z60" s="2738"/>
    </row>
    <row r="61" spans="1:26" s="2729" customFormat="1" ht="13.5" thickBot="1">
      <c r="A61" s="2679" t="s">
        <v>2628</v>
      </c>
      <c r="B61" s="2726">
        <f t="shared" si="63"/>
        <v>112.48648648648648</v>
      </c>
      <c r="C61" s="2726">
        <f t="shared" si="63"/>
        <v>115.21212121212122</v>
      </c>
      <c r="D61" s="2726">
        <f t="shared" si="29"/>
        <v>115.21212121212122</v>
      </c>
      <c r="E61" s="2726">
        <f t="shared" si="64"/>
        <v>110.4024024024024</v>
      </c>
      <c r="F61" s="2726">
        <f t="shared" si="64"/>
        <v>104</v>
      </c>
      <c r="G61" s="3821">
        <v>2004</v>
      </c>
      <c r="H61" s="2727">
        <v>1</v>
      </c>
      <c r="I61" s="2727">
        <v>0.33</v>
      </c>
      <c r="J61" s="2727">
        <v>0.5</v>
      </c>
      <c r="K61" s="2727">
        <v>0.5</v>
      </c>
      <c r="L61" s="2728">
        <v>0</v>
      </c>
      <c r="N61" s="2741">
        <f t="shared" si="61"/>
        <v>1.3391770148526898E-2</v>
      </c>
      <c r="O61" s="2742">
        <f t="shared" si="61"/>
        <v>1.063264221158958E-2</v>
      </c>
      <c r="P61" s="2742">
        <f t="shared" si="62"/>
        <v>2.2244466688911134E-2</v>
      </c>
      <c r="Q61" s="2742">
        <f t="shared" si="62"/>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2629</v>
      </c>
      <c r="B62" s="2744">
        <v>111</v>
      </c>
      <c r="C62" s="2744">
        <v>114</v>
      </c>
      <c r="D62" s="2744">
        <f t="shared" si="29"/>
        <v>114</v>
      </c>
      <c r="E62" s="2744">
        <v>108</v>
      </c>
      <c r="F62" s="2745">
        <v>104</v>
      </c>
      <c r="G62" s="3819">
        <v>2003</v>
      </c>
      <c r="H62" s="2734">
        <v>4</v>
      </c>
      <c r="I62" s="2746"/>
      <c r="J62" s="2746"/>
      <c r="K62" s="2746"/>
      <c r="L62" s="2746"/>
      <c r="N62" s="2747"/>
      <c r="O62" s="2746"/>
      <c r="P62" s="2746"/>
      <c r="Q62" s="2746"/>
      <c r="S62" s="2747"/>
      <c r="T62" s="2746"/>
      <c r="U62" s="2746"/>
      <c r="V62" s="2746"/>
      <c r="X62" s="2738"/>
      <c r="Y62" s="2738"/>
      <c r="Z62" s="2738"/>
    </row>
    <row r="63" spans="1:26">
      <c r="A63" s="2679" t="s">
        <v>2630</v>
      </c>
      <c r="B63" s="2748">
        <f t="shared" ref="B63:C65" si="65">B64+(B$62-B$66)/4</f>
        <v>109.75</v>
      </c>
      <c r="C63" s="2748">
        <f t="shared" si="65"/>
        <v>112.25</v>
      </c>
      <c r="D63" s="2748">
        <f t="shared" si="29"/>
        <v>112.25</v>
      </c>
      <c r="E63" s="2748">
        <f t="shared" ref="E63:F65" si="66">E64+(E$62-E$66)/4</f>
        <v>107.25</v>
      </c>
      <c r="F63" s="2748">
        <f t="shared" si="66"/>
        <v>103.5</v>
      </c>
      <c r="G63" s="3820">
        <v>2003</v>
      </c>
      <c r="H63" s="2704">
        <v>3</v>
      </c>
      <c r="I63" s="2746"/>
      <c r="J63" s="2746"/>
      <c r="K63" s="2746"/>
      <c r="L63" s="2746"/>
      <c r="X63" s="2738"/>
      <c r="Y63" s="2738"/>
      <c r="Z63" s="2738"/>
    </row>
    <row r="64" spans="1:26">
      <c r="A64" s="2679" t="s">
        <v>2631</v>
      </c>
      <c r="B64" s="2748">
        <f t="shared" si="65"/>
        <v>108.5</v>
      </c>
      <c r="C64" s="2748">
        <f t="shared" si="65"/>
        <v>110.5</v>
      </c>
      <c r="D64" s="2748">
        <f t="shared" si="29"/>
        <v>110.5</v>
      </c>
      <c r="E64" s="2748">
        <f t="shared" si="66"/>
        <v>106.5</v>
      </c>
      <c r="F64" s="2748">
        <f t="shared" si="66"/>
        <v>103</v>
      </c>
      <c r="G64" s="3820">
        <v>2003</v>
      </c>
      <c r="H64" s="2684">
        <v>2</v>
      </c>
      <c r="I64" s="2746"/>
      <c r="J64" s="2746"/>
      <c r="K64" s="2746"/>
      <c r="L64" s="2746"/>
      <c r="X64" s="2738"/>
      <c r="Y64" s="2738"/>
      <c r="Z64" s="2738"/>
    </row>
    <row r="65" spans="1:26" ht="13.5" thickBot="1">
      <c r="A65" s="2679" t="s">
        <v>2632</v>
      </c>
      <c r="B65" s="2748">
        <f t="shared" si="65"/>
        <v>107.25</v>
      </c>
      <c r="C65" s="2748">
        <f t="shared" si="65"/>
        <v>108.75</v>
      </c>
      <c r="D65" s="2748">
        <f t="shared" si="29"/>
        <v>108.75</v>
      </c>
      <c r="E65" s="2748">
        <f t="shared" si="66"/>
        <v>105.75</v>
      </c>
      <c r="F65" s="2748">
        <f t="shared" si="66"/>
        <v>102.5</v>
      </c>
      <c r="G65" s="3821">
        <v>2003</v>
      </c>
      <c r="H65" s="2749">
        <v>1</v>
      </c>
      <c r="I65" s="2746"/>
      <c r="J65" s="2746"/>
      <c r="K65" s="2746"/>
      <c r="L65" s="2746"/>
      <c r="S65" s="2688"/>
      <c r="T65" s="2689"/>
      <c r="U65" s="2689"/>
      <c r="X65" s="2738"/>
      <c r="Y65" s="2738"/>
      <c r="Z65" s="2738"/>
    </row>
    <row r="66" spans="1:26" ht="13.5" thickBot="1">
      <c r="A66" s="2679" t="s">
        <v>2633</v>
      </c>
      <c r="B66" s="2750">
        <v>106</v>
      </c>
      <c r="C66" s="2750">
        <v>107</v>
      </c>
      <c r="D66" s="2750">
        <f t="shared" si="29"/>
        <v>107</v>
      </c>
      <c r="E66" s="2750">
        <v>105</v>
      </c>
      <c r="F66" s="2751">
        <v>102</v>
      </c>
      <c r="G66" s="3819">
        <v>2002</v>
      </c>
      <c r="H66" s="2699">
        <v>4</v>
      </c>
      <c r="I66" s="2746"/>
      <c r="J66" s="2746"/>
      <c r="K66" s="2746"/>
      <c r="L66" s="2746"/>
      <c r="N66" s="2747"/>
      <c r="O66" s="2746"/>
      <c r="P66" s="2746"/>
      <c r="Q66" s="2746"/>
      <c r="S66" s="2747"/>
      <c r="T66" s="2746"/>
      <c r="U66" s="2746"/>
      <c r="V66" s="2746"/>
      <c r="X66" s="2738"/>
      <c r="Y66" s="2738"/>
      <c r="Z66" s="2738"/>
    </row>
    <row r="67" spans="1:26">
      <c r="A67" s="2679" t="s">
        <v>2634</v>
      </c>
      <c r="B67" s="2748">
        <f t="shared" ref="B67:C69" si="67">B68+(B$66-B$70)/4</f>
        <v>105</v>
      </c>
      <c r="C67" s="2748">
        <f t="shared" si="67"/>
        <v>106</v>
      </c>
      <c r="D67" s="2748">
        <f t="shared" si="29"/>
        <v>106</v>
      </c>
      <c r="E67" s="2748">
        <f t="shared" ref="E67:F69" si="68">E68+(E$66-E$70)/4</f>
        <v>104.5</v>
      </c>
      <c r="F67" s="2748">
        <f t="shared" si="68"/>
        <v>101.5</v>
      </c>
      <c r="G67" s="3820">
        <v>2002</v>
      </c>
      <c r="H67" s="2704">
        <v>3</v>
      </c>
      <c r="I67" s="2746"/>
      <c r="J67" s="2746"/>
      <c r="K67" s="2746"/>
      <c r="L67" s="2746"/>
      <c r="X67" s="2738"/>
      <c r="Y67" s="2738"/>
      <c r="Z67" s="2738"/>
    </row>
    <row r="68" spans="1:26">
      <c r="A68" s="2679" t="s">
        <v>2635</v>
      </c>
      <c r="B68" s="2748">
        <f t="shared" si="67"/>
        <v>104</v>
      </c>
      <c r="C68" s="2748">
        <f t="shared" si="67"/>
        <v>105</v>
      </c>
      <c r="D68" s="2748">
        <f t="shared" si="29"/>
        <v>105</v>
      </c>
      <c r="E68" s="2748">
        <f t="shared" si="68"/>
        <v>104</v>
      </c>
      <c r="F68" s="2748">
        <f t="shared" si="68"/>
        <v>101</v>
      </c>
      <c r="G68" s="3820">
        <v>2002</v>
      </c>
      <c r="H68" s="2684">
        <v>2</v>
      </c>
      <c r="I68" s="2746"/>
      <c r="J68" s="2746"/>
      <c r="K68" s="2746"/>
      <c r="L68" s="2746"/>
      <c r="X68" s="2738"/>
      <c r="Y68" s="2738"/>
      <c r="Z68" s="2738"/>
    </row>
    <row r="69" spans="1:26" s="2715" customFormat="1" ht="13.5" thickBot="1">
      <c r="A69" s="2711" t="s">
        <v>2636</v>
      </c>
      <c r="B69" s="2752">
        <f t="shared" si="67"/>
        <v>103</v>
      </c>
      <c r="C69" s="2752">
        <f t="shared" si="67"/>
        <v>104</v>
      </c>
      <c r="D69" s="2752">
        <f t="shared" si="29"/>
        <v>104</v>
      </c>
      <c r="E69" s="2752">
        <f t="shared" si="68"/>
        <v>103.5</v>
      </c>
      <c r="F69" s="2752">
        <f t="shared" si="68"/>
        <v>100.5</v>
      </c>
      <c r="G69" s="3821">
        <v>2002</v>
      </c>
      <c r="H69" s="2753">
        <v>1</v>
      </c>
      <c r="I69" s="2754"/>
      <c r="J69" s="2754"/>
      <c r="K69" s="2754"/>
      <c r="L69" s="2754"/>
      <c r="N69" s="2755"/>
      <c r="S69" s="2755"/>
      <c r="X69" s="2756"/>
      <c r="Y69" s="2756"/>
      <c r="Z69" s="2756"/>
    </row>
    <row r="70" spans="1:26" ht="13.5" thickBot="1">
      <c r="B70" s="2757">
        <v>102</v>
      </c>
      <c r="C70" s="2758">
        <v>103</v>
      </c>
      <c r="D70" s="2758">
        <f t="shared" si="2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2637</v>
      </c>
      <c r="G72" s="2762"/>
      <c r="N72" s="2762"/>
      <c r="S72" s="2762"/>
    </row>
    <row r="73" spans="1:26" s="2761" customFormat="1">
      <c r="A73" s="2761" t="s">
        <v>2638</v>
      </c>
      <c r="G73" s="2762"/>
      <c r="N73" s="2762"/>
      <c r="S73" s="2762"/>
    </row>
    <row r="74" spans="1:26" s="2761" customFormat="1">
      <c r="A74" s="2761" t="s">
        <v>2639</v>
      </c>
      <c r="G74" s="2762"/>
      <c r="I74" s="2763"/>
      <c r="J74" s="2763"/>
      <c r="K74" s="2763"/>
      <c r="L74" s="2763"/>
      <c r="N74" s="2764"/>
      <c r="O74" s="2763"/>
      <c r="P74" s="2763"/>
      <c r="Q74" s="2763"/>
      <c r="S74" s="2764"/>
      <c r="T74" s="2763"/>
      <c r="U74" s="2763"/>
      <c r="V74" s="2763"/>
    </row>
    <row r="75" spans="1:26" s="2761" customFormat="1">
      <c r="A75" s="2761" t="s">
        <v>2640</v>
      </c>
      <c r="G75" s="2762"/>
      <c r="N75" s="2762"/>
      <c r="S75" s="2762"/>
    </row>
    <row r="82" spans="7:22" ht="13.5" thickBot="1"/>
    <row r="83" spans="7:22">
      <c r="G83" s="2687"/>
      <c r="S83" s="2765" t="s">
        <v>2641</v>
      </c>
      <c r="T83" s="2766" t="s">
        <v>2642</v>
      </c>
      <c r="U83" s="2766" t="s">
        <v>2643</v>
      </c>
      <c r="V83" s="2766" t="s">
        <v>2644</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42" t="s">
        <v>2477</v>
      </c>
      <c r="B1" s="3843"/>
      <c r="C1" s="3844"/>
      <c r="D1" s="3845">
        <f>SUM(I10,I15,I20,I21,I23)</f>
        <v>0</v>
      </c>
      <c r="E1" s="3845"/>
      <c r="F1" s="3845"/>
      <c r="G1" s="3845"/>
      <c r="H1" s="3845"/>
      <c r="I1" s="3846"/>
    </row>
    <row r="2" spans="1:9">
      <c r="A2" s="3832" t="s">
        <v>2478</v>
      </c>
      <c r="B2" s="3833" t="s">
        <v>2479</v>
      </c>
      <c r="C2" s="3833"/>
      <c r="D2" s="2530" t="s">
        <v>2480</v>
      </c>
      <c r="E2" s="2530" t="s">
        <v>2481</v>
      </c>
      <c r="F2" s="2530" t="s">
        <v>2482</v>
      </c>
      <c r="G2" s="2530" t="s">
        <v>2483</v>
      </c>
      <c r="H2" s="2530" t="s">
        <v>2484</v>
      </c>
      <c r="I2" s="2531" t="s">
        <v>2485</v>
      </c>
    </row>
    <row r="3" spans="1:9">
      <c r="A3" s="3832"/>
      <c r="B3" s="3833" t="s">
        <v>2486</v>
      </c>
      <c r="C3" s="3833"/>
      <c r="D3" s="2532"/>
      <c r="E3" s="2530"/>
      <c r="F3" s="2533"/>
      <c r="G3" s="2533"/>
      <c r="H3" s="2534"/>
      <c r="I3" s="2535">
        <f>ROUND(D3*E3*F3*G3*H3/10000,0)</f>
        <v>0</v>
      </c>
    </row>
    <row r="4" spans="1:9">
      <c r="A4" s="3832"/>
      <c r="B4" s="3833" t="s">
        <v>2487</v>
      </c>
      <c r="C4" s="3833"/>
      <c r="D4" s="2532"/>
      <c r="E4" s="2530"/>
      <c r="F4" s="2533"/>
      <c r="G4" s="2533"/>
      <c r="H4" s="2534"/>
      <c r="I4" s="2535">
        <f t="shared" ref="I4:I9" si="0">ROUND(D4*E4*F4*G4*H4/10000,0)</f>
        <v>0</v>
      </c>
    </row>
    <row r="5" spans="1:9">
      <c r="A5" s="3832"/>
      <c r="B5" s="3833" t="s">
        <v>2488</v>
      </c>
      <c r="C5" s="3833"/>
      <c r="D5" s="2532"/>
      <c r="E5" s="2530"/>
      <c r="F5" s="2533"/>
      <c r="G5" s="2533"/>
      <c r="H5" s="2534"/>
      <c r="I5" s="2535">
        <f t="shared" si="0"/>
        <v>0</v>
      </c>
    </row>
    <row r="6" spans="1:9">
      <c r="A6" s="3832"/>
      <c r="B6" s="3833" t="s">
        <v>2489</v>
      </c>
      <c r="C6" s="3833"/>
      <c r="D6" s="2532"/>
      <c r="E6" s="2530"/>
      <c r="F6" s="2533"/>
      <c r="G6" s="2533"/>
      <c r="H6" s="2534"/>
      <c r="I6" s="2535">
        <f t="shared" si="0"/>
        <v>0</v>
      </c>
    </row>
    <row r="7" spans="1:9">
      <c r="A7" s="3832"/>
      <c r="B7" s="3833" t="s">
        <v>2490</v>
      </c>
      <c r="C7" s="3833"/>
      <c r="D7" s="2532"/>
      <c r="E7" s="2530"/>
      <c r="F7" s="2533"/>
      <c r="G7" s="2533"/>
      <c r="H7" s="2534"/>
      <c r="I7" s="2535">
        <f t="shared" si="0"/>
        <v>0</v>
      </c>
    </row>
    <row r="8" spans="1:9">
      <c r="A8" s="3832"/>
      <c r="B8" s="3833" t="s">
        <v>2491</v>
      </c>
      <c r="C8" s="3833"/>
      <c r="D8" s="2532"/>
      <c r="E8" s="2530"/>
      <c r="F8" s="2533"/>
      <c r="G8" s="2533"/>
      <c r="H8" s="2534"/>
      <c r="I8" s="2535">
        <f t="shared" si="0"/>
        <v>0</v>
      </c>
    </row>
    <row r="9" spans="1:9">
      <c r="A9" s="3832"/>
      <c r="B9" s="3833" t="s">
        <v>2492</v>
      </c>
      <c r="C9" s="3833"/>
      <c r="D9" s="2532"/>
      <c r="E9" s="2530"/>
      <c r="F9" s="2533"/>
      <c r="G9" s="2533"/>
      <c r="H9" s="2534"/>
      <c r="I9" s="2535">
        <f t="shared" si="0"/>
        <v>0</v>
      </c>
    </row>
    <row r="10" spans="1:9">
      <c r="A10" s="3832"/>
      <c r="B10" s="3834" t="s">
        <v>2493</v>
      </c>
      <c r="C10" s="3834"/>
      <c r="D10" s="2536">
        <v>527</v>
      </c>
      <c r="E10" s="2536" t="e">
        <f>ROUND(D1*10000/D10/H9,0)</f>
        <v>#DIV/0!</v>
      </c>
      <c r="F10" s="2537"/>
      <c r="G10" s="2537"/>
      <c r="H10" s="2538"/>
      <c r="I10" s="2539">
        <f>SUM(I3:I9)</f>
        <v>0</v>
      </c>
    </row>
    <row r="11" spans="1:9" ht="14.25">
      <c r="A11" s="3832" t="s">
        <v>2494</v>
      </c>
      <c r="B11" s="3833" t="s">
        <v>2495</v>
      </c>
      <c r="C11" s="3833"/>
      <c r="D11" s="2532" t="s">
        <v>2496</v>
      </c>
      <c r="E11" s="2532" t="s">
        <v>2497</v>
      </c>
      <c r="F11" s="2533" t="s">
        <v>2498</v>
      </c>
      <c r="G11" s="2533" t="s">
        <v>2499</v>
      </c>
      <c r="H11" s="2540" t="s">
        <v>2500</v>
      </c>
      <c r="I11" s="2531" t="s">
        <v>2501</v>
      </c>
    </row>
    <row r="12" spans="1:9">
      <c r="A12" s="3832"/>
      <c r="B12" s="3833" t="s">
        <v>2502</v>
      </c>
      <c r="C12" s="3833"/>
      <c r="D12" s="2532"/>
      <c r="E12" s="2532"/>
      <c r="F12" s="2533"/>
      <c r="G12" s="2534"/>
      <c r="H12" s="2541"/>
      <c r="I12" s="2531">
        <f>ROUND(D12*E12*F12*G12/10000,0)</f>
        <v>0</v>
      </c>
    </row>
    <row r="13" spans="1:9">
      <c r="A13" s="3832"/>
      <c r="B13" s="3833" t="s">
        <v>2503</v>
      </c>
      <c r="C13" s="3833"/>
      <c r="D13" s="2532"/>
      <c r="E13" s="2532"/>
      <c r="F13" s="2533"/>
      <c r="G13" s="2534"/>
      <c r="H13" s="2541"/>
      <c r="I13" s="2531">
        <f>ROUND(D13*E13*F13*G13/10000,0)</f>
        <v>0</v>
      </c>
    </row>
    <row r="14" spans="1:9">
      <c r="A14" s="3832"/>
      <c r="B14" s="3833" t="s">
        <v>2504</v>
      </c>
      <c r="C14" s="3833"/>
      <c r="D14" s="2532"/>
      <c r="E14" s="2532"/>
      <c r="F14" s="2533"/>
      <c r="G14" s="2534"/>
      <c r="H14" s="2541"/>
      <c r="I14" s="2531">
        <f>ROUND(D14*E14*F14*G14/10000,0)</f>
        <v>0</v>
      </c>
    </row>
    <row r="15" spans="1:9">
      <c r="A15" s="3832"/>
      <c r="B15" s="3834" t="s">
        <v>2493</v>
      </c>
      <c r="C15" s="3834"/>
      <c r="D15" s="2536"/>
      <c r="E15" s="2536">
        <f>SUM(E12:E14)</f>
        <v>0</v>
      </c>
      <c r="F15" s="2537"/>
      <c r="G15" s="2534"/>
      <c r="H15" s="2541"/>
      <c r="I15" s="2542">
        <f>SUM(I12:I14)</f>
        <v>0</v>
      </c>
    </row>
    <row r="16" spans="1:9" ht="24">
      <c r="A16" s="3832" t="s">
        <v>2505</v>
      </c>
      <c r="B16" s="3833" t="s">
        <v>2506</v>
      </c>
      <c r="C16" s="3833"/>
      <c r="D16" s="2532" t="s">
        <v>2507</v>
      </c>
      <c r="E16" s="2543" t="s">
        <v>2508</v>
      </c>
      <c r="F16" s="2533" t="s">
        <v>2509</v>
      </c>
      <c r="G16" s="2534" t="s">
        <v>2499</v>
      </c>
      <c r="H16" s="2540" t="s">
        <v>2500</v>
      </c>
      <c r="I16" s="2531" t="s">
        <v>2501</v>
      </c>
    </row>
    <row r="17" spans="1:9" ht="14.25">
      <c r="A17" s="3832"/>
      <c r="B17" s="3833" t="s">
        <v>2510</v>
      </c>
      <c r="C17" s="3833"/>
      <c r="D17" s="2532"/>
      <c r="E17" s="2532"/>
      <c r="F17" s="2533"/>
      <c r="G17" s="2534"/>
      <c r="H17" s="2544"/>
      <c r="I17" s="2545">
        <f>ROUND(D17*E17*F17*G17/10000,0)</f>
        <v>0</v>
      </c>
    </row>
    <row r="18" spans="1:9" ht="14.25">
      <c r="A18" s="3832"/>
      <c r="B18" s="3833" t="s">
        <v>2511</v>
      </c>
      <c r="C18" s="3833"/>
      <c r="D18" s="2532"/>
      <c r="E18" s="2532"/>
      <c r="F18" s="2533"/>
      <c r="G18" s="2534"/>
      <c r="H18" s="2544"/>
      <c r="I18" s="2545">
        <f>ROUND(D18*E18*F18*G18/10000,0)</f>
        <v>0</v>
      </c>
    </row>
    <row r="19" spans="1:9" ht="14.25">
      <c r="A19" s="3832"/>
      <c r="B19" s="3833" t="s">
        <v>2512</v>
      </c>
      <c r="C19" s="3833"/>
      <c r="D19" s="2532"/>
      <c r="E19" s="2532"/>
      <c r="F19" s="2533"/>
      <c r="G19" s="2534"/>
      <c r="H19" s="2544"/>
      <c r="I19" s="2545">
        <f>ROUND(D19*E19*F19*G19/10000,0)</f>
        <v>0</v>
      </c>
    </row>
    <row r="20" spans="1:9">
      <c r="A20" s="3832"/>
      <c r="B20" s="3834" t="s">
        <v>2493</v>
      </c>
      <c r="C20" s="3834"/>
      <c r="D20" s="2536">
        <f>SUM(D17:D19)</f>
        <v>0</v>
      </c>
      <c r="E20" s="2536"/>
      <c r="F20" s="2537"/>
      <c r="G20" s="2534"/>
      <c r="H20" s="2541"/>
      <c r="I20" s="2542">
        <f>SUM(I17:I19)</f>
        <v>0</v>
      </c>
    </row>
    <row r="21" spans="1:9">
      <c r="A21" s="3832" t="s">
        <v>2513</v>
      </c>
      <c r="B21" s="3835"/>
      <c r="C21" s="3835"/>
      <c r="D21" s="3835"/>
      <c r="E21" s="3835"/>
      <c r="F21" s="3835"/>
      <c r="G21" s="3835"/>
      <c r="H21" s="2546">
        <v>0.1</v>
      </c>
      <c r="I21" s="2539">
        <f>ROUND(I10*H21,0)</f>
        <v>0</v>
      </c>
    </row>
    <row r="22" spans="1:9" ht="14.25">
      <c r="A22" s="3836" t="s">
        <v>2514</v>
      </c>
      <c r="B22" s="3837"/>
      <c r="C22" s="3838"/>
      <c r="D22" s="2547" t="s">
        <v>2515</v>
      </c>
      <c r="E22" s="2547" t="s">
        <v>2516</v>
      </c>
      <c r="F22" s="2548" t="s">
        <v>2517</v>
      </c>
      <c r="G22" s="2548" t="s">
        <v>2518</v>
      </c>
      <c r="H22" s="2540" t="s">
        <v>2519</v>
      </c>
      <c r="I22" s="2531" t="s">
        <v>2520</v>
      </c>
    </row>
    <row r="23" spans="1:9" ht="14.25" thickBot="1">
      <c r="A23" s="3839"/>
      <c r="B23" s="3840"/>
      <c r="C23" s="3841"/>
      <c r="D23" s="2549"/>
      <c r="E23" s="2549"/>
      <c r="F23" s="2549"/>
      <c r="G23" s="2550"/>
      <c r="H23" s="2551"/>
      <c r="I23" s="2552">
        <f>ROUND(E23*D23*F23*(1-G23)/10000,0)</f>
        <v>0</v>
      </c>
    </row>
    <row r="26" spans="1:9">
      <c r="A26" s="2553" t="s">
        <v>2521</v>
      </c>
      <c r="B26" s="2553"/>
      <c r="C26" s="2553"/>
      <c r="D26" s="2553"/>
      <c r="E26" s="3829">
        <f>C27-C30-C31-C32</f>
        <v>0</v>
      </c>
      <c r="F26" s="3829"/>
      <c r="G26" s="3829"/>
      <c r="H26" s="3068" t="s">
        <v>2849</v>
      </c>
    </row>
    <row r="27" spans="1:9">
      <c r="A27" s="2554">
        <v>1</v>
      </c>
      <c r="B27" s="2555" t="s">
        <v>2522</v>
      </c>
      <c r="C27" s="2555"/>
      <c r="D27" s="2555"/>
      <c r="E27" s="3830"/>
      <c r="F27" s="3830"/>
      <c r="G27" s="3830"/>
    </row>
    <row r="28" spans="1:9">
      <c r="A28" s="2556" t="s">
        <v>2523</v>
      </c>
      <c r="B28" s="2555" t="s">
        <v>2524</v>
      </c>
      <c r="C28" s="2555"/>
      <c r="D28" s="2555"/>
      <c r="E28" s="3830"/>
      <c r="F28" s="3830"/>
      <c r="G28" s="3830"/>
    </row>
    <row r="29" spans="1:9">
      <c r="A29" s="2556" t="s">
        <v>2525</v>
      </c>
      <c r="B29" s="2555" t="s">
        <v>2465</v>
      </c>
      <c r="C29" s="2555"/>
      <c r="D29" s="2555"/>
      <c r="E29" s="2555" t="s">
        <v>2526</v>
      </c>
      <c r="F29" s="2555"/>
      <c r="G29" s="2555"/>
    </row>
    <row r="30" spans="1:9">
      <c r="A30" s="2554">
        <v>2</v>
      </c>
      <c r="B30" s="2555" t="s">
        <v>2527</v>
      </c>
      <c r="C30" s="2555">
        <f>C27*D30</f>
        <v>0</v>
      </c>
      <c r="D30" s="2557">
        <v>0.2</v>
      </c>
      <c r="E30" s="2555" t="s">
        <v>2528</v>
      </c>
      <c r="F30" s="2555"/>
      <c r="G30" s="2555"/>
    </row>
    <row r="31" spans="1:9">
      <c r="A31" s="2554">
        <v>3</v>
      </c>
      <c r="B31" s="2555" t="s">
        <v>2529</v>
      </c>
      <c r="C31" s="2555">
        <f>C25*D31</f>
        <v>0</v>
      </c>
      <c r="D31" s="2557">
        <v>0.15</v>
      </c>
      <c r="E31" s="2555" t="s">
        <v>2530</v>
      </c>
      <c r="F31" s="2555"/>
      <c r="G31" s="2555"/>
    </row>
    <row r="32" spans="1:9">
      <c r="A32" s="2554">
        <v>4</v>
      </c>
      <c r="B32" s="2555" t="s">
        <v>2531</v>
      </c>
      <c r="C32" s="2555">
        <f>C27*D32</f>
        <v>0</v>
      </c>
      <c r="D32" s="2557">
        <v>0.05</v>
      </c>
      <c r="E32" s="3831"/>
      <c r="F32" s="3831"/>
      <c r="G32" s="3831"/>
    </row>
    <row r="33" spans="1:7" hidden="1">
      <c r="A33" s="3826" t="s">
        <v>2532</v>
      </c>
      <c r="B33" s="3827"/>
      <c r="C33" s="3827"/>
      <c r="D33" s="3828"/>
      <c r="E33" s="3829"/>
      <c r="F33" s="3829"/>
      <c r="G33" s="3829"/>
    </row>
    <row r="34" spans="1:7" hidden="1">
      <c r="A34" s="2558">
        <v>1</v>
      </c>
      <c r="B34" s="2555" t="s">
        <v>2533</v>
      </c>
      <c r="C34" s="2555"/>
      <c r="D34" s="2555"/>
      <c r="E34" s="3830"/>
      <c r="F34" s="3830"/>
      <c r="G34" s="3830"/>
    </row>
    <row r="35" spans="1:7" hidden="1">
      <c r="A35" s="2558">
        <v>2</v>
      </c>
      <c r="B35" s="2555" t="s">
        <v>2534</v>
      </c>
      <c r="C35" s="2555"/>
      <c r="D35" s="2555"/>
      <c r="E35" s="3830"/>
      <c r="F35" s="3830"/>
      <c r="G35" s="3830"/>
    </row>
    <row r="36" spans="1:7" hidden="1">
      <c r="A36" s="2558">
        <v>3</v>
      </c>
      <c r="B36" s="2555" t="s">
        <v>2535</v>
      </c>
      <c r="C36" s="2555"/>
      <c r="D36" s="2555"/>
      <c r="E36" s="3830"/>
      <c r="F36" s="3830"/>
      <c r="G36" s="3830"/>
    </row>
    <row r="37" spans="1:7" hidden="1">
      <c r="A37" s="2558">
        <v>4</v>
      </c>
      <c r="B37" s="2555" t="s">
        <v>2536</v>
      </c>
      <c r="C37" s="2555"/>
      <c r="D37" s="2555"/>
      <c r="E37" s="3830"/>
      <c r="F37" s="3830"/>
      <c r="G37" s="3830"/>
    </row>
    <row r="38" spans="1:7" hidden="1">
      <c r="A38" s="3826" t="s">
        <v>2537</v>
      </c>
      <c r="B38" s="3827"/>
      <c r="C38" s="3827"/>
      <c r="D38" s="3828"/>
      <c r="E38" s="3829"/>
      <c r="F38" s="3829"/>
      <c r="G38" s="38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604</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1687</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605</v>
      </c>
      <c r="C6" s="744" t="s">
        <v>606</v>
      </c>
      <c r="D6" s="744" t="s">
        <v>607</v>
      </c>
      <c r="E6" s="745" t="s">
        <v>608</v>
      </c>
      <c r="F6" s="745" t="s">
        <v>609</v>
      </c>
      <c r="G6" s="746"/>
    </row>
    <row r="7" spans="1:25" s="2182" customFormat="1" ht="13.5" customHeight="1">
      <c r="A7" s="2492">
        <v>1</v>
      </c>
      <c r="B7" s="747" t="s">
        <v>610</v>
      </c>
      <c r="C7" s="748">
        <f>C8+C9</f>
        <v>0</v>
      </c>
      <c r="D7" s="748"/>
      <c r="E7" s="749"/>
      <c r="F7" s="749"/>
      <c r="G7" s="2502"/>
    </row>
    <row r="8" spans="1:25" s="2182" customFormat="1" ht="13.5" customHeight="1">
      <c r="A8" s="2492" t="s">
        <v>2444</v>
      </c>
      <c r="B8" s="2495" t="s">
        <v>2446</v>
      </c>
      <c r="C8" s="2496"/>
      <c r="D8" s="748"/>
      <c r="E8" s="749"/>
      <c r="F8" s="749"/>
      <c r="G8" s="750"/>
    </row>
    <row r="9" spans="1:25" s="2182" customFormat="1" ht="13.5" customHeight="1">
      <c r="A9" s="2492" t="s">
        <v>2445</v>
      </c>
      <c r="B9" s="2495" t="s">
        <v>2447</v>
      </c>
      <c r="C9" s="2496"/>
      <c r="D9" s="748"/>
      <c r="E9" s="749"/>
      <c r="F9" s="749"/>
      <c r="G9" s="750"/>
    </row>
    <row r="10" spans="1:25" s="2182" customFormat="1" ht="36">
      <c r="A10" s="2492">
        <v>2</v>
      </c>
      <c r="B10" s="747" t="s">
        <v>614</v>
      </c>
      <c r="C10" s="748">
        <f>C11+C14+C15</f>
        <v>0</v>
      </c>
      <c r="D10" s="759">
        <f>'数据-汇总表'!E3</f>
        <v>287739</v>
      </c>
      <c r="E10" s="748">
        <f>'数据-取费表'!B31</f>
        <v>150</v>
      </c>
      <c r="F10" s="760"/>
      <c r="G10" s="758" t="s">
        <v>615</v>
      </c>
    </row>
    <row r="11" spans="1:25" s="2182" customFormat="1" ht="13.5" customHeight="1">
      <c r="A11" s="2492" t="s">
        <v>2444</v>
      </c>
      <c r="B11" s="751" t="s">
        <v>611</v>
      </c>
      <c r="C11" s="752">
        <f>'数据-取费表'!B29</f>
        <v>0</v>
      </c>
      <c r="D11" s="753"/>
      <c r="E11" s="752"/>
      <c r="F11" s="754"/>
      <c r="G11" s="2501" t="s">
        <v>2455</v>
      </c>
    </row>
    <row r="12" spans="1:25" s="2182" customFormat="1" ht="13.5" customHeight="1">
      <c r="A12" s="2499" t="s">
        <v>2452</v>
      </c>
      <c r="B12" s="755" t="s">
        <v>612</v>
      </c>
      <c r="C12" s="756">
        <f>ROUND(D12*E12/10000,0)</f>
        <v>2237</v>
      </c>
      <c r="D12" s="757">
        <f>'数据-汇总表'!E5</f>
        <v>213031</v>
      </c>
      <c r="E12" s="756">
        <f>'数据-取费表'!B27</f>
        <v>105</v>
      </c>
      <c r="F12" s="754"/>
      <c r="G12" s="758"/>
    </row>
    <row r="13" spans="1:25" s="2182" customFormat="1" ht="13.5" customHeight="1">
      <c r="A13" s="2499" t="s">
        <v>2451</v>
      </c>
      <c r="B13" s="755" t="s">
        <v>613</v>
      </c>
      <c r="C13" s="756">
        <f>ROUND(D13*E13/10000,0)</f>
        <v>784</v>
      </c>
      <c r="D13" s="757">
        <f>'数据-汇总表'!E6</f>
        <v>74708</v>
      </c>
      <c r="E13" s="756">
        <f>'数据-取费表'!B28</f>
        <v>105</v>
      </c>
      <c r="F13" s="754"/>
      <c r="G13" s="758"/>
    </row>
    <row r="14" spans="1:25" s="2182" customFormat="1" ht="13.5" customHeight="1">
      <c r="A14" s="2492" t="s">
        <v>2445</v>
      </c>
      <c r="B14" s="2498" t="s">
        <v>2448</v>
      </c>
      <c r="C14" s="2496"/>
      <c r="D14" s="757"/>
      <c r="E14" s="756"/>
      <c r="F14" s="2497"/>
      <c r="G14" s="2500" t="s">
        <v>2453</v>
      </c>
    </row>
    <row r="15" spans="1:25" s="2182" customFormat="1" ht="13.5" customHeight="1">
      <c r="A15" s="2492" t="s">
        <v>2450</v>
      </c>
      <c r="B15" s="2498" t="s">
        <v>2449</v>
      </c>
      <c r="C15" s="2496"/>
      <c r="D15" s="757"/>
      <c r="E15" s="756"/>
      <c r="F15" s="2497"/>
      <c r="G15" s="2500" t="s">
        <v>2454</v>
      </c>
    </row>
    <row r="16" spans="1:25" s="2183" customFormat="1" ht="48">
      <c r="A16" s="2492">
        <v>3</v>
      </c>
      <c r="B16" s="747" t="s">
        <v>616</v>
      </c>
      <c r="C16" s="2496"/>
      <c r="D16" s="759"/>
      <c r="E16" s="748"/>
      <c r="F16" s="760"/>
      <c r="G16" s="758" t="s">
        <v>2456</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617</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618</v>
      </c>
      <c r="C18" s="748">
        <f>ROUND((C7+C10+C16)*F18,0)</f>
        <v>0</v>
      </c>
      <c r="D18" s="761"/>
      <c r="E18" s="762"/>
      <c r="F18" s="760">
        <f>'数据-取费表'!Q16</f>
        <v>0.08</v>
      </c>
      <c r="G18" s="764"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620</v>
      </c>
      <c r="C19" s="748">
        <f ca="1">C7+C10+C16+C17+C18</f>
        <v>0</v>
      </c>
      <c r="D19" s="759"/>
      <c r="E19" s="748"/>
      <c r="F19" s="760"/>
      <c r="G19" s="764"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622</v>
      </c>
      <c r="C20" s="748">
        <f ca="1">ROUND(C19*F20,0)</f>
        <v>0</v>
      </c>
      <c r="D20" s="759"/>
      <c r="E20" s="748"/>
      <c r="F20" s="1347"/>
      <c r="G20" s="764"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624</v>
      </c>
      <c r="C21" s="748">
        <f ca="1">C19+C20</f>
        <v>0</v>
      </c>
      <c r="D21" s="759"/>
      <c r="E21" s="748"/>
      <c r="F21" s="760"/>
      <c r="G21" s="764"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626</v>
      </c>
      <c r="C22" s="748">
        <f ca="1">ROUND(C21*F22,0)</f>
        <v>0</v>
      </c>
      <c r="D22" s="759"/>
      <c r="E22" s="748"/>
      <c r="F22" s="765">
        <f>'数据-取费表'!AP16</f>
        <v>0.90700000000000003</v>
      </c>
      <c r="G22" s="764"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628</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B23" sqref="B23:K2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2646" t="s">
        <v>720</v>
      </c>
      <c r="C1" s="2647" t="s">
        <v>721</v>
      </c>
      <c r="D1" s="2648" t="s">
        <v>3237</v>
      </c>
      <c r="E1" s="2649"/>
      <c r="F1" s="2831" t="s">
        <v>3307</v>
      </c>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163306</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520</v>
      </c>
      <c r="B3" s="850">
        <f>C49</f>
        <v>10375</v>
      </c>
      <c r="C3" s="851" t="s">
        <v>723</v>
      </c>
      <c r="D3" s="850">
        <f>SUMIF('数据-汇总表'!$C19:$C33,D1,'数据-汇总表'!$E19:$E33)</f>
        <v>157403</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522</v>
      </c>
      <c r="B4" s="512"/>
      <c r="C4" s="3752" t="s">
        <v>523</v>
      </c>
      <c r="D4" s="3753"/>
      <c r="E4" s="3779" t="s">
        <v>524</v>
      </c>
      <c r="F4" s="3780"/>
      <c r="G4" s="3752" t="s">
        <v>525</v>
      </c>
      <c r="H4" s="3753"/>
      <c r="I4" s="3752" t="s">
        <v>526</v>
      </c>
      <c r="J4" s="3753"/>
      <c r="K4" s="852" t="s">
        <v>527</v>
      </c>
      <c r="L4" s="2132"/>
      <c r="M4" s="2133"/>
      <c r="N4" s="2133"/>
      <c r="O4" s="2133"/>
      <c r="P4" s="3754" t="s">
        <v>528</v>
      </c>
      <c r="Q4" s="3755"/>
      <c r="R4" s="3740" t="s">
        <v>524</v>
      </c>
      <c r="S4" s="3741"/>
      <c r="T4" s="3740" t="s">
        <v>525</v>
      </c>
      <c r="U4" s="3741"/>
      <c r="V4" s="3760" t="s">
        <v>526</v>
      </c>
      <c r="W4" s="3760"/>
      <c r="X4" s="1565"/>
      <c r="Y4" s="3740" t="s">
        <v>528</v>
      </c>
      <c r="Z4" s="3741"/>
      <c r="AA4" s="3735" t="s">
        <v>524</v>
      </c>
      <c r="AB4" s="3735" t="s">
        <v>525</v>
      </c>
      <c r="AC4" s="3735" t="s">
        <v>526</v>
      </c>
    </row>
    <row r="5" spans="1:29" ht="15">
      <c r="A5" s="514"/>
      <c r="B5" s="515"/>
      <c r="C5" s="3763" t="s">
        <v>3308</v>
      </c>
      <c r="D5" s="3764"/>
      <c r="E5" s="3847" t="s">
        <v>3309</v>
      </c>
      <c r="F5" s="3782"/>
      <c r="G5" s="3763" t="s">
        <v>3310</v>
      </c>
      <c r="H5" s="3764"/>
      <c r="I5" s="3763" t="s">
        <v>3311</v>
      </c>
      <c r="J5" s="3764"/>
      <c r="K5" s="853"/>
      <c r="L5" s="2132"/>
      <c r="M5" s="2133"/>
      <c r="N5" s="2133"/>
      <c r="O5" s="2133"/>
      <c r="P5" s="3756"/>
      <c r="Q5" s="3757"/>
      <c r="R5" s="3742"/>
      <c r="S5" s="3743"/>
      <c r="T5" s="3742"/>
      <c r="U5" s="3743"/>
      <c r="V5" s="3760"/>
      <c r="W5" s="3760"/>
      <c r="X5" s="1565"/>
      <c r="Y5" s="3742"/>
      <c r="Z5" s="3743"/>
      <c r="AA5" s="3736"/>
      <c r="AB5" s="3736"/>
      <c r="AC5" s="3736"/>
    </row>
    <row r="6" spans="1:29" ht="15.75" thickBot="1">
      <c r="A6" s="516"/>
      <c r="B6" s="517"/>
      <c r="C6" s="3783" t="s">
        <v>3312</v>
      </c>
      <c r="D6" s="3762"/>
      <c r="E6" s="3784" t="s">
        <v>3312</v>
      </c>
      <c r="F6" s="3785"/>
      <c r="G6" s="3783" t="s">
        <v>3312</v>
      </c>
      <c r="H6" s="3762"/>
      <c r="I6" s="3783" t="s">
        <v>3312</v>
      </c>
      <c r="J6" s="3762"/>
      <c r="K6" s="853" t="s">
        <v>529</v>
      </c>
      <c r="L6" s="2132"/>
      <c r="M6" s="2133"/>
      <c r="N6" s="2133"/>
      <c r="O6" s="2133"/>
      <c r="P6" s="3758"/>
      <c r="Q6" s="3759"/>
      <c r="R6" s="3742"/>
      <c r="S6" s="3743"/>
      <c r="T6" s="3744"/>
      <c r="U6" s="3745"/>
      <c r="V6" s="3760"/>
      <c r="W6" s="3760"/>
      <c r="X6" s="1565"/>
      <c r="Y6" s="3744"/>
      <c r="Z6" s="3745"/>
      <c r="AA6" s="3737"/>
      <c r="AB6" s="3737"/>
      <c r="AC6" s="3737"/>
    </row>
    <row r="7" spans="1:29" s="1218" customFormat="1" ht="15.75" thickBot="1">
      <c r="A7" s="2936"/>
      <c r="B7" s="2943" t="s">
        <v>530</v>
      </c>
      <c r="C7" s="518">
        <f>'数据-取费表'!B2</f>
        <v>43171</v>
      </c>
      <c r="D7" s="519">
        <v>100</v>
      </c>
      <c r="E7" s="520">
        <v>43171</v>
      </c>
      <c r="F7" s="521">
        <f>SUMIF(58:58,YEAR(E7)&amp;"-"&amp;MONTH(E7),59:59)</f>
        <v>100</v>
      </c>
      <c r="G7" s="522">
        <v>43171</v>
      </c>
      <c r="H7" s="519">
        <f>SUMIF(58:58,YEAR(G7)&amp;"-"&amp;MONTH(G7),59:59)</f>
        <v>100</v>
      </c>
      <c r="I7" s="522">
        <v>43171</v>
      </c>
      <c r="J7" s="519">
        <f>SUMIF(58:58,YEAR(I7)&amp;"-"&amp;MONTH(I7),59:59)</f>
        <v>100</v>
      </c>
      <c r="K7" s="854"/>
      <c r="L7" s="2134"/>
      <c r="M7" s="2135"/>
      <c r="N7" s="2135"/>
      <c r="O7" s="2135"/>
      <c r="P7" s="3738" t="s">
        <v>531</v>
      </c>
      <c r="Q7" s="3747"/>
      <c r="R7" s="1566" t="s">
        <v>13</v>
      </c>
      <c r="S7" s="1567">
        <f t="shared" ref="S7:S15" si="0">F7</f>
        <v>100</v>
      </c>
      <c r="T7" s="1566" t="s">
        <v>13</v>
      </c>
      <c r="U7" s="1567">
        <f t="shared" ref="U7:U15" si="1">H7</f>
        <v>100</v>
      </c>
      <c r="V7" s="1566" t="s">
        <v>13</v>
      </c>
      <c r="W7" s="1567">
        <f t="shared" ref="W7:W15" si="2">J7</f>
        <v>100</v>
      </c>
      <c r="X7" s="1568"/>
      <c r="Y7" s="3738" t="s">
        <v>531</v>
      </c>
      <c r="Z7" s="3739"/>
      <c r="AA7" s="1569">
        <f>D7/F7</f>
        <v>1</v>
      </c>
      <c r="AB7" s="1569">
        <f>D7/H7</f>
        <v>1</v>
      </c>
      <c r="AC7" s="1569">
        <f>D7/J7</f>
        <v>1</v>
      </c>
    </row>
    <row r="8" spans="1:29" s="1218" customFormat="1" ht="15.75" thickBot="1">
      <c r="A8" s="2937"/>
      <c r="B8" s="2944" t="s">
        <v>532</v>
      </c>
      <c r="C8" s="524" t="s">
        <v>577</v>
      </c>
      <c r="D8" s="519">
        <v>100</v>
      </c>
      <c r="E8" s="855" t="s">
        <v>3252</v>
      </c>
      <c r="F8" s="521">
        <f>SUMIF(61:61,E8,62:62)-SUMIF(61:61,C8,62:62)+100</f>
        <v>100</v>
      </c>
      <c r="G8" s="524" t="s">
        <v>3252</v>
      </c>
      <c r="H8" s="519">
        <f>SUMIF(61:61,G8,62:62)-SUMIF(61:61,C8,62:62)+100</f>
        <v>100</v>
      </c>
      <c r="I8" s="855" t="s">
        <v>3252</v>
      </c>
      <c r="J8" s="519">
        <f>SUMIF(61:61,I8,62:62)-SUMIF(61:61,C8,62:62)+100</f>
        <v>100</v>
      </c>
      <c r="K8" s="854"/>
      <c r="L8" s="2134"/>
      <c r="M8" s="2135"/>
      <c r="N8" s="2135"/>
      <c r="O8" s="2135"/>
      <c r="P8" s="3738" t="s">
        <v>534</v>
      </c>
      <c r="Q8" s="3739"/>
      <c r="R8" s="1566" t="s">
        <v>13</v>
      </c>
      <c r="S8" s="1567">
        <f t="shared" si="0"/>
        <v>100</v>
      </c>
      <c r="T8" s="1566" t="s">
        <v>13</v>
      </c>
      <c r="U8" s="1567">
        <f t="shared" si="1"/>
        <v>100</v>
      </c>
      <c r="V8" s="1566" t="s">
        <v>13</v>
      </c>
      <c r="W8" s="1567">
        <f t="shared" si="2"/>
        <v>100</v>
      </c>
      <c r="X8" s="1568"/>
      <c r="Y8" s="3738" t="s">
        <v>534</v>
      </c>
      <c r="Z8" s="3739"/>
      <c r="AA8" s="1569">
        <f t="shared" ref="AA8:AA46" si="3">D8/F8</f>
        <v>1</v>
      </c>
      <c r="AB8" s="1569">
        <f t="shared" ref="AB8:AB46" si="4">D8/H8</f>
        <v>1</v>
      </c>
      <c r="AC8" s="1569">
        <f t="shared" ref="AC8:AC46" si="5">D8/J8</f>
        <v>1</v>
      </c>
    </row>
    <row r="9" spans="1:29" s="1218" customFormat="1" ht="15">
      <c r="A9" s="2938"/>
      <c r="B9" s="2945" t="s">
        <v>2762</v>
      </c>
      <c r="C9" s="3551" t="s">
        <v>3357</v>
      </c>
      <c r="D9" s="253">
        <v>100</v>
      </c>
      <c r="E9" s="857" t="s">
        <v>924</v>
      </c>
      <c r="F9" s="858">
        <f>SUMIF(63:63,E9,64:64)-SUMIF(63:63,C9,64:64)+100</f>
        <v>100</v>
      </c>
      <c r="G9" s="857" t="s">
        <v>924</v>
      </c>
      <c r="H9" s="253">
        <f>SUMIF(63:63,G9,64:64)-SUMIF(63:63,C9,64:64)+100</f>
        <v>100</v>
      </c>
      <c r="I9" s="857" t="s">
        <v>924</v>
      </c>
      <c r="J9" s="253">
        <f>SUMIF(63:63,I9,64:64)-SUMIF(63:63,C9,64:64)+100</f>
        <v>100</v>
      </c>
      <c r="K9" s="854"/>
      <c r="L9" s="2134"/>
      <c r="M9" s="2135"/>
      <c r="N9" s="2135"/>
      <c r="O9" s="2136"/>
      <c r="P9" s="3746" t="s">
        <v>536</v>
      </c>
      <c r="Q9" s="1149" t="str">
        <f t="shared" ref="Q9:Q15" si="6">B9</f>
        <v>用途</v>
      </c>
      <c r="R9" s="1566" t="s">
        <v>8</v>
      </c>
      <c r="S9" s="1567">
        <f t="shared" si="0"/>
        <v>100</v>
      </c>
      <c r="T9" s="1566" t="s">
        <v>8</v>
      </c>
      <c r="U9" s="1567">
        <f t="shared" si="1"/>
        <v>100</v>
      </c>
      <c r="V9" s="1566" t="s">
        <v>8</v>
      </c>
      <c r="W9" s="1567">
        <f t="shared" si="2"/>
        <v>100</v>
      </c>
      <c r="X9" s="1568"/>
      <c r="Y9" s="3703" t="s">
        <v>537</v>
      </c>
      <c r="Z9" s="1148" t="str">
        <f t="shared" ref="Z9:Z15" si="7">Q9</f>
        <v>用途</v>
      </c>
      <c r="AA9" s="1569">
        <f t="shared" si="3"/>
        <v>1</v>
      </c>
      <c r="AB9" s="1569">
        <f t="shared" si="4"/>
        <v>1</v>
      </c>
      <c r="AC9" s="1569">
        <f t="shared" si="5"/>
        <v>1</v>
      </c>
    </row>
    <row r="10" spans="1:29" s="1336" customFormat="1" ht="27">
      <c r="A10" s="2939"/>
      <c r="B10" s="2944" t="s">
        <v>2763</v>
      </c>
      <c r="C10" s="860" t="s">
        <v>3313</v>
      </c>
      <c r="D10" s="254">
        <v>100</v>
      </c>
      <c r="E10" s="861" t="s">
        <v>3313</v>
      </c>
      <c r="F10" s="862">
        <f>SUMIF(65:65,E10,66:66)-SUMIF(65:65,C10,66:66)+100</f>
        <v>100</v>
      </c>
      <c r="G10" s="861" t="s">
        <v>3313</v>
      </c>
      <c r="H10" s="254">
        <f>SUMIF(65:65,G10,66:66)-SUMIF(65:65,C10,66:66)+100</f>
        <v>100</v>
      </c>
      <c r="I10" s="861" t="s">
        <v>3313</v>
      </c>
      <c r="J10" s="254">
        <f>SUMIF(65:65,I10,66:66)-SUMIF(65:65,C10,66:66)+100</f>
        <v>100</v>
      </c>
      <c r="K10" s="863">
        <v>1</v>
      </c>
      <c r="L10" s="2137"/>
      <c r="M10" s="2177"/>
      <c r="N10" s="2177"/>
      <c r="O10" s="2138"/>
      <c r="P10" s="3746"/>
      <c r="Q10" s="1149" t="str">
        <f t="shared" si="6"/>
        <v>土地使用年限（年）</v>
      </c>
      <c r="R10" s="1566" t="s">
        <v>8</v>
      </c>
      <c r="S10" s="1567">
        <f t="shared" si="0"/>
        <v>100</v>
      </c>
      <c r="T10" s="1566" t="s">
        <v>8</v>
      </c>
      <c r="U10" s="1567">
        <f t="shared" si="1"/>
        <v>100</v>
      </c>
      <c r="V10" s="1566" t="s">
        <v>8</v>
      </c>
      <c r="W10" s="1567">
        <f t="shared" si="2"/>
        <v>100</v>
      </c>
      <c r="X10" s="1568"/>
      <c r="Y10" s="3703"/>
      <c r="Z10" s="1148" t="str">
        <f t="shared" si="7"/>
        <v>土地使用年限（年）</v>
      </c>
      <c r="AA10" s="1569">
        <f t="shared" si="3"/>
        <v>1</v>
      </c>
      <c r="AB10" s="1569">
        <f t="shared" si="4"/>
        <v>1</v>
      </c>
      <c r="AC10" s="1569">
        <f t="shared" si="5"/>
        <v>1</v>
      </c>
    </row>
    <row r="11" spans="1:29" ht="15.75" thickBot="1">
      <c r="A11" s="2940"/>
      <c r="B11" s="2944" t="s">
        <v>2764</v>
      </c>
      <c r="C11" s="532">
        <f>'数据-汇总表'!I7</f>
        <v>2.29</v>
      </c>
      <c r="D11" s="254">
        <v>100</v>
      </c>
      <c r="E11" s="533">
        <v>1.45</v>
      </c>
      <c r="F11" s="862">
        <f>LOOKUP(E11,68:68,69:69)-LOOKUP(C11,68:68,69:69)+100</f>
        <v>102</v>
      </c>
      <c r="G11" s="532">
        <v>2.5499999999999998</v>
      </c>
      <c r="H11" s="254">
        <f>LOOKUP(G11,68:68,69:69)-LOOKUP(C11,68:68,69:69)+100</f>
        <v>100</v>
      </c>
      <c r="I11" s="532">
        <v>1.43</v>
      </c>
      <c r="J11" s="254">
        <f>LOOKUP(I11,68:68,69:69)-LOOKUP(C11,68:68,69:69)+100</f>
        <v>102</v>
      </c>
      <c r="K11" s="863">
        <v>2</v>
      </c>
      <c r="L11" s="2139"/>
      <c r="M11" s="2133"/>
      <c r="N11" s="2133"/>
      <c r="O11" s="2140"/>
      <c r="P11" s="3746"/>
      <c r="Q11" s="1149" t="str">
        <f t="shared" si="6"/>
        <v>容积率</v>
      </c>
      <c r="R11" s="1566" t="s">
        <v>11</v>
      </c>
      <c r="S11" s="1567">
        <f t="shared" si="0"/>
        <v>102</v>
      </c>
      <c r="T11" s="1566" t="s">
        <v>11</v>
      </c>
      <c r="U11" s="1567">
        <f t="shared" si="1"/>
        <v>100</v>
      </c>
      <c r="V11" s="1566" t="s">
        <v>11</v>
      </c>
      <c r="W11" s="1567">
        <f t="shared" si="2"/>
        <v>102</v>
      </c>
      <c r="X11" s="1568"/>
      <c r="Y11" s="3703"/>
      <c r="Z11" s="1148" t="str">
        <f t="shared" si="7"/>
        <v>容积率</v>
      </c>
      <c r="AA11" s="1569">
        <f t="shared" si="3"/>
        <v>0.98039215686274506</v>
      </c>
      <c r="AB11" s="1569">
        <f t="shared" si="4"/>
        <v>1</v>
      </c>
      <c r="AC11" s="1569">
        <f t="shared" si="5"/>
        <v>0.98039215686274506</v>
      </c>
    </row>
    <row r="12" spans="1:29" s="1218" customFormat="1" ht="15" hidden="1">
      <c r="A12" s="2941"/>
      <c r="B12" s="2947"/>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746"/>
      <c r="Q12" s="1149">
        <f t="shared" si="6"/>
        <v>0</v>
      </c>
      <c r="R12" s="1566" t="s">
        <v>11</v>
      </c>
      <c r="S12" s="1567">
        <f t="shared" si="0"/>
        <v>100</v>
      </c>
      <c r="T12" s="1566" t="s">
        <v>11</v>
      </c>
      <c r="U12" s="1567">
        <f t="shared" si="1"/>
        <v>100</v>
      </c>
      <c r="V12" s="1566" t="s">
        <v>11</v>
      </c>
      <c r="W12" s="1567">
        <f t="shared" si="2"/>
        <v>100</v>
      </c>
      <c r="X12" s="1568"/>
      <c r="Y12" s="3703"/>
      <c r="Z12" s="1148">
        <f t="shared" si="7"/>
        <v>0</v>
      </c>
      <c r="AA12" s="1569">
        <f>D12/F12</f>
        <v>1</v>
      </c>
      <c r="AB12" s="1569">
        <f>D12/H12</f>
        <v>1</v>
      </c>
      <c r="AC12" s="1569">
        <f>D12/J12</f>
        <v>1</v>
      </c>
    </row>
    <row r="13" spans="1:29" ht="15" hidden="1">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746"/>
      <c r="Q13" s="1149">
        <f t="shared" si="6"/>
        <v>0</v>
      </c>
      <c r="R13" s="1566" t="s">
        <v>11</v>
      </c>
      <c r="S13" s="1567">
        <f t="shared" si="0"/>
        <v>100</v>
      </c>
      <c r="T13" s="1566" t="s">
        <v>11</v>
      </c>
      <c r="U13" s="1567">
        <f t="shared" si="1"/>
        <v>100</v>
      </c>
      <c r="V13" s="1566" t="s">
        <v>11</v>
      </c>
      <c r="W13" s="1567">
        <f t="shared" si="2"/>
        <v>100</v>
      </c>
      <c r="X13" s="1568"/>
      <c r="Y13" s="3703"/>
      <c r="Z13" s="1148">
        <f t="shared" si="7"/>
        <v>0</v>
      </c>
      <c r="AA13" s="1569">
        <f t="shared" si="3"/>
        <v>1</v>
      </c>
      <c r="AB13" s="1569">
        <f t="shared" si="4"/>
        <v>1</v>
      </c>
      <c r="AC13" s="1569">
        <f t="shared" si="5"/>
        <v>1</v>
      </c>
    </row>
    <row r="14" spans="1:29" ht="15.75" hidden="1"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746"/>
      <c r="Q14" s="1149">
        <f t="shared" si="6"/>
        <v>0</v>
      </c>
      <c r="R14" s="1566" t="s">
        <v>11</v>
      </c>
      <c r="S14" s="1567">
        <f t="shared" si="0"/>
        <v>100</v>
      </c>
      <c r="T14" s="1566" t="s">
        <v>11</v>
      </c>
      <c r="U14" s="1567">
        <f t="shared" si="1"/>
        <v>100</v>
      </c>
      <c r="V14" s="1566" t="s">
        <v>11</v>
      </c>
      <c r="W14" s="1567">
        <f t="shared" si="2"/>
        <v>100</v>
      </c>
      <c r="X14" s="1568"/>
      <c r="Y14" s="3703"/>
      <c r="Z14" s="1148">
        <f t="shared" si="7"/>
        <v>0</v>
      </c>
      <c r="AA14" s="1569">
        <f t="shared" si="3"/>
        <v>1</v>
      </c>
      <c r="AB14" s="1569">
        <f t="shared" si="4"/>
        <v>1</v>
      </c>
      <c r="AC14" s="1569">
        <f t="shared" si="5"/>
        <v>1</v>
      </c>
    </row>
    <row r="15" spans="1:29" ht="15">
      <c r="A15" s="2934" t="s">
        <v>2760</v>
      </c>
      <c r="B15" s="165" t="s">
        <v>295</v>
      </c>
      <c r="C15" s="866">
        <f>估价对象房地状况!C3</f>
        <v>0</v>
      </c>
      <c r="D15" s="548">
        <v>100</v>
      </c>
      <c r="E15" s="549"/>
      <c r="F15" s="550">
        <f>SUMIF(76:76,E16,77:77)-SUMIF(76:76,C16,77:77)+100</f>
        <v>100</v>
      </c>
      <c r="G15" s="551"/>
      <c r="H15" s="548">
        <f>SUMIF(76:76,G16,77:77)-SUMIF(76:76,C16,77:77)+100</f>
        <v>103</v>
      </c>
      <c r="I15" s="549"/>
      <c r="J15" s="548">
        <f>SUMIF(76:76,I16,77:77)-SUMIF(76:76,C16,77:77)+100</f>
        <v>100</v>
      </c>
      <c r="K15" s="867">
        <v>3</v>
      </c>
      <c r="L15" s="2141"/>
      <c r="M15" s="2133"/>
      <c r="N15" s="2133"/>
      <c r="O15" s="2140"/>
      <c r="P15" s="3748" t="s">
        <v>541</v>
      </c>
      <c r="Q15" s="1570" t="str">
        <f t="shared" si="6"/>
        <v>居住社区成熟度</v>
      </c>
      <c r="R15" s="1571" t="s">
        <v>11</v>
      </c>
      <c r="S15" s="1572">
        <f t="shared" si="0"/>
        <v>100</v>
      </c>
      <c r="T15" s="1571" t="s">
        <v>11</v>
      </c>
      <c r="U15" s="1572">
        <f t="shared" si="1"/>
        <v>103</v>
      </c>
      <c r="V15" s="1571" t="s">
        <v>11</v>
      </c>
      <c r="W15" s="1572">
        <f t="shared" si="2"/>
        <v>100</v>
      </c>
      <c r="X15" s="1565"/>
      <c r="Y15" s="3748" t="s">
        <v>541</v>
      </c>
      <c r="Z15" s="1573" t="str">
        <f t="shared" si="7"/>
        <v>居住社区成熟度</v>
      </c>
      <c r="AA15" s="1574">
        <f t="shared" si="3"/>
        <v>1</v>
      </c>
      <c r="AB15" s="1574">
        <f t="shared" si="4"/>
        <v>0.970873786407767</v>
      </c>
      <c r="AC15" s="1574">
        <f t="shared" si="5"/>
        <v>1</v>
      </c>
    </row>
    <row r="16" spans="1:29" ht="15">
      <c r="A16" s="531"/>
      <c r="B16" s="868"/>
      <c r="C16" s="575" t="s">
        <v>3261</v>
      </c>
      <c r="D16" s="554"/>
      <c r="E16" s="555" t="s">
        <v>3261</v>
      </c>
      <c r="F16" s="556"/>
      <c r="G16" s="557" t="s">
        <v>3262</v>
      </c>
      <c r="H16" s="558"/>
      <c r="I16" s="555" t="s">
        <v>3261</v>
      </c>
      <c r="J16" s="554"/>
      <c r="K16" s="869"/>
      <c r="L16" s="2141"/>
      <c r="M16" s="2133"/>
      <c r="N16" s="2133"/>
      <c r="O16" s="2140"/>
      <c r="P16" s="3749"/>
      <c r="Q16" s="1570"/>
      <c r="R16" s="1571"/>
      <c r="S16" s="1572"/>
      <c r="T16" s="1571"/>
      <c r="U16" s="1572"/>
      <c r="V16" s="1571"/>
      <c r="W16" s="1572"/>
      <c r="X16" s="1565"/>
      <c r="Y16" s="3749"/>
      <c r="Z16" s="1573"/>
      <c r="AA16" s="1574">
        <v>1</v>
      </c>
      <c r="AB16" s="1574">
        <v>1</v>
      </c>
      <c r="AC16" s="1574">
        <v>1</v>
      </c>
    </row>
    <row r="17" spans="1:29" ht="15">
      <c r="A17" s="531"/>
      <c r="B17" s="870" t="s">
        <v>296</v>
      </c>
      <c r="C17" s="871">
        <f>估价对象房地状况!C6</f>
        <v>0</v>
      </c>
      <c r="D17" s="558">
        <v>100</v>
      </c>
      <c r="E17" s="561"/>
      <c r="F17" s="562">
        <f>SUMIF(78:78,E18,79:79)-SUMIF(78:78,C18,79:79)+100</f>
        <v>100</v>
      </c>
      <c r="G17" s="563"/>
      <c r="H17" s="564">
        <f>SUMIF(78:78,G18,79:79)-SUMIF(78:78,C18,79:79)+100</f>
        <v>103</v>
      </c>
      <c r="I17" s="561"/>
      <c r="J17" s="564">
        <f>SUMIF(78:78,I18,79:79)-SUMIF(78:78,C18,79:79)+100</f>
        <v>100</v>
      </c>
      <c r="K17" s="867">
        <v>3</v>
      </c>
      <c r="L17" s="2141"/>
      <c r="M17" s="2133"/>
      <c r="N17" s="2133"/>
      <c r="O17" s="2140"/>
      <c r="P17" s="3749"/>
      <c r="Q17" s="1570" t="str">
        <f>B17</f>
        <v>交通便捷度</v>
      </c>
      <c r="R17" s="1571" t="s">
        <v>11</v>
      </c>
      <c r="S17" s="1572">
        <f>F17</f>
        <v>100</v>
      </c>
      <c r="T17" s="1571" t="s">
        <v>11</v>
      </c>
      <c r="U17" s="1572">
        <f>H17</f>
        <v>103</v>
      </c>
      <c r="V17" s="1571" t="s">
        <v>11</v>
      </c>
      <c r="W17" s="1572">
        <f>J17</f>
        <v>100</v>
      </c>
      <c r="X17" s="1565"/>
      <c r="Y17" s="3749"/>
      <c r="Z17" s="1573" t="str">
        <f>Q17</f>
        <v>交通便捷度</v>
      </c>
      <c r="AA17" s="1574">
        <f t="shared" si="3"/>
        <v>1</v>
      </c>
      <c r="AB17" s="1574">
        <f t="shared" si="4"/>
        <v>0.970873786407767</v>
      </c>
      <c r="AC17" s="1574">
        <f t="shared" si="5"/>
        <v>1</v>
      </c>
    </row>
    <row r="18" spans="1:29" ht="15">
      <c r="A18" s="531"/>
      <c r="B18" s="594"/>
      <c r="C18" s="872" t="s">
        <v>3261</v>
      </c>
      <c r="D18" s="558"/>
      <c r="E18" s="872" t="s">
        <v>3261</v>
      </c>
      <c r="F18" s="562"/>
      <c r="G18" s="557" t="s">
        <v>3262</v>
      </c>
      <c r="H18" s="554"/>
      <c r="I18" s="555" t="s">
        <v>3261</v>
      </c>
      <c r="J18" s="554"/>
      <c r="K18" s="869"/>
      <c r="L18" s="2141"/>
      <c r="M18" s="2133"/>
      <c r="N18" s="2133"/>
      <c r="O18" s="2140"/>
      <c r="P18" s="3749"/>
      <c r="Q18" s="1570"/>
      <c r="R18" s="1571"/>
      <c r="S18" s="1572"/>
      <c r="T18" s="1571"/>
      <c r="U18" s="1572"/>
      <c r="V18" s="1571"/>
      <c r="W18" s="1572"/>
      <c r="X18" s="1565"/>
      <c r="Y18" s="3749"/>
      <c r="Z18" s="1573"/>
      <c r="AA18" s="1574">
        <v>1</v>
      </c>
      <c r="AB18" s="1574">
        <v>1</v>
      </c>
      <c r="AC18" s="1574">
        <v>1</v>
      </c>
    </row>
    <row r="19" spans="1:29" ht="15">
      <c r="A19" s="531"/>
      <c r="B19" s="2623" t="s">
        <v>2552</v>
      </c>
      <c r="C19" s="871">
        <f>估价对象房地状况!C7</f>
        <v>0</v>
      </c>
      <c r="D19" s="564">
        <v>100</v>
      </c>
      <c r="E19" s="569"/>
      <c r="F19" s="570">
        <f>SUMIF(80:80,E20,81:81)-SUMIF(80:80,C20,81:81)+100</f>
        <v>103</v>
      </c>
      <c r="G19" s="571"/>
      <c r="H19" s="558">
        <f>SUMIF(80:80,G20,81:81)-SUMIF(80:80,C20,81:81)+100</f>
        <v>103</v>
      </c>
      <c r="I19" s="569"/>
      <c r="J19" s="558">
        <f>SUMIF(80:80,I20,81:81)-SUMIF(80:80,C20,81:81)+100</f>
        <v>103</v>
      </c>
      <c r="K19" s="867">
        <v>3</v>
      </c>
      <c r="L19" s="2141"/>
      <c r="M19" s="2133"/>
      <c r="N19" s="2133"/>
      <c r="O19" s="2140"/>
      <c r="P19" s="3749"/>
      <c r="Q19" s="1570" t="str">
        <f>B19</f>
        <v>公共配套设施</v>
      </c>
      <c r="R19" s="1571" t="s">
        <v>11</v>
      </c>
      <c r="S19" s="1572">
        <f>F19</f>
        <v>103</v>
      </c>
      <c r="T19" s="1571" t="s">
        <v>11</v>
      </c>
      <c r="U19" s="1572">
        <f>H19</f>
        <v>103</v>
      </c>
      <c r="V19" s="1571" t="s">
        <v>11</v>
      </c>
      <c r="W19" s="1572">
        <f>J19</f>
        <v>103</v>
      </c>
      <c r="X19" s="1565"/>
      <c r="Y19" s="3749"/>
      <c r="Z19" s="1573" t="str">
        <f>Q19</f>
        <v>公共配套设施</v>
      </c>
      <c r="AA19" s="1574">
        <f t="shared" si="3"/>
        <v>0.970873786407767</v>
      </c>
      <c r="AB19" s="1574">
        <f t="shared" si="4"/>
        <v>0.970873786407767</v>
      </c>
      <c r="AC19" s="1574">
        <f t="shared" si="5"/>
        <v>0.970873786407767</v>
      </c>
    </row>
    <row r="20" spans="1:29" ht="15">
      <c r="A20" s="531"/>
      <c r="B20" s="594"/>
      <c r="C20" s="575" t="s">
        <v>3261</v>
      </c>
      <c r="D20" s="554"/>
      <c r="E20" s="557" t="s">
        <v>3262</v>
      </c>
      <c r="F20" s="556"/>
      <c r="G20" s="557" t="s">
        <v>3262</v>
      </c>
      <c r="H20" s="554"/>
      <c r="I20" s="557" t="s">
        <v>3262</v>
      </c>
      <c r="J20" s="554"/>
      <c r="K20" s="869"/>
      <c r="L20" s="2141"/>
      <c r="M20" s="2133"/>
      <c r="N20" s="2133"/>
      <c r="O20" s="2140"/>
      <c r="P20" s="3749"/>
      <c r="Q20" s="1570"/>
      <c r="R20" s="1571"/>
      <c r="S20" s="1572"/>
      <c r="T20" s="1571"/>
      <c r="U20" s="1572"/>
      <c r="V20" s="1571"/>
      <c r="W20" s="1572"/>
      <c r="X20" s="1565"/>
      <c r="Y20" s="3749"/>
      <c r="Z20" s="1573"/>
      <c r="AA20" s="1574">
        <v>1</v>
      </c>
      <c r="AB20" s="1574">
        <v>1</v>
      </c>
      <c r="AC20" s="1574">
        <v>1</v>
      </c>
    </row>
    <row r="21" spans="1:29" ht="15">
      <c r="A21" s="531"/>
      <c r="B21" s="2616" t="s">
        <v>2564</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749"/>
      <c r="Q21" s="2602" t="str">
        <f>B21</f>
        <v>基础设施水平</v>
      </c>
      <c r="R21" s="1571" t="s">
        <v>11</v>
      </c>
      <c r="S21" s="1572">
        <f>F21</f>
        <v>100</v>
      </c>
      <c r="T21" s="1571" t="s">
        <v>11</v>
      </c>
      <c r="U21" s="1572">
        <f>H21</f>
        <v>100</v>
      </c>
      <c r="V21" s="1571" t="s">
        <v>11</v>
      </c>
      <c r="W21" s="1572">
        <f>J21</f>
        <v>100</v>
      </c>
      <c r="X21" s="2604"/>
      <c r="Y21" s="3749"/>
      <c r="Z21" s="2603" t="str">
        <f>Q21</f>
        <v>基础设施水平</v>
      </c>
      <c r="AA21" s="1574">
        <f t="shared" ref="AA21" si="8">D21/F21</f>
        <v>1</v>
      </c>
      <c r="AB21" s="1574">
        <f t="shared" ref="AB21" si="9">D21/H21</f>
        <v>1</v>
      </c>
      <c r="AC21" s="1574">
        <f t="shared" ref="AC21" si="10">D21/J21</f>
        <v>1</v>
      </c>
    </row>
    <row r="22" spans="1:29" ht="15">
      <c r="A22" s="531"/>
      <c r="B22" s="920"/>
      <c r="C22" s="872" t="s">
        <v>3291</v>
      </c>
      <c r="D22" s="554"/>
      <c r="E22" s="872" t="s">
        <v>3291</v>
      </c>
      <c r="F22" s="556"/>
      <c r="G22" s="872" t="s">
        <v>3291</v>
      </c>
      <c r="H22" s="554"/>
      <c r="I22" s="872" t="s">
        <v>3291</v>
      </c>
      <c r="J22" s="554"/>
      <c r="K22" s="2622"/>
      <c r="L22" s="2141"/>
      <c r="M22" s="2133"/>
      <c r="N22" s="2133"/>
      <c r="O22" s="2140"/>
      <c r="P22" s="3749"/>
      <c r="Q22" s="2602"/>
      <c r="R22" s="1571"/>
      <c r="S22" s="1572"/>
      <c r="T22" s="1571"/>
      <c r="U22" s="1572"/>
      <c r="V22" s="1571"/>
      <c r="W22" s="1572"/>
      <c r="X22" s="2604"/>
      <c r="Y22" s="3749"/>
      <c r="Z22" s="2603"/>
      <c r="AA22" s="1574">
        <v>1</v>
      </c>
      <c r="AB22" s="1574">
        <v>1</v>
      </c>
      <c r="AC22" s="1574">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v>3</v>
      </c>
      <c r="L23" s="2141"/>
      <c r="M23" s="2133"/>
      <c r="N23" s="2133"/>
      <c r="O23" s="2140"/>
      <c r="P23" s="3749"/>
      <c r="Q23" s="1570" t="str">
        <f>B23</f>
        <v>自然及人文环境</v>
      </c>
      <c r="R23" s="1571" t="s">
        <v>11</v>
      </c>
      <c r="S23" s="1572">
        <f>F23</f>
        <v>100</v>
      </c>
      <c r="T23" s="1571" t="s">
        <v>11</v>
      </c>
      <c r="U23" s="1572">
        <f>H23</f>
        <v>100</v>
      </c>
      <c r="V23" s="1571" t="s">
        <v>11</v>
      </c>
      <c r="W23" s="1572">
        <f>J23</f>
        <v>100</v>
      </c>
      <c r="X23" s="1565"/>
      <c r="Y23" s="3749"/>
      <c r="Z23" s="1573" t="str">
        <f>Q23</f>
        <v>自然及人文环境</v>
      </c>
      <c r="AA23" s="1574">
        <f t="shared" si="3"/>
        <v>1</v>
      </c>
      <c r="AB23" s="1574">
        <f t="shared" si="4"/>
        <v>1</v>
      </c>
      <c r="AC23" s="1574">
        <f t="shared" si="5"/>
        <v>1</v>
      </c>
    </row>
    <row r="24" spans="1:29" ht="15">
      <c r="A24" s="531"/>
      <c r="B24" s="594"/>
      <c r="C24" s="557" t="s">
        <v>3262</v>
      </c>
      <c r="D24" s="554"/>
      <c r="E24" s="557" t="s">
        <v>3262</v>
      </c>
      <c r="F24" s="556"/>
      <c r="G24" s="557" t="s">
        <v>3262</v>
      </c>
      <c r="H24" s="554"/>
      <c r="I24" s="557" t="s">
        <v>3262</v>
      </c>
      <c r="J24" s="554"/>
      <c r="K24" s="869"/>
      <c r="L24" s="2141"/>
      <c r="M24" s="2133"/>
      <c r="N24" s="2133"/>
      <c r="O24" s="2140"/>
      <c r="P24" s="3749"/>
      <c r="Q24" s="1570"/>
      <c r="R24" s="1571"/>
      <c r="S24" s="1572"/>
      <c r="T24" s="1571"/>
      <c r="U24" s="1572"/>
      <c r="V24" s="1571"/>
      <c r="W24" s="1572"/>
      <c r="X24" s="1565"/>
      <c r="Y24" s="3749"/>
      <c r="Z24" s="1573"/>
      <c r="AA24" s="1574">
        <v>1</v>
      </c>
      <c r="AB24" s="1574">
        <v>1</v>
      </c>
      <c r="AC24" s="1574">
        <v>1</v>
      </c>
    </row>
    <row r="25" spans="1:29" ht="15" hidden="1">
      <c r="A25" s="531"/>
      <c r="B25" s="1894" t="s">
        <v>2260</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49"/>
      <c r="Q25" s="1570" t="str">
        <f t="shared" ref="Q25:Q46" si="11">B25</f>
        <v>楼层-1</v>
      </c>
      <c r="R25" s="1571" t="s">
        <v>11</v>
      </c>
      <c r="S25" s="1572">
        <f>F25</f>
        <v>100</v>
      </c>
      <c r="T25" s="1571" t="s">
        <v>11</v>
      </c>
      <c r="U25" s="1572">
        <f>H25</f>
        <v>100</v>
      </c>
      <c r="V25" s="1571" t="s">
        <v>11</v>
      </c>
      <c r="W25" s="1572">
        <f>J25</f>
        <v>100</v>
      </c>
      <c r="X25" s="1565"/>
      <c r="Y25" s="3749"/>
      <c r="Z25" s="1573" t="str">
        <f>Q25</f>
        <v>楼层-1</v>
      </c>
      <c r="AA25" s="1574">
        <f t="shared" si="3"/>
        <v>1</v>
      </c>
      <c r="AB25" s="1574">
        <f t="shared" si="4"/>
        <v>1</v>
      </c>
      <c r="AC25" s="1574">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49"/>
      <c r="Q26" s="1570" t="str">
        <f t="shared" si="11"/>
        <v>朝向</v>
      </c>
      <c r="R26" s="1571" t="s">
        <v>11</v>
      </c>
      <c r="S26" s="1572">
        <f>F26</f>
        <v>100</v>
      </c>
      <c r="T26" s="1571" t="s">
        <v>11</v>
      </c>
      <c r="U26" s="1572">
        <f>H26</f>
        <v>100</v>
      </c>
      <c r="V26" s="1571" t="s">
        <v>11</v>
      </c>
      <c r="W26" s="1572">
        <f>J26</f>
        <v>100</v>
      </c>
      <c r="X26" s="1565"/>
      <c r="Y26" s="3749"/>
      <c r="Z26" s="1573" t="str">
        <f>Q26</f>
        <v>朝向</v>
      </c>
      <c r="AA26" s="1574">
        <f t="shared" si="3"/>
        <v>1</v>
      </c>
      <c r="AB26" s="1574">
        <f t="shared" si="4"/>
        <v>1</v>
      </c>
      <c r="AC26" s="1574">
        <f t="shared" si="5"/>
        <v>1</v>
      </c>
    </row>
    <row r="27" spans="1:29" s="1218" customFormat="1" ht="15.75" thickBot="1">
      <c r="A27" s="535"/>
      <c r="B27" s="536" t="s">
        <v>725</v>
      </c>
      <c r="C27" s="3552" t="s">
        <v>3358</v>
      </c>
      <c r="D27" s="874">
        <v>100</v>
      </c>
      <c r="E27" s="3552" t="s">
        <v>3358</v>
      </c>
      <c r="F27" s="875">
        <f>SUMIF(90:90,E27,91:91)-SUMIF(90:90,C27,91:91)+100</f>
        <v>100</v>
      </c>
      <c r="G27" s="3552" t="s">
        <v>3358</v>
      </c>
      <c r="H27" s="874">
        <f>SUMIF(90:90,G27,91:91)-SUMIF(90:90,C27,91:91)+100</f>
        <v>100</v>
      </c>
      <c r="I27" s="3552" t="s">
        <v>3358</v>
      </c>
      <c r="J27" s="874">
        <f>SUMIF(90:90,I27,91:91)-SUMIF(90:90,C27,91:91)+100</f>
        <v>100</v>
      </c>
      <c r="K27" s="864"/>
      <c r="L27" s="2134"/>
      <c r="M27" s="2135"/>
      <c r="N27" s="2135"/>
      <c r="O27" s="2136"/>
      <c r="P27" s="3749"/>
      <c r="Q27" s="1149" t="str">
        <f t="shared" si="11"/>
        <v>道路级别</v>
      </c>
      <c r="R27" s="1566" t="s">
        <v>11</v>
      </c>
      <c r="S27" s="1567">
        <f>F27</f>
        <v>100</v>
      </c>
      <c r="T27" s="1566" t="s">
        <v>11</v>
      </c>
      <c r="U27" s="1567">
        <f>H27</f>
        <v>100</v>
      </c>
      <c r="V27" s="1566" t="s">
        <v>11</v>
      </c>
      <c r="W27" s="1567">
        <f>J27</f>
        <v>100</v>
      </c>
      <c r="X27" s="1568"/>
      <c r="Y27" s="3749"/>
      <c r="Z27" s="1148" t="str">
        <f>Q27</f>
        <v>道路级别</v>
      </c>
      <c r="AA27" s="1574">
        <f>D27/F27</f>
        <v>1</v>
      </c>
      <c r="AB27" s="1574">
        <f>D27/H27</f>
        <v>1</v>
      </c>
      <c r="AC27" s="1574">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49"/>
      <c r="Q28" s="1570">
        <f t="shared" si="11"/>
        <v>0</v>
      </c>
      <c r="R28" s="1571" t="s">
        <v>11</v>
      </c>
      <c r="S28" s="1572">
        <f t="shared" ref="S28:S46" si="12">F28</f>
        <v>100</v>
      </c>
      <c r="T28" s="1571" t="s">
        <v>11</v>
      </c>
      <c r="U28" s="1572">
        <f t="shared" ref="U28:U46" si="13">H28</f>
        <v>100</v>
      </c>
      <c r="V28" s="1571" t="s">
        <v>11</v>
      </c>
      <c r="W28" s="1572">
        <f t="shared" ref="W28:W46" si="14">J28</f>
        <v>100</v>
      </c>
      <c r="X28" s="1565"/>
      <c r="Y28" s="3749"/>
      <c r="Z28" s="1573">
        <f t="shared" ref="Z28:Z46" si="15">Q28</f>
        <v>0</v>
      </c>
      <c r="AA28" s="1574">
        <f t="shared" si="3"/>
        <v>1</v>
      </c>
      <c r="AB28" s="1574">
        <f t="shared" si="4"/>
        <v>1</v>
      </c>
      <c r="AC28" s="1574">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49"/>
      <c r="Q29" s="1570">
        <f t="shared" si="11"/>
        <v>0</v>
      </c>
      <c r="R29" s="1571" t="s">
        <v>11</v>
      </c>
      <c r="S29" s="1572">
        <f t="shared" si="12"/>
        <v>100</v>
      </c>
      <c r="T29" s="1571" t="s">
        <v>11</v>
      </c>
      <c r="U29" s="1572">
        <f t="shared" si="13"/>
        <v>100</v>
      </c>
      <c r="V29" s="1571" t="s">
        <v>11</v>
      </c>
      <c r="W29" s="1572">
        <f t="shared" si="14"/>
        <v>100</v>
      </c>
      <c r="X29" s="1565"/>
      <c r="Y29" s="3749"/>
      <c r="Z29" s="1573">
        <f t="shared" si="15"/>
        <v>0</v>
      </c>
      <c r="AA29" s="1574">
        <f t="shared" si="3"/>
        <v>1</v>
      </c>
      <c r="AB29" s="1574">
        <f t="shared" si="4"/>
        <v>1</v>
      </c>
      <c r="AC29" s="1574">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49"/>
      <c r="Q30" s="1570">
        <f t="shared" si="11"/>
        <v>0</v>
      </c>
      <c r="R30" s="1571" t="s">
        <v>11</v>
      </c>
      <c r="S30" s="1572">
        <f t="shared" si="12"/>
        <v>100</v>
      </c>
      <c r="T30" s="1571" t="s">
        <v>11</v>
      </c>
      <c r="U30" s="1572">
        <f t="shared" si="13"/>
        <v>100</v>
      </c>
      <c r="V30" s="1571" t="s">
        <v>11</v>
      </c>
      <c r="W30" s="1572">
        <f t="shared" si="14"/>
        <v>100</v>
      </c>
      <c r="X30" s="1565"/>
      <c r="Y30" s="3749"/>
      <c r="Z30" s="1573">
        <f t="shared" si="15"/>
        <v>0</v>
      </c>
      <c r="AA30" s="1574">
        <f t="shared" si="3"/>
        <v>1</v>
      </c>
      <c r="AB30" s="1574">
        <f t="shared" si="4"/>
        <v>1</v>
      </c>
      <c r="AC30" s="1574">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49"/>
      <c r="Q31" s="1570">
        <f t="shared" si="11"/>
        <v>0</v>
      </c>
      <c r="R31" s="1571" t="s">
        <v>11</v>
      </c>
      <c r="S31" s="1572">
        <f t="shared" si="12"/>
        <v>100</v>
      </c>
      <c r="T31" s="1571" t="s">
        <v>11</v>
      </c>
      <c r="U31" s="1572">
        <f t="shared" si="13"/>
        <v>100</v>
      </c>
      <c r="V31" s="1571" t="s">
        <v>11</v>
      </c>
      <c r="W31" s="1572">
        <f t="shared" si="14"/>
        <v>100</v>
      </c>
      <c r="X31" s="1565"/>
      <c r="Y31" s="3749"/>
      <c r="Z31" s="1573">
        <f t="shared" si="15"/>
        <v>0</v>
      </c>
      <c r="AA31" s="1574">
        <f t="shared" si="3"/>
        <v>1</v>
      </c>
      <c r="AB31" s="1574">
        <f t="shared" si="4"/>
        <v>1</v>
      </c>
      <c r="AC31" s="1574">
        <f t="shared" si="5"/>
        <v>1</v>
      </c>
    </row>
    <row r="32" spans="1:29" ht="15">
      <c r="A32" s="2931" t="s">
        <v>2761</v>
      </c>
      <c r="B32" s="171" t="s">
        <v>726</v>
      </c>
      <c r="C32" s="877" t="s">
        <v>3314</v>
      </c>
      <c r="D32" s="596">
        <v>100</v>
      </c>
      <c r="E32" s="877" t="s">
        <v>3314</v>
      </c>
      <c r="F32" s="574">
        <f>SUMIF(100:100,E32,101:101)-SUMIF(100:100,C32,101:101)+100</f>
        <v>100</v>
      </c>
      <c r="G32" s="877" t="s">
        <v>3314</v>
      </c>
      <c r="H32" s="596">
        <f>SUMIF(100:100,G32,101:101)-SUMIF(100:100,C32,101:101)+100</f>
        <v>100</v>
      </c>
      <c r="I32" s="877" t="s">
        <v>3314</v>
      </c>
      <c r="J32" s="539">
        <f>SUMIF(100:100,I32,101:101)-SUMIF(100:100,C32,101:101)+100</f>
        <v>100</v>
      </c>
      <c r="K32" s="863">
        <v>10</v>
      </c>
      <c r="L32" s="2141"/>
      <c r="M32" s="2133"/>
      <c r="N32" s="2133"/>
      <c r="O32" s="2140"/>
      <c r="P32" s="3750" t="s">
        <v>551</v>
      </c>
      <c r="Q32" s="1570" t="str">
        <f t="shared" si="11"/>
        <v>建筑类型</v>
      </c>
      <c r="R32" s="1571" t="s">
        <v>11</v>
      </c>
      <c r="S32" s="1572">
        <f t="shared" si="12"/>
        <v>100</v>
      </c>
      <c r="T32" s="1571" t="s">
        <v>11</v>
      </c>
      <c r="U32" s="1572">
        <f t="shared" si="13"/>
        <v>100</v>
      </c>
      <c r="V32" s="1571" t="s">
        <v>11</v>
      </c>
      <c r="W32" s="1572">
        <f t="shared" si="14"/>
        <v>100</v>
      </c>
      <c r="X32" s="1565"/>
      <c r="Y32" s="3751" t="s">
        <v>551</v>
      </c>
      <c r="Z32" s="1573" t="str">
        <f t="shared" si="15"/>
        <v>建筑类型</v>
      </c>
      <c r="AA32" s="1574">
        <f t="shared" si="3"/>
        <v>1</v>
      </c>
      <c r="AB32" s="1574">
        <f t="shared" si="4"/>
        <v>1</v>
      </c>
      <c r="AC32" s="1574">
        <f t="shared" si="5"/>
        <v>1</v>
      </c>
    </row>
    <row r="33" spans="1:29" s="1337" customFormat="1" ht="15">
      <c r="A33" s="602"/>
      <c r="B33" s="526" t="s">
        <v>727</v>
      </c>
      <c r="C33" s="878">
        <f>'[2]数据-基础表'!B3</f>
        <v>143650</v>
      </c>
      <c r="D33" s="254">
        <v>100</v>
      </c>
      <c r="E33" s="533">
        <v>350000</v>
      </c>
      <c r="F33" s="862">
        <f>LOOKUP(E33,103:103,104:104)-LOOKUP(C33,103:103,104:104)+100</f>
        <v>102</v>
      </c>
      <c r="G33" s="532">
        <v>182365</v>
      </c>
      <c r="H33" s="254">
        <f>LOOKUP(G33,103:103,104:104)-LOOKUP(C33,103:103,104:104)+100</f>
        <v>100</v>
      </c>
      <c r="I33" s="533">
        <v>200000</v>
      </c>
      <c r="J33" s="254">
        <f>LOOKUP(I33,103:103,104:104)-LOOKUP(C33,103:103,104:104)+100</f>
        <v>101</v>
      </c>
      <c r="K33" s="864"/>
      <c r="L33" s="2139"/>
      <c r="M33" s="2170"/>
      <c r="N33" s="2170"/>
      <c r="O33" s="2142"/>
      <c r="P33" s="3751"/>
      <c r="Q33" s="1603" t="str">
        <f t="shared" si="11"/>
        <v>项目建筑规模</v>
      </c>
      <c r="R33" s="1575" t="s">
        <v>11</v>
      </c>
      <c r="S33" s="1576">
        <f t="shared" si="12"/>
        <v>102</v>
      </c>
      <c r="T33" s="1575" t="s">
        <v>11</v>
      </c>
      <c r="U33" s="1576">
        <f t="shared" si="13"/>
        <v>100</v>
      </c>
      <c r="V33" s="1575" t="s">
        <v>11</v>
      </c>
      <c r="W33" s="1576">
        <f t="shared" si="14"/>
        <v>101</v>
      </c>
      <c r="X33" s="1577"/>
      <c r="Y33" s="3751"/>
      <c r="Z33" s="1578" t="str">
        <f t="shared" si="15"/>
        <v>项目建筑规模</v>
      </c>
      <c r="AA33" s="1574">
        <f t="shared" si="3"/>
        <v>0.98039215686274506</v>
      </c>
      <c r="AB33" s="1574">
        <f t="shared" si="4"/>
        <v>1</v>
      </c>
      <c r="AC33" s="1574">
        <f t="shared" si="5"/>
        <v>0.99009900990099009</v>
      </c>
    </row>
    <row r="34" spans="1:29" ht="15">
      <c r="A34" s="593"/>
      <c r="B34" s="526" t="s">
        <v>728</v>
      </c>
      <c r="C34" s="879" t="s">
        <v>3315</v>
      </c>
      <c r="D34" s="539">
        <v>100</v>
      </c>
      <c r="E34" s="879" t="s">
        <v>3315</v>
      </c>
      <c r="F34" s="574">
        <f>SUMIF(105:105,E34,106:106)-SUMIF(105:105,C34,106:106)+100</f>
        <v>100</v>
      </c>
      <c r="G34" s="879" t="s">
        <v>3315</v>
      </c>
      <c r="H34" s="539">
        <f>SUMIF(105:105,G34,106:106)-SUMIF(105:105,C34,106:106)+100</f>
        <v>100</v>
      </c>
      <c r="I34" s="879" t="s">
        <v>3315</v>
      </c>
      <c r="J34" s="539">
        <f>SUMIF(105:105,I34,106:106)-SUMIF(105:105,C34,106:106)+100</f>
        <v>100</v>
      </c>
      <c r="K34" s="863">
        <v>2</v>
      </c>
      <c r="L34" s="2141"/>
      <c r="M34" s="2133"/>
      <c r="N34" s="2133"/>
      <c r="O34" s="2140"/>
      <c r="P34" s="3751"/>
      <c r="Q34" s="1570" t="str">
        <f t="shared" si="11"/>
        <v>建筑结构</v>
      </c>
      <c r="R34" s="1571" t="s">
        <v>11</v>
      </c>
      <c r="S34" s="1572">
        <f t="shared" si="12"/>
        <v>100</v>
      </c>
      <c r="T34" s="1571" t="s">
        <v>11</v>
      </c>
      <c r="U34" s="1572">
        <f t="shared" si="13"/>
        <v>100</v>
      </c>
      <c r="V34" s="1571" t="s">
        <v>11</v>
      </c>
      <c r="W34" s="1572">
        <f t="shared" si="14"/>
        <v>100</v>
      </c>
      <c r="X34" s="1565"/>
      <c r="Y34" s="3751"/>
      <c r="Z34" s="1573" t="str">
        <f t="shared" si="15"/>
        <v>建筑结构</v>
      </c>
      <c r="AA34" s="1574">
        <f t="shared" si="3"/>
        <v>1</v>
      </c>
      <c r="AB34" s="1574">
        <f t="shared" si="4"/>
        <v>1</v>
      </c>
      <c r="AC34" s="1574">
        <f t="shared" si="5"/>
        <v>1</v>
      </c>
    </row>
    <row r="35" spans="1:29" ht="15">
      <c r="A35" s="593"/>
      <c r="B35" s="526" t="s">
        <v>729</v>
      </c>
      <c r="C35" s="598" t="s">
        <v>3316</v>
      </c>
      <c r="D35" s="539">
        <v>100</v>
      </c>
      <c r="E35" s="598" t="s">
        <v>3316</v>
      </c>
      <c r="F35" s="574">
        <f>SUMIF(107:107,E35,108:108)-SUMIF(107:107,C35,108:108)+100</f>
        <v>100</v>
      </c>
      <c r="G35" s="598" t="s">
        <v>3316</v>
      </c>
      <c r="H35" s="539">
        <f>SUMIF(107:107,G35,108:108)-SUMIF(107:107,C35,108:108)+100</f>
        <v>100</v>
      </c>
      <c r="I35" s="598" t="s">
        <v>3316</v>
      </c>
      <c r="J35" s="539">
        <f>SUMIF(107:107,I35,108:108)-SUMIF(107:107,C35,108:108)+100</f>
        <v>100</v>
      </c>
      <c r="K35" s="863">
        <v>5</v>
      </c>
      <c r="L35" s="2141"/>
      <c r="M35" s="2133"/>
      <c r="N35" s="2133"/>
      <c r="O35" s="2140"/>
      <c r="P35" s="3751"/>
      <c r="Q35" s="1570" t="str">
        <f t="shared" si="11"/>
        <v>建筑品质</v>
      </c>
      <c r="R35" s="1571" t="s">
        <v>11</v>
      </c>
      <c r="S35" s="1572">
        <f t="shared" si="12"/>
        <v>100</v>
      </c>
      <c r="T35" s="1571" t="s">
        <v>11</v>
      </c>
      <c r="U35" s="1572">
        <f t="shared" si="13"/>
        <v>100</v>
      </c>
      <c r="V35" s="1571" t="s">
        <v>11</v>
      </c>
      <c r="W35" s="1572">
        <f t="shared" si="14"/>
        <v>100</v>
      </c>
      <c r="X35" s="1565"/>
      <c r="Y35" s="3751"/>
      <c r="Z35" s="1573" t="str">
        <f t="shared" si="15"/>
        <v>建筑品质</v>
      </c>
      <c r="AA35" s="1574">
        <f t="shared" si="3"/>
        <v>1</v>
      </c>
      <c r="AB35" s="1574">
        <f t="shared" si="4"/>
        <v>1</v>
      </c>
      <c r="AC35" s="1574">
        <f t="shared" si="5"/>
        <v>1</v>
      </c>
    </row>
    <row r="36" spans="1:29" ht="15">
      <c r="A36" s="593"/>
      <c r="B36" s="526" t="s">
        <v>730</v>
      </c>
      <c r="C36" s="598" t="s">
        <v>3317</v>
      </c>
      <c r="D36" s="539">
        <v>100</v>
      </c>
      <c r="E36" s="598" t="s">
        <v>3317</v>
      </c>
      <c r="F36" s="574">
        <f>SUMIF(109:109,E36,110:110)-SUMIF(109:109,C36,110:110)+100</f>
        <v>100</v>
      </c>
      <c r="G36" s="598" t="s">
        <v>3317</v>
      </c>
      <c r="H36" s="539">
        <f>SUMIF(109:109,G36,110:110)-SUMIF(109:109,C36,110:110)+100</f>
        <v>100</v>
      </c>
      <c r="I36" s="598" t="s">
        <v>3317</v>
      </c>
      <c r="J36" s="539">
        <f>SUMIF(109:109,I36,110:110)-SUMIF(109:109,C36,110:110)+100</f>
        <v>100</v>
      </c>
      <c r="K36" s="863">
        <v>2</v>
      </c>
      <c r="L36" s="2141"/>
      <c r="M36" s="2133"/>
      <c r="N36" s="2133"/>
      <c r="O36" s="2140"/>
      <c r="P36" s="3751"/>
      <c r="Q36" s="1570" t="str">
        <f t="shared" si="11"/>
        <v>公共部分装修</v>
      </c>
      <c r="R36" s="1571" t="s">
        <v>11</v>
      </c>
      <c r="S36" s="1572">
        <f t="shared" si="12"/>
        <v>100</v>
      </c>
      <c r="T36" s="1571" t="s">
        <v>11</v>
      </c>
      <c r="U36" s="1572">
        <f t="shared" si="13"/>
        <v>100</v>
      </c>
      <c r="V36" s="1571" t="s">
        <v>11</v>
      </c>
      <c r="W36" s="1572">
        <f t="shared" si="14"/>
        <v>100</v>
      </c>
      <c r="X36" s="1565"/>
      <c r="Y36" s="3751"/>
      <c r="Z36" s="1573" t="str">
        <f t="shared" si="15"/>
        <v>公共部分装修</v>
      </c>
      <c r="AA36" s="1574">
        <f t="shared" si="3"/>
        <v>1</v>
      </c>
      <c r="AB36" s="1574">
        <f t="shared" si="4"/>
        <v>1</v>
      </c>
      <c r="AC36" s="1574">
        <f t="shared" si="5"/>
        <v>1</v>
      </c>
    </row>
    <row r="37" spans="1:29" s="1218" customFormat="1" ht="15">
      <c r="A37" s="599"/>
      <c r="B37" s="526" t="s">
        <v>731</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751"/>
      <c r="Q37" s="1149" t="str">
        <f t="shared" si="11"/>
        <v>成新度</v>
      </c>
      <c r="R37" s="1566" t="s">
        <v>11</v>
      </c>
      <c r="S37" s="1567">
        <f t="shared" si="12"/>
        <v>100</v>
      </c>
      <c r="T37" s="1566" t="s">
        <v>11</v>
      </c>
      <c r="U37" s="1567">
        <f t="shared" si="13"/>
        <v>100</v>
      </c>
      <c r="V37" s="1566" t="s">
        <v>11</v>
      </c>
      <c r="W37" s="1567">
        <f t="shared" si="14"/>
        <v>100</v>
      </c>
      <c r="X37" s="1568"/>
      <c r="Y37" s="3751"/>
      <c r="Z37" s="1148" t="str">
        <f t="shared" si="15"/>
        <v>成新度</v>
      </c>
      <c r="AA37" s="1569">
        <f t="shared" si="3"/>
        <v>1</v>
      </c>
      <c r="AB37" s="1569">
        <f t="shared" si="4"/>
        <v>1</v>
      </c>
      <c r="AC37" s="1569">
        <f t="shared" si="5"/>
        <v>1</v>
      </c>
    </row>
    <row r="38" spans="1:29" ht="15">
      <c r="A38" s="593"/>
      <c r="B38" s="526" t="s">
        <v>732</v>
      </c>
      <c r="C38" s="598" t="s">
        <v>3318</v>
      </c>
      <c r="D38" s="539">
        <v>100</v>
      </c>
      <c r="E38" s="598" t="s">
        <v>3318</v>
      </c>
      <c r="F38" s="574">
        <f>SUMIF(114:114,E38,115:115)-SUMIF(114:114,C38,115:115)+100</f>
        <v>100</v>
      </c>
      <c r="G38" s="598" t="s">
        <v>3318</v>
      </c>
      <c r="H38" s="539">
        <f>SUMIF(114:114,G38,115:115)-SUMIF(114:114,C38,115:115)+100</f>
        <v>100</v>
      </c>
      <c r="I38" s="598" t="s">
        <v>3318</v>
      </c>
      <c r="J38" s="539">
        <f>SUMIF(114:114,I38,115:115)-SUMIF(114:114,C38,115:115)+100</f>
        <v>100</v>
      </c>
      <c r="K38" s="863">
        <v>3</v>
      </c>
      <c r="L38" s="2141"/>
      <c r="M38" s="2133"/>
      <c r="N38" s="2133"/>
      <c r="O38" s="2140"/>
      <c r="P38" s="3751" t="s">
        <v>551</v>
      </c>
      <c r="Q38" s="1570" t="str">
        <f t="shared" si="11"/>
        <v>物业管理</v>
      </c>
      <c r="R38" s="1571" t="s">
        <v>11</v>
      </c>
      <c r="S38" s="1572">
        <f t="shared" si="12"/>
        <v>100</v>
      </c>
      <c r="T38" s="1571" t="s">
        <v>11</v>
      </c>
      <c r="U38" s="1572">
        <f t="shared" si="13"/>
        <v>100</v>
      </c>
      <c r="V38" s="1571" t="s">
        <v>11</v>
      </c>
      <c r="W38" s="1572">
        <f t="shared" si="14"/>
        <v>100</v>
      </c>
      <c r="X38" s="1565"/>
      <c r="Y38" s="3751" t="s">
        <v>551</v>
      </c>
      <c r="Z38" s="1573" t="str">
        <f t="shared" si="15"/>
        <v>物业管理</v>
      </c>
      <c r="AA38" s="1574">
        <f t="shared" si="3"/>
        <v>1</v>
      </c>
      <c r="AB38" s="1574">
        <f t="shared" si="4"/>
        <v>1</v>
      </c>
      <c r="AC38" s="1574">
        <f t="shared" si="5"/>
        <v>1</v>
      </c>
    </row>
    <row r="39" spans="1:29" ht="15">
      <c r="A39" s="593"/>
      <c r="B39" s="1894" t="s">
        <v>2570</v>
      </c>
      <c r="C39" s="598" t="s">
        <v>3291</v>
      </c>
      <c r="D39" s="539">
        <v>100</v>
      </c>
      <c r="E39" s="598" t="s">
        <v>3291</v>
      </c>
      <c r="F39" s="574">
        <f>SUMIF(116:116,E39,117:117)-SUMIF(116:116,C39,117:117)+100</f>
        <v>100</v>
      </c>
      <c r="G39" s="598" t="s">
        <v>3291</v>
      </c>
      <c r="H39" s="539">
        <f>SUMIF(116:116,G39,117:117)-SUMIF(116:116,C39,117:117)+100</f>
        <v>100</v>
      </c>
      <c r="I39" s="598" t="s">
        <v>3291</v>
      </c>
      <c r="J39" s="539">
        <f>SUMIF(116:116,I39,117:117)-SUMIF(116:116,C39,117:117)+100</f>
        <v>100</v>
      </c>
      <c r="K39" s="863">
        <v>2</v>
      </c>
      <c r="L39" s="2141"/>
      <c r="M39" s="2133"/>
      <c r="N39" s="2133"/>
      <c r="O39" s="2140"/>
      <c r="P39" s="3751"/>
      <c r="Q39" s="1570" t="str">
        <f t="shared" si="11"/>
        <v>市政基础设施</v>
      </c>
      <c r="R39" s="1571" t="s">
        <v>11</v>
      </c>
      <c r="S39" s="1572">
        <f t="shared" si="12"/>
        <v>100</v>
      </c>
      <c r="T39" s="1571" t="s">
        <v>11</v>
      </c>
      <c r="U39" s="1572">
        <f t="shared" si="13"/>
        <v>100</v>
      </c>
      <c r="V39" s="1571" t="s">
        <v>11</v>
      </c>
      <c r="W39" s="1572">
        <f t="shared" si="14"/>
        <v>100</v>
      </c>
      <c r="X39" s="1565"/>
      <c r="Y39" s="3751"/>
      <c r="Z39" s="1573" t="str">
        <f t="shared" si="15"/>
        <v>市政基础设施</v>
      </c>
      <c r="AA39" s="1574">
        <f t="shared" si="3"/>
        <v>1</v>
      </c>
      <c r="AB39" s="1574">
        <f t="shared" si="4"/>
        <v>1</v>
      </c>
      <c r="AC39" s="1574">
        <f t="shared" si="5"/>
        <v>1</v>
      </c>
    </row>
    <row r="40" spans="1:29" ht="15">
      <c r="A40" s="593"/>
      <c r="B40" s="526" t="s">
        <v>733</v>
      </c>
      <c r="C40" s="598" t="s">
        <v>3319</v>
      </c>
      <c r="D40" s="539">
        <v>100</v>
      </c>
      <c r="E40" s="598" t="s">
        <v>3319</v>
      </c>
      <c r="F40" s="574">
        <f>SUMIF(118:118,E40,119:119)-SUMIF(118:118,C40,119:119)+100</f>
        <v>100</v>
      </c>
      <c r="G40" s="598" t="s">
        <v>3319</v>
      </c>
      <c r="H40" s="539">
        <f>SUMIF(118:118,G40,119:119)-SUMIF(118:118,C40,119:119)+100</f>
        <v>100</v>
      </c>
      <c r="I40" s="598" t="s">
        <v>3319</v>
      </c>
      <c r="J40" s="539">
        <f>SUMIF(118:118,I40,119:119)-SUMIF(118:118,C40,119:119)+100</f>
        <v>100</v>
      </c>
      <c r="K40" s="863">
        <v>5</v>
      </c>
      <c r="L40" s="2141"/>
      <c r="M40" s="2133"/>
      <c r="N40" s="2133"/>
      <c r="O40" s="2140"/>
      <c r="P40" s="3751"/>
      <c r="Q40" s="1570" t="str">
        <f t="shared" si="11"/>
        <v>房型</v>
      </c>
      <c r="R40" s="1571" t="s">
        <v>11</v>
      </c>
      <c r="S40" s="1572">
        <f t="shared" si="12"/>
        <v>100</v>
      </c>
      <c r="T40" s="1571" t="s">
        <v>11</v>
      </c>
      <c r="U40" s="1572">
        <f t="shared" si="13"/>
        <v>100</v>
      </c>
      <c r="V40" s="1571" t="s">
        <v>11</v>
      </c>
      <c r="W40" s="1572">
        <f t="shared" si="14"/>
        <v>100</v>
      </c>
      <c r="X40" s="1565"/>
      <c r="Y40" s="3751"/>
      <c r="Z40" s="1573" t="str">
        <f t="shared" si="15"/>
        <v>房型</v>
      </c>
      <c r="AA40" s="1574">
        <f t="shared" si="3"/>
        <v>1</v>
      </c>
      <c r="AB40" s="1574">
        <f t="shared" si="4"/>
        <v>1</v>
      </c>
      <c r="AC40" s="1574">
        <f t="shared" si="5"/>
        <v>1</v>
      </c>
    </row>
    <row r="41" spans="1:29" s="1337" customFormat="1" ht="28.5">
      <c r="A41" s="602"/>
      <c r="B41" s="526" t="s">
        <v>734</v>
      </c>
      <c r="C41" s="878">
        <v>77</v>
      </c>
      <c r="D41" s="254">
        <v>100</v>
      </c>
      <c r="E41" s="533">
        <v>77</v>
      </c>
      <c r="F41" s="862">
        <f>SUMIF(120:120,E41,121:121)-SUMIF(120:120,C41,121:121)+100</f>
        <v>100</v>
      </c>
      <c r="G41" s="532">
        <v>92</v>
      </c>
      <c r="H41" s="254">
        <f>SUMIF(120:120,G41,121:121)-SUMIF(120:120,C41,121:121)+100</f>
        <v>100</v>
      </c>
      <c r="I41" s="585">
        <v>90</v>
      </c>
      <c r="J41" s="539">
        <f>SUMIF(120:120,I41,121:121)-SUMIF(120:120,C41,121:121)+100</f>
        <v>100</v>
      </c>
      <c r="K41" s="864"/>
      <c r="L41" s="2139"/>
      <c r="M41" s="2170"/>
      <c r="N41" s="2170"/>
      <c r="O41" s="2142"/>
      <c r="P41" s="3751"/>
      <c r="Q41" s="1603" t="str">
        <f t="shared" si="11"/>
        <v>单套/主力户型建筑面积</v>
      </c>
      <c r="R41" s="1575" t="s">
        <v>11</v>
      </c>
      <c r="S41" s="1576">
        <f t="shared" si="12"/>
        <v>100</v>
      </c>
      <c r="T41" s="1575" t="s">
        <v>11</v>
      </c>
      <c r="U41" s="1576">
        <f t="shared" si="13"/>
        <v>100</v>
      </c>
      <c r="V41" s="1575" t="s">
        <v>11</v>
      </c>
      <c r="W41" s="1576">
        <f t="shared" si="14"/>
        <v>100</v>
      </c>
      <c r="X41" s="1577"/>
      <c r="Y41" s="3751"/>
      <c r="Z41" s="1578" t="str">
        <f t="shared" si="15"/>
        <v>单套/主力户型建筑面积</v>
      </c>
      <c r="AA41" s="1574">
        <f t="shared" si="3"/>
        <v>1</v>
      </c>
      <c r="AB41" s="1574">
        <f t="shared" si="4"/>
        <v>1</v>
      </c>
      <c r="AC41" s="1574">
        <f t="shared" si="5"/>
        <v>1</v>
      </c>
    </row>
    <row r="42" spans="1:29" ht="15">
      <c r="A42" s="593"/>
      <c r="B42" s="526" t="s">
        <v>735</v>
      </c>
      <c r="C42" s="598" t="s">
        <v>3320</v>
      </c>
      <c r="D42" s="539">
        <v>100</v>
      </c>
      <c r="E42" s="598" t="s">
        <v>3320</v>
      </c>
      <c r="F42" s="574">
        <f>SUMIF(122:122,E42,123:123)-SUMIF(122:122,C42,123:123)+100</f>
        <v>100</v>
      </c>
      <c r="G42" s="598" t="s">
        <v>3320</v>
      </c>
      <c r="H42" s="539">
        <f>SUMIF(122:122,G42,123:123)-SUMIF(122:122,C42,123:123)+100</f>
        <v>100</v>
      </c>
      <c r="I42" s="598" t="s">
        <v>3320</v>
      </c>
      <c r="J42" s="539">
        <f>SUMIF(122:122,I42,123:123)-SUMIF(122:122,C42,123:123)+100</f>
        <v>100</v>
      </c>
      <c r="K42" s="863">
        <v>2</v>
      </c>
      <c r="L42" s="2141"/>
      <c r="M42" s="2133"/>
      <c r="N42" s="2133"/>
      <c r="O42" s="2140"/>
      <c r="P42" s="3751"/>
      <c r="Q42" s="1570" t="str">
        <f t="shared" si="11"/>
        <v>内部装修</v>
      </c>
      <c r="R42" s="1571" t="s">
        <v>11</v>
      </c>
      <c r="S42" s="1572">
        <f t="shared" si="12"/>
        <v>100</v>
      </c>
      <c r="T42" s="1571" t="s">
        <v>11</v>
      </c>
      <c r="U42" s="1572">
        <f t="shared" si="13"/>
        <v>100</v>
      </c>
      <c r="V42" s="1571" t="s">
        <v>11</v>
      </c>
      <c r="W42" s="1572">
        <f t="shared" si="14"/>
        <v>100</v>
      </c>
      <c r="X42" s="1565"/>
      <c r="Y42" s="3751"/>
      <c r="Z42" s="1573" t="str">
        <f t="shared" si="15"/>
        <v>内部装修</v>
      </c>
      <c r="AA42" s="1574">
        <f t="shared" si="3"/>
        <v>1</v>
      </c>
      <c r="AB42" s="1574">
        <f t="shared" si="4"/>
        <v>1</v>
      </c>
      <c r="AC42" s="1574">
        <f t="shared" si="5"/>
        <v>1</v>
      </c>
    </row>
    <row r="43" spans="1:29" ht="27">
      <c r="A43" s="593"/>
      <c r="B43" s="526" t="s">
        <v>736</v>
      </c>
      <c r="C43" s="598" t="s">
        <v>3262</v>
      </c>
      <c r="D43" s="539">
        <v>100</v>
      </c>
      <c r="E43" s="873" t="s">
        <v>3262</v>
      </c>
      <c r="F43" s="574">
        <f>SUMIF(124:124,E43,125:125)-SUMIF(124:124,C43,125:125)+100</f>
        <v>100</v>
      </c>
      <c r="G43" s="873" t="s">
        <v>3262</v>
      </c>
      <c r="H43" s="539">
        <f>SUMIF(124:124,G43,125:125)-SUMIF(124:124,C43,125:125)+100</f>
        <v>100</v>
      </c>
      <c r="I43" s="873" t="s">
        <v>3262</v>
      </c>
      <c r="J43" s="539">
        <f>SUMIF(124:124,I43,125:125)-SUMIF(124:124,C43,125:125)+100</f>
        <v>100</v>
      </c>
      <c r="K43" s="863">
        <v>0</v>
      </c>
      <c r="L43" s="2141"/>
      <c r="M43" s="2133"/>
      <c r="N43" s="2133"/>
      <c r="O43" s="2140"/>
      <c r="P43" s="3751"/>
      <c r="Q43" s="1570" t="str">
        <f t="shared" si="11"/>
        <v>内部装修维护情况</v>
      </c>
      <c r="R43" s="1571" t="s">
        <v>11</v>
      </c>
      <c r="S43" s="1572">
        <f t="shared" si="12"/>
        <v>100</v>
      </c>
      <c r="T43" s="1571" t="s">
        <v>11</v>
      </c>
      <c r="U43" s="1572">
        <f t="shared" si="13"/>
        <v>100</v>
      </c>
      <c r="V43" s="1571" t="s">
        <v>11</v>
      </c>
      <c r="W43" s="1572">
        <f t="shared" si="14"/>
        <v>100</v>
      </c>
      <c r="X43" s="1565"/>
      <c r="Y43" s="3751"/>
      <c r="Z43" s="1573" t="str">
        <f t="shared" si="15"/>
        <v>内部装修维护情况</v>
      </c>
      <c r="AA43" s="1574">
        <f t="shared" si="3"/>
        <v>1</v>
      </c>
      <c r="AB43" s="1574">
        <f t="shared" si="4"/>
        <v>1</v>
      </c>
      <c r="AC43" s="1574">
        <f t="shared" si="5"/>
        <v>1</v>
      </c>
    </row>
    <row r="44" spans="1:29" s="1218" customFormat="1" ht="15">
      <c r="A44" s="599"/>
      <c r="B44" s="3550" t="s">
        <v>3355</v>
      </c>
      <c r="C44" s="3553" t="s">
        <v>3321</v>
      </c>
      <c r="D44" s="254">
        <v>100</v>
      </c>
      <c r="E44" s="3553" t="s">
        <v>3322</v>
      </c>
      <c r="F44" s="862">
        <f>SUMIF(126:126,E44,127:127)-SUMIF(126:126,C44,127:127)+100</f>
        <v>95</v>
      </c>
      <c r="G44" s="3553" t="s">
        <v>3321</v>
      </c>
      <c r="H44" s="254">
        <f>SUMIF(126:126,G44,127:127)-SUMIF(126:126,C44,127:127)+100</f>
        <v>100</v>
      </c>
      <c r="I44" s="3553" t="s">
        <v>3321</v>
      </c>
      <c r="J44" s="254">
        <f>SUMIF(126:126,I44,127:127)-SUMIF(126:126,C44,127:127)+100</f>
        <v>100</v>
      </c>
      <c r="K44" s="864"/>
      <c r="L44" s="2134"/>
      <c r="M44" s="2135"/>
      <c r="N44" s="2135"/>
      <c r="O44" s="2136"/>
      <c r="P44" s="3751"/>
      <c r="Q44" s="1149" t="str">
        <f t="shared" si="11"/>
        <v>销售尾盘</v>
      </c>
      <c r="R44" s="1566" t="s">
        <v>11</v>
      </c>
      <c r="S44" s="1567">
        <f t="shared" si="12"/>
        <v>95</v>
      </c>
      <c r="T44" s="1566" t="s">
        <v>11</v>
      </c>
      <c r="U44" s="1567">
        <f t="shared" si="13"/>
        <v>100</v>
      </c>
      <c r="V44" s="1566" t="s">
        <v>11</v>
      </c>
      <c r="W44" s="1567">
        <f t="shared" si="14"/>
        <v>100</v>
      </c>
      <c r="X44" s="1568"/>
      <c r="Y44" s="3751"/>
      <c r="Z44" s="1148" t="str">
        <f t="shared" si="15"/>
        <v>销售尾盘</v>
      </c>
      <c r="AA44" s="1569">
        <f t="shared" si="3"/>
        <v>1.0526315789473684</v>
      </c>
      <c r="AB44" s="1569">
        <f t="shared" si="4"/>
        <v>1</v>
      </c>
      <c r="AC44" s="1569">
        <f t="shared" si="5"/>
        <v>1</v>
      </c>
    </row>
    <row r="45" spans="1:29" ht="15.75" thickBot="1">
      <c r="A45" s="593"/>
      <c r="B45" s="3550" t="s">
        <v>3356</v>
      </c>
      <c r="C45" s="3554" t="s">
        <v>3323</v>
      </c>
      <c r="D45" s="539">
        <v>100</v>
      </c>
      <c r="E45" s="3553" t="s">
        <v>3321</v>
      </c>
      <c r="F45" s="574">
        <f>SUMIF(128:128,E45,129:129)-SUMIF(128:128,C45,129:129)+100</f>
        <v>80</v>
      </c>
      <c r="G45" s="3553" t="s">
        <v>3321</v>
      </c>
      <c r="H45" s="539">
        <f>SUMIF(128:128,G45,129:129)-SUMIF(128:128,C45,129:129)+100</f>
        <v>80</v>
      </c>
      <c r="I45" s="3553" t="s">
        <v>3321</v>
      </c>
      <c r="J45" s="539">
        <f>SUMIF(128:128,I45,129:129)-SUMIF(128:128,C45,129:129)+100</f>
        <v>80</v>
      </c>
      <c r="K45" s="864"/>
      <c r="L45" s="2141"/>
      <c r="M45" s="2133"/>
      <c r="N45" s="2133"/>
      <c r="O45" s="2140"/>
      <c r="P45" s="3751"/>
      <c r="Q45" s="1570" t="str">
        <f t="shared" si="11"/>
        <v>景观</v>
      </c>
      <c r="R45" s="1571" t="s">
        <v>11</v>
      </c>
      <c r="S45" s="1572">
        <f t="shared" si="12"/>
        <v>80</v>
      </c>
      <c r="T45" s="1571" t="s">
        <v>11</v>
      </c>
      <c r="U45" s="1572">
        <f t="shared" si="13"/>
        <v>80</v>
      </c>
      <c r="V45" s="1571" t="s">
        <v>11</v>
      </c>
      <c r="W45" s="1572">
        <f t="shared" si="14"/>
        <v>80</v>
      </c>
      <c r="X45" s="1565"/>
      <c r="Y45" s="3751"/>
      <c r="Z45" s="1573" t="str">
        <f t="shared" si="15"/>
        <v>景观</v>
      </c>
      <c r="AA45" s="1574">
        <f t="shared" si="3"/>
        <v>1.25</v>
      </c>
      <c r="AB45" s="1574">
        <f t="shared" si="4"/>
        <v>1.25</v>
      </c>
      <c r="AC45" s="1574">
        <f t="shared" si="5"/>
        <v>1.25</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850"/>
      <c r="Q46" s="1570">
        <f t="shared" si="11"/>
        <v>0</v>
      </c>
      <c r="R46" s="1571" t="s">
        <v>10</v>
      </c>
      <c r="S46" s="1572">
        <f t="shared" si="12"/>
        <v>100</v>
      </c>
      <c r="T46" s="1571" t="s">
        <v>10</v>
      </c>
      <c r="U46" s="1572">
        <f t="shared" si="13"/>
        <v>100</v>
      </c>
      <c r="V46" s="1571" t="s">
        <v>10</v>
      </c>
      <c r="W46" s="1572">
        <f t="shared" si="14"/>
        <v>100</v>
      </c>
      <c r="X46" s="1565"/>
      <c r="Y46" s="3850"/>
      <c r="Z46" s="1573">
        <f t="shared" si="15"/>
        <v>0</v>
      </c>
      <c r="AA46" s="1574">
        <f t="shared" si="3"/>
        <v>1</v>
      </c>
      <c r="AB46" s="1574">
        <f t="shared" si="4"/>
        <v>1</v>
      </c>
      <c r="AC46" s="1574">
        <f t="shared" si="5"/>
        <v>1</v>
      </c>
    </row>
    <row r="47" spans="1:29" ht="15">
      <c r="A47" s="606" t="s">
        <v>737</v>
      </c>
      <c r="B47" s="885"/>
      <c r="C47" s="2650" t="s">
        <v>9</v>
      </c>
      <c r="D47" s="2651"/>
      <c r="E47" s="2652">
        <v>9000</v>
      </c>
      <c r="F47" s="2653"/>
      <c r="G47" s="2654">
        <v>9000</v>
      </c>
      <c r="H47" s="2655"/>
      <c r="I47" s="2652">
        <v>8300</v>
      </c>
      <c r="J47" s="2655"/>
      <c r="K47" s="1604"/>
      <c r="L47" s="2143"/>
      <c r="M47" s="2144"/>
      <c r="N47" s="2133"/>
      <c r="O47" s="2144"/>
      <c r="P47" s="3746" t="str">
        <f>A47</f>
        <v>成交单价（元/平方米）</v>
      </c>
      <c r="Q47" s="3746"/>
      <c r="R47" s="3849">
        <f>E47</f>
        <v>9000</v>
      </c>
      <c r="S47" s="3849"/>
      <c r="T47" s="3849">
        <f>G47</f>
        <v>9000</v>
      </c>
      <c r="U47" s="3849"/>
      <c r="V47" s="3849">
        <f>I47</f>
        <v>8300</v>
      </c>
      <c r="W47" s="3849"/>
      <c r="X47" s="1557"/>
      <c r="Y47" s="1579"/>
      <c r="Z47" s="1557"/>
      <c r="AA47" s="1557"/>
      <c r="AB47" s="1557"/>
      <c r="AC47" s="1557"/>
    </row>
    <row r="48" spans="1:29" ht="15.75" thickBot="1">
      <c r="A48" s="614" t="s">
        <v>2766</v>
      </c>
      <c r="B48" s="886"/>
      <c r="C48" s="2656">
        <f>R49</f>
        <v>10375</v>
      </c>
      <c r="D48" s="2657"/>
      <c r="E48" s="2658">
        <f>R48</f>
        <v>11051</v>
      </c>
      <c r="F48" s="2658"/>
      <c r="G48" s="2656">
        <f>T48</f>
        <v>10295</v>
      </c>
      <c r="H48" s="2657"/>
      <c r="I48" s="2658">
        <f>V48</f>
        <v>9778</v>
      </c>
      <c r="J48" s="2657"/>
      <c r="K48" s="1605"/>
      <c r="L48" s="2143"/>
      <c r="M48" s="2144"/>
      <c r="N48" s="2144"/>
      <c r="O48" s="2144"/>
      <c r="P48" s="3746" t="str">
        <f>A48</f>
        <v>比较价格（元/平方米）</v>
      </c>
      <c r="Q48" s="3746"/>
      <c r="R48" s="3849">
        <f>IF(F1="售价",ROUND(PRODUCT(R47,AA7:AA46),0),ROUND(PRODUCT(R47,AA7:AA46),1))</f>
        <v>11051</v>
      </c>
      <c r="S48" s="3849"/>
      <c r="T48" s="3849">
        <f>IF(F1="售价",ROUND(PRODUCT(T47,AB7:AB46),0),ROUND(PRODUCT(T47,AB7:AB46),1))</f>
        <v>10295</v>
      </c>
      <c r="U48" s="3849"/>
      <c r="V48" s="3849">
        <f>IF(F1="售价",ROUND(PRODUCT(V47,AC7:AC46),0),ROUND(PRODUCT(V47,AC7:AC46),1))</f>
        <v>9778</v>
      </c>
      <c r="W48" s="3849"/>
      <c r="X48" s="1557"/>
      <c r="Y48" s="1557"/>
      <c r="Z48" s="1557"/>
      <c r="AA48" s="1557"/>
      <c r="AB48" s="1557"/>
      <c r="AC48" s="1557"/>
    </row>
    <row r="49" spans="1:29" ht="15.75" thickBot="1">
      <c r="A49" s="620" t="s">
        <v>2933</v>
      </c>
      <c r="B49" s="621"/>
      <c r="C49" s="2659">
        <f>R49</f>
        <v>10375</v>
      </c>
      <c r="D49" s="2659"/>
      <c r="E49" s="2659"/>
      <c r="F49" s="2659"/>
      <c r="G49" s="2659"/>
      <c r="H49" s="2659"/>
      <c r="I49" s="2659"/>
      <c r="J49" s="2659"/>
      <c r="K49" s="1606"/>
      <c r="L49" s="2143"/>
      <c r="M49" s="2144"/>
      <c r="N49" s="2144"/>
      <c r="O49" s="2144"/>
      <c r="P49" s="3770" t="str">
        <f>A49</f>
        <v>估价对象XX用房的比较价格（楼面单价，元/平方米）</v>
      </c>
      <c r="Q49" s="3771"/>
      <c r="R49" s="3848">
        <f>IF(F1="售价",ROUND(AVERAGE(R48:V48),0),ROUND(AVERAGE(R48:V48),1))</f>
        <v>10375</v>
      </c>
      <c r="S49" s="3848"/>
      <c r="T49" s="3848"/>
      <c r="U49" s="3848"/>
      <c r="V49" s="3848"/>
      <c r="W49" s="384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f>IF(E47&lt;E48,E48/E47-1,E47/E48-1)</f>
        <v>0.22788888888888881</v>
      </c>
      <c r="F52" s="626" t="str">
        <f>IF(OR(E52&gt;=0.3,E52&lt;=-0.3),"超过30%","")</f>
        <v/>
      </c>
      <c r="G52" s="625">
        <f>IF(G47&lt;G48,G48/G47-1,G47/G48-1)</f>
        <v>0.14388888888888896</v>
      </c>
      <c r="H52" s="626" t="str">
        <f>IF(OR(G52&gt;=0.3,G52&lt;=-0.3),"超过30%","")</f>
        <v/>
      </c>
      <c r="I52" s="625">
        <f>IF(I47&lt;I48,I48/I47-1,I47/I48-1)</f>
        <v>0.17807228915662643</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f>IF(E48&lt;G48,G48/E48-1,E48/G48-1)</f>
        <v>7.3433705682370176E-2</v>
      </c>
      <c r="F53" s="626" t="str">
        <f>IF(OR(E53&gt;=0.2,E53&lt;=-0.2),"超过20%","")</f>
        <v/>
      </c>
      <c r="G53" s="625">
        <f>IF(G48&lt;I48,I48/G48-1,G48/I48-1)</f>
        <v>5.2873798322765397E-2</v>
      </c>
      <c r="H53" s="626" t="str">
        <f>IF(OR(G53&gt;=0.2,G53&lt;=-0.2),"超过20%","")</f>
        <v/>
      </c>
      <c r="I53" s="625">
        <f>IF(I48&lt;E48,E48/I48-1,I48/E48-1)</f>
        <v>0.13019022294947846</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560</v>
      </c>
      <c r="D54" s="627"/>
      <c r="E54" s="625">
        <f>IF(E47&lt;G47,G47/E47-1,E47/G47-1)</f>
        <v>0</v>
      </c>
      <c r="F54" s="626" t="str">
        <f>IF(OR(E54&gt;=0.3,E54&lt;=-0.3),"超过30%","")</f>
        <v/>
      </c>
      <c r="G54" s="625">
        <f>IF(G47&lt;I47,I47/G47-1,G47/I47-1)</f>
        <v>8.43373493975903E-2</v>
      </c>
      <c r="H54" s="626" t="str">
        <f>IF(OR(G54&gt;=0.3,G54&lt;=-0.3),"超过30%","")</f>
        <v/>
      </c>
      <c r="I54" s="625">
        <f>IF(I47&lt;E47,E47/I47-1,I47/E47-1)</f>
        <v>8.43373493975903E-2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575</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530</v>
      </c>
      <c r="B58" s="645"/>
      <c r="C58" s="2828" t="str">
        <f>YEAR(C7)&amp;"-"&amp;MONTH(C7)</f>
        <v>2018-3</v>
      </c>
      <c r="D58" s="2828">
        <f>EDATE(C58,-1)</f>
        <v>43132</v>
      </c>
      <c r="E58" s="2828">
        <f t="shared" ref="E58:O58" si="16">EDATE(D58,-1)</f>
        <v>43101</v>
      </c>
      <c r="F58" s="2828">
        <f t="shared" si="16"/>
        <v>43070</v>
      </c>
      <c r="G58" s="2828">
        <f t="shared" si="16"/>
        <v>43040</v>
      </c>
      <c r="H58" s="2828">
        <f t="shared" si="16"/>
        <v>43009</v>
      </c>
      <c r="I58" s="2828">
        <f t="shared" si="16"/>
        <v>42979</v>
      </c>
      <c r="J58" s="2828">
        <f t="shared" si="16"/>
        <v>42948</v>
      </c>
      <c r="K58" s="2828">
        <f t="shared" si="16"/>
        <v>42917</v>
      </c>
      <c r="L58" s="2828">
        <f t="shared" si="16"/>
        <v>42887</v>
      </c>
      <c r="M58" s="2828">
        <f t="shared" si="16"/>
        <v>42856</v>
      </c>
      <c r="N58" s="2828">
        <f t="shared" si="16"/>
        <v>42826</v>
      </c>
      <c r="O58" s="2828">
        <f t="shared" si="16"/>
        <v>42795</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578</v>
      </c>
      <c r="B63" s="664" t="s">
        <v>535</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1（含）-2</v>
      </c>
      <c r="D67" s="681" t="str">
        <f t="shared" ref="D67:L67" si="18">D68&amp;"（含）"&amp;"-"&amp;E68</f>
        <v>2（含）-3</v>
      </c>
      <c r="E67" s="681" t="str">
        <f t="shared" si="18"/>
        <v>3（含）-4</v>
      </c>
      <c r="F67" s="681" t="str">
        <f t="shared" si="18"/>
        <v>4（含）-5</v>
      </c>
      <c r="G67" s="681" t="str">
        <f t="shared" si="18"/>
        <v>5（含）-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1</v>
      </c>
      <c r="D68" s="540">
        <v>2</v>
      </c>
      <c r="E68" s="540">
        <v>3</v>
      </c>
      <c r="F68" s="540">
        <v>4</v>
      </c>
      <c r="G68" s="540">
        <v>5</v>
      </c>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97</v>
      </c>
      <c r="E79" s="678">
        <f>D79-$K17</f>
        <v>94</v>
      </c>
      <c r="F79" s="678">
        <f>E79-$K17</f>
        <v>91</v>
      </c>
      <c r="G79" s="678">
        <f>F79-$K17</f>
        <v>88</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2563</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2564</v>
      </c>
      <c r="C82" s="2621" t="s">
        <v>2565</v>
      </c>
      <c r="D82" s="2621" t="s">
        <v>2566</v>
      </c>
      <c r="E82" s="2621" t="s">
        <v>2567</v>
      </c>
      <c r="F82" s="2621" t="s">
        <v>2568</v>
      </c>
      <c r="G82" s="2621" t="s">
        <v>2569</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745</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97</v>
      </c>
      <c r="E85" s="678">
        <f>D85-$K23</f>
        <v>94</v>
      </c>
      <c r="F85" s="678">
        <f>E85-$K23</f>
        <v>91</v>
      </c>
      <c r="G85" s="678">
        <f>F85-$K23</f>
        <v>88</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2261</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747</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t="s">
        <v>3324</v>
      </c>
      <c r="D90" s="687" t="s">
        <v>3325</v>
      </c>
      <c r="E90" s="687" t="s">
        <v>3326</v>
      </c>
      <c r="F90" s="687" t="s">
        <v>3327</v>
      </c>
      <c r="G90" s="687" t="s">
        <v>3328</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99</v>
      </c>
      <c r="E91" s="691">
        <v>98</v>
      </c>
      <c r="F91" s="691">
        <v>97</v>
      </c>
      <c r="G91" s="691">
        <v>96</v>
      </c>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748</v>
      </c>
      <c r="C100" s="597" t="s">
        <v>3329</v>
      </c>
      <c r="D100" s="597" t="s">
        <v>3330</v>
      </c>
      <c r="E100" s="3536" t="s">
        <v>3331</v>
      </c>
      <c r="F100" s="3536" t="s">
        <v>3332</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749</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v>
      </c>
      <c r="E103" s="729">
        <v>200000</v>
      </c>
      <c r="F103" s="729">
        <v>300000</v>
      </c>
      <c r="G103" s="729">
        <v>400000</v>
      </c>
      <c r="H103" s="729">
        <v>500000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750</v>
      </c>
      <c r="C105" s="687" t="s">
        <v>3333</v>
      </c>
      <c r="D105" s="687" t="s">
        <v>3334</v>
      </c>
      <c r="E105" s="717" t="s">
        <v>3335</v>
      </c>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717" t="s">
        <v>3336</v>
      </c>
      <c r="D107" s="717" t="s">
        <v>3337</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687" t="s">
        <v>3338</v>
      </c>
      <c r="D109" s="687" t="s">
        <v>3339</v>
      </c>
      <c r="E109" s="687" t="s">
        <v>3340</v>
      </c>
      <c r="F109" s="717" t="s">
        <v>3341</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754</v>
      </c>
      <c r="C114" s="687" t="s">
        <v>3342</v>
      </c>
      <c r="D114" s="687" t="s">
        <v>3343</v>
      </c>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2562</v>
      </c>
      <c r="C116" s="687" t="s">
        <v>3344</v>
      </c>
      <c r="D116" s="687" t="s">
        <v>3345</v>
      </c>
      <c r="E116" s="687" t="s">
        <v>3346</v>
      </c>
      <c r="F116" s="687" t="s">
        <v>3347</v>
      </c>
      <c r="G116" s="687" t="s">
        <v>3348</v>
      </c>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755</v>
      </c>
      <c r="C118" s="717" t="s">
        <v>3349</v>
      </c>
      <c r="D118" s="717" t="s">
        <v>3350</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734</v>
      </c>
      <c r="C120" s="687" t="s">
        <v>3351</v>
      </c>
      <c r="D120" s="687" t="s">
        <v>3352</v>
      </c>
      <c r="E120" s="687" t="s">
        <v>3353</v>
      </c>
      <c r="F120" s="687" t="s">
        <v>3354</v>
      </c>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v>100</v>
      </c>
      <c r="D121" s="670">
        <v>100</v>
      </c>
      <c r="E121" s="670">
        <v>99</v>
      </c>
      <c r="F121" s="670">
        <v>100</v>
      </c>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756</v>
      </c>
      <c r="C122" s="687" t="s">
        <v>3338</v>
      </c>
      <c r="D122" s="687" t="s">
        <v>3339</v>
      </c>
      <c r="E122" s="687" t="s">
        <v>3340</v>
      </c>
      <c r="F122" s="717" t="s">
        <v>3341</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t="str">
        <f>B44</f>
        <v>销售尾盘</v>
      </c>
      <c r="C126" s="3537" t="s">
        <v>3321</v>
      </c>
      <c r="D126" s="3537" t="s">
        <v>3322</v>
      </c>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v>100</v>
      </c>
      <c r="D127" s="670">
        <v>95</v>
      </c>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t="str">
        <f>B45</f>
        <v>景观</v>
      </c>
      <c r="C128" s="3537" t="s">
        <v>3323</v>
      </c>
      <c r="D128" s="3537" t="s">
        <v>3321</v>
      </c>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v>100</v>
      </c>
      <c r="D129" s="691">
        <v>80</v>
      </c>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0</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2262</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2263</v>
      </c>
      <c r="C137" s="1918"/>
      <c r="D137" s="1918"/>
      <c r="E137" s="1918"/>
      <c r="F137" s="1918"/>
      <c r="G137" s="1919"/>
      <c r="H137" s="1920"/>
      <c r="I137" s="1921" t="s">
        <v>2264</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2265</v>
      </c>
      <c r="D138" s="1924" t="s">
        <v>2266</v>
      </c>
      <c r="E138" s="1925" t="s">
        <v>2267</v>
      </c>
      <c r="F138" s="1926" t="s">
        <v>2268</v>
      </c>
      <c r="G138" s="1924" t="s">
        <v>2269</v>
      </c>
      <c r="H138" s="1927" t="s">
        <v>2270</v>
      </c>
      <c r="I138" s="1928"/>
      <c r="J138" s="1924" t="s">
        <v>2271</v>
      </c>
      <c r="K138" s="1927" t="s">
        <v>2272</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2273</v>
      </c>
      <c r="E139" s="1898">
        <v>100</v>
      </c>
      <c r="F139" s="1899">
        <v>102.5</v>
      </c>
      <c r="G139" s="1929" t="s">
        <v>2274</v>
      </c>
      <c r="H139" s="1900">
        <v>105</v>
      </c>
      <c r="I139" s="1930" t="s">
        <v>2275</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2276</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2277</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2278</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2279</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2280</v>
      </c>
      <c r="E144" s="1904">
        <v>102</v>
      </c>
      <c r="F144" s="1910">
        <v>100</v>
      </c>
      <c r="G144" s="1933" t="s">
        <v>2280</v>
      </c>
      <c r="H144" s="1906">
        <v>105</v>
      </c>
      <c r="I144" s="1932" t="s">
        <v>2279</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2281</v>
      </c>
      <c r="C145" s="1911">
        <f>ROUND(MAX(C139:C144)/MIN(C139:C144)-1,3)</f>
        <v>7.2999999999999995E-2</v>
      </c>
      <c r="D145" s="1935"/>
      <c r="E145" s="1935"/>
      <c r="F145" s="1936" t="s">
        <v>2282</v>
      </c>
      <c r="G145" s="1937"/>
      <c r="H145" s="1938"/>
      <c r="I145" s="1939" t="s">
        <v>2279</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2291</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2292</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B24" sqref="B23:K24"/>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2646" t="s">
        <v>720</v>
      </c>
      <c r="C1" s="2647" t="s">
        <v>721</v>
      </c>
      <c r="D1" s="2648" t="s">
        <v>3239</v>
      </c>
      <c r="E1" s="2649"/>
      <c r="F1" s="2831" t="s">
        <v>3307</v>
      </c>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71721</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520</v>
      </c>
      <c r="B3" s="850">
        <f>C49</f>
        <v>12893</v>
      </c>
      <c r="C3" s="851" t="s">
        <v>723</v>
      </c>
      <c r="D3" s="850">
        <f>SUMIF('数据-汇总表'!$C19:$C33,D1,'数据-汇总表'!$E19:$E33)</f>
        <v>55628</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522</v>
      </c>
      <c r="B4" s="512"/>
      <c r="C4" s="3752" t="s">
        <v>523</v>
      </c>
      <c r="D4" s="3753"/>
      <c r="E4" s="3779" t="s">
        <v>524</v>
      </c>
      <c r="F4" s="3780"/>
      <c r="G4" s="3752" t="s">
        <v>525</v>
      </c>
      <c r="H4" s="3753"/>
      <c r="I4" s="3752" t="s">
        <v>526</v>
      </c>
      <c r="J4" s="3753"/>
      <c r="K4" s="852" t="s">
        <v>527</v>
      </c>
      <c r="L4" s="2132"/>
      <c r="M4" s="2133"/>
      <c r="N4" s="2133"/>
      <c r="O4" s="2133"/>
      <c r="P4" s="3754" t="s">
        <v>528</v>
      </c>
      <c r="Q4" s="3755"/>
      <c r="R4" s="3740" t="s">
        <v>524</v>
      </c>
      <c r="S4" s="3741"/>
      <c r="T4" s="3740" t="s">
        <v>525</v>
      </c>
      <c r="U4" s="3741"/>
      <c r="V4" s="3760" t="s">
        <v>526</v>
      </c>
      <c r="W4" s="3760"/>
      <c r="X4" s="3479"/>
      <c r="Y4" s="3740" t="s">
        <v>528</v>
      </c>
      <c r="Z4" s="3741"/>
      <c r="AA4" s="3735" t="s">
        <v>524</v>
      </c>
      <c r="AB4" s="3735" t="s">
        <v>525</v>
      </c>
      <c r="AC4" s="3735" t="s">
        <v>526</v>
      </c>
    </row>
    <row r="5" spans="1:29" ht="15" customHeight="1">
      <c r="A5" s="514"/>
      <c r="B5" s="515"/>
      <c r="C5" s="3763" t="s">
        <v>3308</v>
      </c>
      <c r="D5" s="3764"/>
      <c r="E5" s="3847" t="s">
        <v>3309</v>
      </c>
      <c r="F5" s="3782"/>
      <c r="G5" s="3763" t="s">
        <v>3359</v>
      </c>
      <c r="H5" s="3764"/>
      <c r="I5" s="3763" t="s">
        <v>3360</v>
      </c>
      <c r="J5" s="3764"/>
      <c r="K5" s="853"/>
      <c r="L5" s="2132"/>
      <c r="M5" s="2133"/>
      <c r="N5" s="2133"/>
      <c r="O5" s="2133"/>
      <c r="P5" s="3756"/>
      <c r="Q5" s="3757"/>
      <c r="R5" s="3742"/>
      <c r="S5" s="3743"/>
      <c r="T5" s="3742"/>
      <c r="U5" s="3743"/>
      <c r="V5" s="3760"/>
      <c r="W5" s="3760"/>
      <c r="X5" s="3479"/>
      <c r="Y5" s="3742"/>
      <c r="Z5" s="3743"/>
      <c r="AA5" s="3736"/>
      <c r="AB5" s="3736"/>
      <c r="AC5" s="3736"/>
    </row>
    <row r="6" spans="1:29" ht="15.75" thickBot="1">
      <c r="A6" s="516"/>
      <c r="B6" s="517"/>
      <c r="C6" s="3783" t="s">
        <v>3312</v>
      </c>
      <c r="D6" s="3762"/>
      <c r="E6" s="3784" t="s">
        <v>3312</v>
      </c>
      <c r="F6" s="3785"/>
      <c r="G6" s="3783" t="s">
        <v>3312</v>
      </c>
      <c r="H6" s="3762"/>
      <c r="I6" s="3783" t="s">
        <v>3312</v>
      </c>
      <c r="J6" s="3762"/>
      <c r="K6" s="853" t="s">
        <v>529</v>
      </c>
      <c r="L6" s="2132"/>
      <c r="M6" s="2133"/>
      <c r="N6" s="2133"/>
      <c r="O6" s="2133"/>
      <c r="P6" s="3758"/>
      <c r="Q6" s="3759"/>
      <c r="R6" s="3742"/>
      <c r="S6" s="3743"/>
      <c r="T6" s="3744"/>
      <c r="U6" s="3745"/>
      <c r="V6" s="3760"/>
      <c r="W6" s="3760"/>
      <c r="X6" s="3479"/>
      <c r="Y6" s="3744"/>
      <c r="Z6" s="3745"/>
      <c r="AA6" s="3737"/>
      <c r="AB6" s="3737"/>
      <c r="AC6" s="3737"/>
    </row>
    <row r="7" spans="1:29" s="1218" customFormat="1" ht="15.75" thickBot="1">
      <c r="A7" s="2936"/>
      <c r="B7" s="2943" t="s">
        <v>530</v>
      </c>
      <c r="C7" s="518">
        <f>'数据-取费表'!B2</f>
        <v>43171</v>
      </c>
      <c r="D7" s="519">
        <v>100</v>
      </c>
      <c r="E7" s="520">
        <v>43171</v>
      </c>
      <c r="F7" s="521">
        <f>SUMIF(58:58,YEAR(E7)&amp;"-"&amp;MONTH(E7),59:59)</f>
        <v>100</v>
      </c>
      <c r="G7" s="522">
        <v>43171</v>
      </c>
      <c r="H7" s="519">
        <f>SUMIF(58:58,YEAR(G7)&amp;"-"&amp;MONTH(G7),59:59)</f>
        <v>100</v>
      </c>
      <c r="I7" s="522">
        <v>43171</v>
      </c>
      <c r="J7" s="519">
        <f>SUMIF(58:58,YEAR(I7)&amp;"-"&amp;MONTH(I7),59:59)</f>
        <v>100</v>
      </c>
      <c r="K7" s="854"/>
      <c r="L7" s="2134"/>
      <c r="M7" s="2135"/>
      <c r="N7" s="2135"/>
      <c r="O7" s="2135"/>
      <c r="P7" s="3738" t="s">
        <v>531</v>
      </c>
      <c r="Q7" s="3747"/>
      <c r="R7" s="1566" t="s">
        <v>8</v>
      </c>
      <c r="S7" s="1567">
        <f t="shared" ref="S7:S15" si="0">F7</f>
        <v>100</v>
      </c>
      <c r="T7" s="1566" t="s">
        <v>8</v>
      </c>
      <c r="U7" s="1567">
        <f t="shared" ref="U7:U15" si="1">H7</f>
        <v>100</v>
      </c>
      <c r="V7" s="1566" t="s">
        <v>8</v>
      </c>
      <c r="W7" s="1567">
        <f t="shared" ref="W7:W15" si="2">J7</f>
        <v>100</v>
      </c>
      <c r="X7" s="1568"/>
      <c r="Y7" s="3738" t="s">
        <v>531</v>
      </c>
      <c r="Z7" s="3739"/>
      <c r="AA7" s="1569">
        <f>D7/F7</f>
        <v>1</v>
      </c>
      <c r="AB7" s="1569">
        <f>D7/H7</f>
        <v>1</v>
      </c>
      <c r="AC7" s="1569">
        <f>D7/J7</f>
        <v>1</v>
      </c>
    </row>
    <row r="8" spans="1:29" s="1218" customFormat="1" ht="15.75" thickBot="1">
      <c r="A8" s="2937"/>
      <c r="B8" s="2944" t="s">
        <v>532</v>
      </c>
      <c r="C8" s="524" t="s">
        <v>577</v>
      </c>
      <c r="D8" s="519">
        <v>100</v>
      </c>
      <c r="E8" s="855" t="s">
        <v>3252</v>
      </c>
      <c r="F8" s="521">
        <f>SUMIF(61:61,E8,62:62)-SUMIF(61:61,C8,62:62)+100</f>
        <v>100</v>
      </c>
      <c r="G8" s="524" t="s">
        <v>3252</v>
      </c>
      <c r="H8" s="519">
        <f>SUMIF(61:61,G8,62:62)-SUMIF(61:61,C8,62:62)+100</f>
        <v>100</v>
      </c>
      <c r="I8" s="855" t="s">
        <v>3252</v>
      </c>
      <c r="J8" s="519">
        <f>SUMIF(61:61,I8,62:62)-SUMIF(61:61,C8,62:62)+100</f>
        <v>100</v>
      </c>
      <c r="K8" s="854"/>
      <c r="L8" s="2134"/>
      <c r="M8" s="2135"/>
      <c r="N8" s="2135"/>
      <c r="O8" s="2135"/>
      <c r="P8" s="3738" t="s">
        <v>534</v>
      </c>
      <c r="Q8" s="3739"/>
      <c r="R8" s="1566" t="s">
        <v>8</v>
      </c>
      <c r="S8" s="1567">
        <f t="shared" si="0"/>
        <v>100</v>
      </c>
      <c r="T8" s="1566" t="s">
        <v>8</v>
      </c>
      <c r="U8" s="1567">
        <f t="shared" si="1"/>
        <v>100</v>
      </c>
      <c r="V8" s="1566" t="s">
        <v>8</v>
      </c>
      <c r="W8" s="1567">
        <f t="shared" si="2"/>
        <v>100</v>
      </c>
      <c r="X8" s="1568"/>
      <c r="Y8" s="3738" t="s">
        <v>534</v>
      </c>
      <c r="Z8" s="3739"/>
      <c r="AA8" s="1569">
        <f t="shared" ref="AA8:AA46" si="3">D8/F8</f>
        <v>1</v>
      </c>
      <c r="AB8" s="1569">
        <f t="shared" ref="AB8:AB46" si="4">D8/H8</f>
        <v>1</v>
      </c>
      <c r="AC8" s="1569">
        <f t="shared" ref="AC8:AC46" si="5">D8/J8</f>
        <v>1</v>
      </c>
    </row>
    <row r="9" spans="1:29" s="1218" customFormat="1" ht="15">
      <c r="A9" s="2938"/>
      <c r="B9" s="2945" t="s">
        <v>2762</v>
      </c>
      <c r="C9" s="3551" t="s">
        <v>3357</v>
      </c>
      <c r="D9" s="253">
        <v>100</v>
      </c>
      <c r="E9" s="857" t="s">
        <v>924</v>
      </c>
      <c r="F9" s="858">
        <f>SUMIF(63:63,E9,64:64)-SUMIF(63:63,C9,64:64)+100</f>
        <v>100</v>
      </c>
      <c r="G9" s="857" t="s">
        <v>924</v>
      </c>
      <c r="H9" s="253">
        <f>SUMIF(63:63,G9,64:64)-SUMIF(63:63,C9,64:64)+100</f>
        <v>100</v>
      </c>
      <c r="I9" s="857" t="s">
        <v>924</v>
      </c>
      <c r="J9" s="253">
        <f>SUMIF(63:63,I9,64:64)-SUMIF(63:63,C9,64:64)+100</f>
        <v>100</v>
      </c>
      <c r="K9" s="854"/>
      <c r="L9" s="2134"/>
      <c r="M9" s="2135"/>
      <c r="N9" s="2135"/>
      <c r="O9" s="2136"/>
      <c r="P9" s="3746" t="s">
        <v>536</v>
      </c>
      <c r="Q9" s="3477" t="str">
        <f t="shared" ref="Q9:Q15" si="6">B9</f>
        <v>用途</v>
      </c>
      <c r="R9" s="1566" t="s">
        <v>8</v>
      </c>
      <c r="S9" s="1567">
        <f t="shared" si="0"/>
        <v>100</v>
      </c>
      <c r="T9" s="1566" t="s">
        <v>8</v>
      </c>
      <c r="U9" s="1567">
        <f t="shared" si="1"/>
        <v>100</v>
      </c>
      <c r="V9" s="1566" t="s">
        <v>8</v>
      </c>
      <c r="W9" s="1567">
        <f t="shared" si="2"/>
        <v>100</v>
      </c>
      <c r="X9" s="1568"/>
      <c r="Y9" s="3703" t="s">
        <v>537</v>
      </c>
      <c r="Z9" s="3476" t="str">
        <f t="shared" ref="Z9:Z15" si="7">Q9</f>
        <v>用途</v>
      </c>
      <c r="AA9" s="1569">
        <f t="shared" si="3"/>
        <v>1</v>
      </c>
      <c r="AB9" s="1569">
        <f t="shared" si="4"/>
        <v>1</v>
      </c>
      <c r="AC9" s="1569">
        <f t="shared" si="5"/>
        <v>1</v>
      </c>
    </row>
    <row r="10" spans="1:29" s="1336" customFormat="1" ht="27">
      <c r="A10" s="2939"/>
      <c r="B10" s="2944" t="s">
        <v>2763</v>
      </c>
      <c r="C10" s="860" t="s">
        <v>3313</v>
      </c>
      <c r="D10" s="254">
        <v>100</v>
      </c>
      <c r="E10" s="861" t="s">
        <v>3313</v>
      </c>
      <c r="F10" s="862">
        <f>SUMIF(65:65,E10,66:66)-SUMIF(65:65,C10,66:66)+100</f>
        <v>100</v>
      </c>
      <c r="G10" s="861" t="s">
        <v>3313</v>
      </c>
      <c r="H10" s="254">
        <f>SUMIF(65:65,G10,66:66)-SUMIF(65:65,C10,66:66)+100</f>
        <v>100</v>
      </c>
      <c r="I10" s="861" t="s">
        <v>3313</v>
      </c>
      <c r="J10" s="254">
        <f>SUMIF(65:65,I10,66:66)-SUMIF(65:65,C10,66:66)+100</f>
        <v>100</v>
      </c>
      <c r="K10" s="863">
        <v>1</v>
      </c>
      <c r="L10" s="2137"/>
      <c r="M10" s="2177"/>
      <c r="N10" s="2177"/>
      <c r="O10" s="2138"/>
      <c r="P10" s="3746"/>
      <c r="Q10" s="3477" t="str">
        <f t="shared" si="6"/>
        <v>土地使用年限（年）</v>
      </c>
      <c r="R10" s="1566" t="s">
        <v>8</v>
      </c>
      <c r="S10" s="1567">
        <f t="shared" si="0"/>
        <v>100</v>
      </c>
      <c r="T10" s="1566" t="s">
        <v>8</v>
      </c>
      <c r="U10" s="1567">
        <f t="shared" si="1"/>
        <v>100</v>
      </c>
      <c r="V10" s="1566" t="s">
        <v>8</v>
      </c>
      <c r="W10" s="1567">
        <f t="shared" si="2"/>
        <v>100</v>
      </c>
      <c r="X10" s="1568"/>
      <c r="Y10" s="3703"/>
      <c r="Z10" s="3476" t="str">
        <f t="shared" si="7"/>
        <v>土地使用年限（年）</v>
      </c>
      <c r="AA10" s="1569">
        <f t="shared" si="3"/>
        <v>1</v>
      </c>
      <c r="AB10" s="1569">
        <f t="shared" si="4"/>
        <v>1</v>
      </c>
      <c r="AC10" s="1569">
        <f t="shared" si="5"/>
        <v>1</v>
      </c>
    </row>
    <row r="11" spans="1:29" ht="15.75" thickBot="1">
      <c r="A11" s="2940"/>
      <c r="B11" s="2944" t="s">
        <v>2764</v>
      </c>
      <c r="C11" s="532">
        <f>'数据-汇总表'!I7</f>
        <v>2.29</v>
      </c>
      <c r="D11" s="254">
        <v>100</v>
      </c>
      <c r="E11" s="533">
        <v>1.45</v>
      </c>
      <c r="F11" s="862">
        <f>LOOKUP(E11,68:68,69:69)-LOOKUP(C11,68:68,69:69)+100</f>
        <v>102</v>
      </c>
      <c r="G11" s="532">
        <v>1.93</v>
      </c>
      <c r="H11" s="254">
        <f>LOOKUP(G11,68:68,69:69)-LOOKUP(C11,68:68,69:69)+100</f>
        <v>102</v>
      </c>
      <c r="I11" s="532">
        <v>1.38</v>
      </c>
      <c r="J11" s="254">
        <f>LOOKUP(I11,68:68,69:69)-LOOKUP(C11,68:68,69:69)+100</f>
        <v>102</v>
      </c>
      <c r="K11" s="863">
        <v>2</v>
      </c>
      <c r="L11" s="2139"/>
      <c r="M11" s="2133"/>
      <c r="N11" s="2133"/>
      <c r="O11" s="2140"/>
      <c r="P11" s="3746"/>
      <c r="Q11" s="3477" t="str">
        <f t="shared" si="6"/>
        <v>容积率</v>
      </c>
      <c r="R11" s="1566" t="s">
        <v>8</v>
      </c>
      <c r="S11" s="1567">
        <f t="shared" si="0"/>
        <v>102</v>
      </c>
      <c r="T11" s="1566" t="s">
        <v>8</v>
      </c>
      <c r="U11" s="1567">
        <f t="shared" si="1"/>
        <v>102</v>
      </c>
      <c r="V11" s="1566" t="s">
        <v>8</v>
      </c>
      <c r="W11" s="1567">
        <f t="shared" si="2"/>
        <v>102</v>
      </c>
      <c r="X11" s="1568"/>
      <c r="Y11" s="3703"/>
      <c r="Z11" s="3476" t="str">
        <f t="shared" si="7"/>
        <v>容积率</v>
      </c>
      <c r="AA11" s="1569">
        <f t="shared" si="3"/>
        <v>0.98039215686274506</v>
      </c>
      <c r="AB11" s="1569">
        <f t="shared" si="4"/>
        <v>0.98039215686274506</v>
      </c>
      <c r="AC11" s="1569">
        <f t="shared" si="5"/>
        <v>0.98039215686274506</v>
      </c>
    </row>
    <row r="12" spans="1:29" s="1218" customFormat="1" ht="15.75" hidden="1" thickBot="1">
      <c r="A12" s="2941"/>
      <c r="B12" s="2947"/>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746"/>
      <c r="Q12" s="3477">
        <f t="shared" si="6"/>
        <v>0</v>
      </c>
      <c r="R12" s="1566" t="s">
        <v>8</v>
      </c>
      <c r="S12" s="1567">
        <f t="shared" si="0"/>
        <v>100</v>
      </c>
      <c r="T12" s="1566" t="s">
        <v>8</v>
      </c>
      <c r="U12" s="1567">
        <f t="shared" si="1"/>
        <v>100</v>
      </c>
      <c r="V12" s="1566" t="s">
        <v>8</v>
      </c>
      <c r="W12" s="1567">
        <f t="shared" si="2"/>
        <v>100</v>
      </c>
      <c r="X12" s="1568"/>
      <c r="Y12" s="3703"/>
      <c r="Z12" s="3476">
        <f t="shared" si="7"/>
        <v>0</v>
      </c>
      <c r="AA12" s="1569">
        <f>D12/F12</f>
        <v>1</v>
      </c>
      <c r="AB12" s="1569">
        <f>D12/H12</f>
        <v>1</v>
      </c>
      <c r="AC12" s="1569">
        <f>D12/J12</f>
        <v>1</v>
      </c>
    </row>
    <row r="13" spans="1:29" ht="15.75" hidden="1" thickBot="1">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746"/>
      <c r="Q13" s="3477">
        <f t="shared" si="6"/>
        <v>0</v>
      </c>
      <c r="R13" s="1566" t="s">
        <v>8</v>
      </c>
      <c r="S13" s="1567">
        <f t="shared" si="0"/>
        <v>100</v>
      </c>
      <c r="T13" s="1566" t="s">
        <v>8</v>
      </c>
      <c r="U13" s="1567">
        <f t="shared" si="1"/>
        <v>100</v>
      </c>
      <c r="V13" s="1566" t="s">
        <v>8</v>
      </c>
      <c r="W13" s="1567">
        <f t="shared" si="2"/>
        <v>100</v>
      </c>
      <c r="X13" s="1568"/>
      <c r="Y13" s="3703"/>
      <c r="Z13" s="3476">
        <f t="shared" si="7"/>
        <v>0</v>
      </c>
      <c r="AA13" s="1569">
        <f t="shared" si="3"/>
        <v>1</v>
      </c>
      <c r="AB13" s="1569">
        <f t="shared" si="4"/>
        <v>1</v>
      </c>
      <c r="AC13" s="1569">
        <f t="shared" si="5"/>
        <v>1</v>
      </c>
    </row>
    <row r="14" spans="1:29" ht="15.75" hidden="1"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746"/>
      <c r="Q14" s="3477">
        <f t="shared" si="6"/>
        <v>0</v>
      </c>
      <c r="R14" s="1566" t="s">
        <v>8</v>
      </c>
      <c r="S14" s="1567">
        <f t="shared" si="0"/>
        <v>100</v>
      </c>
      <c r="T14" s="1566" t="s">
        <v>8</v>
      </c>
      <c r="U14" s="1567">
        <f t="shared" si="1"/>
        <v>100</v>
      </c>
      <c r="V14" s="1566" t="s">
        <v>8</v>
      </c>
      <c r="W14" s="1567">
        <f t="shared" si="2"/>
        <v>100</v>
      </c>
      <c r="X14" s="1568"/>
      <c r="Y14" s="3703"/>
      <c r="Z14" s="3476">
        <f t="shared" si="7"/>
        <v>0</v>
      </c>
      <c r="AA14" s="1569">
        <f t="shared" si="3"/>
        <v>1</v>
      </c>
      <c r="AB14" s="1569">
        <f t="shared" si="4"/>
        <v>1</v>
      </c>
      <c r="AC14" s="1569">
        <f t="shared" si="5"/>
        <v>1</v>
      </c>
    </row>
    <row r="15" spans="1:29" ht="15">
      <c r="A15" s="2934" t="s">
        <v>2760</v>
      </c>
      <c r="B15" s="165" t="s">
        <v>295</v>
      </c>
      <c r="C15" s="866">
        <f>估价对象房地状况!C3</f>
        <v>0</v>
      </c>
      <c r="D15" s="548">
        <v>100</v>
      </c>
      <c r="E15" s="549"/>
      <c r="F15" s="550">
        <f>SUMIF(76:76,E16,77:77)-SUMIF(76:76,C16,77:77)+100</f>
        <v>100</v>
      </c>
      <c r="G15" s="551"/>
      <c r="H15" s="548">
        <f>SUMIF(76:76,G16,77:77)-SUMIF(76:76,C16,77:77)+100</f>
        <v>103</v>
      </c>
      <c r="I15" s="549"/>
      <c r="J15" s="548">
        <f>SUMIF(76:76,I16,77:77)-SUMIF(76:76,C16,77:77)+100</f>
        <v>100</v>
      </c>
      <c r="K15" s="867">
        <v>3</v>
      </c>
      <c r="L15" s="2141"/>
      <c r="M15" s="2133"/>
      <c r="N15" s="2133"/>
      <c r="O15" s="2140"/>
      <c r="P15" s="3748" t="s">
        <v>541</v>
      </c>
      <c r="Q15" s="3480" t="str">
        <f t="shared" si="6"/>
        <v>居住社区成熟度</v>
      </c>
      <c r="R15" s="1571" t="s">
        <v>8</v>
      </c>
      <c r="S15" s="1572">
        <f t="shared" si="0"/>
        <v>100</v>
      </c>
      <c r="T15" s="1571" t="s">
        <v>8</v>
      </c>
      <c r="U15" s="1572">
        <f t="shared" si="1"/>
        <v>103</v>
      </c>
      <c r="V15" s="1571" t="s">
        <v>8</v>
      </c>
      <c r="W15" s="1572">
        <f t="shared" si="2"/>
        <v>100</v>
      </c>
      <c r="X15" s="3479"/>
      <c r="Y15" s="3748" t="s">
        <v>541</v>
      </c>
      <c r="Z15" s="3481" t="str">
        <f t="shared" si="7"/>
        <v>居住社区成熟度</v>
      </c>
      <c r="AA15" s="3482">
        <f t="shared" si="3"/>
        <v>1</v>
      </c>
      <c r="AB15" s="3482">
        <f t="shared" si="4"/>
        <v>0.970873786407767</v>
      </c>
      <c r="AC15" s="3482">
        <f t="shared" si="5"/>
        <v>1</v>
      </c>
    </row>
    <row r="16" spans="1:29" ht="15">
      <c r="A16" s="531"/>
      <c r="B16" s="868"/>
      <c r="C16" s="575" t="s">
        <v>3261</v>
      </c>
      <c r="D16" s="554"/>
      <c r="E16" s="555" t="s">
        <v>3261</v>
      </c>
      <c r="F16" s="556"/>
      <c r="G16" s="557" t="s">
        <v>3262</v>
      </c>
      <c r="H16" s="558"/>
      <c r="I16" s="555" t="s">
        <v>3261</v>
      </c>
      <c r="J16" s="554"/>
      <c r="K16" s="869"/>
      <c r="L16" s="2141"/>
      <c r="M16" s="2133"/>
      <c r="N16" s="2133"/>
      <c r="O16" s="2140"/>
      <c r="P16" s="3749"/>
      <c r="Q16" s="3480"/>
      <c r="R16" s="1571"/>
      <c r="S16" s="1572"/>
      <c r="T16" s="1571"/>
      <c r="U16" s="1572"/>
      <c r="V16" s="1571"/>
      <c r="W16" s="1572"/>
      <c r="X16" s="3479"/>
      <c r="Y16" s="3749"/>
      <c r="Z16" s="3481"/>
      <c r="AA16" s="3482">
        <v>1</v>
      </c>
      <c r="AB16" s="3482">
        <v>1</v>
      </c>
      <c r="AC16" s="3482">
        <v>1</v>
      </c>
    </row>
    <row r="17" spans="1:29" ht="15">
      <c r="A17" s="531"/>
      <c r="B17" s="870" t="s">
        <v>296</v>
      </c>
      <c r="C17" s="871">
        <f>估价对象房地状况!C6</f>
        <v>0</v>
      </c>
      <c r="D17" s="558">
        <v>100</v>
      </c>
      <c r="E17" s="561"/>
      <c r="F17" s="562">
        <f>SUMIF(78:78,E18,79:79)-SUMIF(78:78,C18,79:79)+100</f>
        <v>100</v>
      </c>
      <c r="G17" s="563"/>
      <c r="H17" s="564">
        <f>SUMIF(78:78,G18,79:79)-SUMIF(78:78,C18,79:79)+100</f>
        <v>103</v>
      </c>
      <c r="I17" s="561"/>
      <c r="J17" s="564">
        <f>SUMIF(78:78,I18,79:79)-SUMIF(78:78,C18,79:79)+100</f>
        <v>100</v>
      </c>
      <c r="K17" s="867">
        <v>3</v>
      </c>
      <c r="L17" s="2141"/>
      <c r="M17" s="2133"/>
      <c r="N17" s="2133"/>
      <c r="O17" s="2140"/>
      <c r="P17" s="3749"/>
      <c r="Q17" s="3480" t="str">
        <f>B17</f>
        <v>交通便捷度</v>
      </c>
      <c r="R17" s="1571" t="s">
        <v>8</v>
      </c>
      <c r="S17" s="1572">
        <f>F17</f>
        <v>100</v>
      </c>
      <c r="T17" s="1571" t="s">
        <v>8</v>
      </c>
      <c r="U17" s="1572">
        <f>H17</f>
        <v>103</v>
      </c>
      <c r="V17" s="1571" t="s">
        <v>8</v>
      </c>
      <c r="W17" s="1572">
        <f>J17</f>
        <v>100</v>
      </c>
      <c r="X17" s="3479"/>
      <c r="Y17" s="3749"/>
      <c r="Z17" s="3481" t="str">
        <f>Q17</f>
        <v>交通便捷度</v>
      </c>
      <c r="AA17" s="3482">
        <f t="shared" si="3"/>
        <v>1</v>
      </c>
      <c r="AB17" s="3482">
        <f t="shared" si="4"/>
        <v>0.970873786407767</v>
      </c>
      <c r="AC17" s="3482">
        <f t="shared" si="5"/>
        <v>1</v>
      </c>
    </row>
    <row r="18" spans="1:29" ht="15">
      <c r="A18" s="531"/>
      <c r="B18" s="594"/>
      <c r="C18" s="872" t="s">
        <v>3261</v>
      </c>
      <c r="D18" s="558"/>
      <c r="E18" s="872" t="s">
        <v>3261</v>
      </c>
      <c r="F18" s="562"/>
      <c r="G18" s="557" t="s">
        <v>3262</v>
      </c>
      <c r="H18" s="554"/>
      <c r="I18" s="555" t="s">
        <v>3261</v>
      </c>
      <c r="J18" s="554"/>
      <c r="K18" s="869"/>
      <c r="L18" s="2141"/>
      <c r="M18" s="2133"/>
      <c r="N18" s="2133"/>
      <c r="O18" s="2140"/>
      <c r="P18" s="3749"/>
      <c r="Q18" s="3480"/>
      <c r="R18" s="1571"/>
      <c r="S18" s="1572"/>
      <c r="T18" s="1571"/>
      <c r="U18" s="1572"/>
      <c r="V18" s="1571"/>
      <c r="W18" s="1572"/>
      <c r="X18" s="3479"/>
      <c r="Y18" s="3749"/>
      <c r="Z18" s="3481"/>
      <c r="AA18" s="3482">
        <v>1</v>
      </c>
      <c r="AB18" s="3482">
        <v>1</v>
      </c>
      <c r="AC18" s="3482">
        <v>1</v>
      </c>
    </row>
    <row r="19" spans="1:29" ht="15">
      <c r="A19" s="531"/>
      <c r="B19" s="2623" t="s">
        <v>2552</v>
      </c>
      <c r="C19" s="871">
        <f>估价对象房地状况!C7</f>
        <v>0</v>
      </c>
      <c r="D19" s="564">
        <v>100</v>
      </c>
      <c r="E19" s="569"/>
      <c r="F19" s="570">
        <f>SUMIF(80:80,E20,81:81)-SUMIF(80:80,C20,81:81)+100</f>
        <v>103</v>
      </c>
      <c r="G19" s="571"/>
      <c r="H19" s="558">
        <f>SUMIF(80:80,G20,81:81)-SUMIF(80:80,C20,81:81)+100</f>
        <v>103</v>
      </c>
      <c r="I19" s="569"/>
      <c r="J19" s="558">
        <f>SUMIF(80:80,I20,81:81)-SUMIF(80:80,C20,81:81)+100</f>
        <v>103</v>
      </c>
      <c r="K19" s="867">
        <v>3</v>
      </c>
      <c r="L19" s="2141"/>
      <c r="M19" s="2133"/>
      <c r="N19" s="2133"/>
      <c r="O19" s="2140"/>
      <c r="P19" s="3749"/>
      <c r="Q19" s="3480" t="str">
        <f>B19</f>
        <v>公共配套设施</v>
      </c>
      <c r="R19" s="1571" t="s">
        <v>8</v>
      </c>
      <c r="S19" s="1572">
        <f>F19</f>
        <v>103</v>
      </c>
      <c r="T19" s="1571" t="s">
        <v>8</v>
      </c>
      <c r="U19" s="1572">
        <f>H19</f>
        <v>103</v>
      </c>
      <c r="V19" s="1571" t="s">
        <v>8</v>
      </c>
      <c r="W19" s="1572">
        <f>J19</f>
        <v>103</v>
      </c>
      <c r="X19" s="3479"/>
      <c r="Y19" s="3749"/>
      <c r="Z19" s="3481" t="str">
        <f>Q19</f>
        <v>公共配套设施</v>
      </c>
      <c r="AA19" s="3482">
        <f t="shared" si="3"/>
        <v>0.970873786407767</v>
      </c>
      <c r="AB19" s="3482">
        <f t="shared" si="4"/>
        <v>0.970873786407767</v>
      </c>
      <c r="AC19" s="3482">
        <f t="shared" si="5"/>
        <v>0.970873786407767</v>
      </c>
    </row>
    <row r="20" spans="1:29" ht="15">
      <c r="A20" s="531"/>
      <c r="B20" s="594"/>
      <c r="C20" s="575" t="s">
        <v>3261</v>
      </c>
      <c r="D20" s="554"/>
      <c r="E20" s="557" t="s">
        <v>3262</v>
      </c>
      <c r="F20" s="556"/>
      <c r="G20" s="557" t="s">
        <v>3262</v>
      </c>
      <c r="H20" s="554"/>
      <c r="I20" s="557" t="s">
        <v>3262</v>
      </c>
      <c r="J20" s="554"/>
      <c r="K20" s="869"/>
      <c r="L20" s="2141"/>
      <c r="M20" s="2133"/>
      <c r="N20" s="2133"/>
      <c r="O20" s="2140"/>
      <c r="P20" s="3749"/>
      <c r="Q20" s="3480"/>
      <c r="R20" s="1571"/>
      <c r="S20" s="1572"/>
      <c r="T20" s="1571"/>
      <c r="U20" s="1572"/>
      <c r="V20" s="1571"/>
      <c r="W20" s="1572"/>
      <c r="X20" s="3479"/>
      <c r="Y20" s="3749"/>
      <c r="Z20" s="3481"/>
      <c r="AA20" s="3482">
        <v>1</v>
      </c>
      <c r="AB20" s="3482">
        <v>1</v>
      </c>
      <c r="AC20" s="3482">
        <v>1</v>
      </c>
    </row>
    <row r="21" spans="1:29" ht="15">
      <c r="A21" s="531"/>
      <c r="B21" s="2616" t="s">
        <v>2553</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749"/>
      <c r="Q21" s="3480" t="str">
        <f>B21</f>
        <v>基础设施水平</v>
      </c>
      <c r="R21" s="1571" t="s">
        <v>8</v>
      </c>
      <c r="S21" s="1572">
        <f>F21</f>
        <v>100</v>
      </c>
      <c r="T21" s="1571" t="s">
        <v>8</v>
      </c>
      <c r="U21" s="1572">
        <f>H21</f>
        <v>100</v>
      </c>
      <c r="V21" s="1571" t="s">
        <v>8</v>
      </c>
      <c r="W21" s="1572">
        <f>J21</f>
        <v>100</v>
      </c>
      <c r="X21" s="3479"/>
      <c r="Y21" s="3749"/>
      <c r="Z21" s="3481" t="str">
        <f>Q21</f>
        <v>基础设施水平</v>
      </c>
      <c r="AA21" s="3482">
        <f t="shared" ref="AA21" si="8">D21/F21</f>
        <v>1</v>
      </c>
      <c r="AB21" s="3482">
        <f t="shared" ref="AB21" si="9">D21/H21</f>
        <v>1</v>
      </c>
      <c r="AC21" s="3482">
        <f t="shared" ref="AC21" si="10">D21/J21</f>
        <v>1</v>
      </c>
    </row>
    <row r="22" spans="1:29" ht="15">
      <c r="A22" s="531"/>
      <c r="B22" s="920"/>
      <c r="C22" s="872" t="s">
        <v>3291</v>
      </c>
      <c r="D22" s="554"/>
      <c r="E22" s="872" t="s">
        <v>3291</v>
      </c>
      <c r="F22" s="556"/>
      <c r="G22" s="872" t="s">
        <v>3291</v>
      </c>
      <c r="H22" s="554"/>
      <c r="I22" s="872" t="s">
        <v>3291</v>
      </c>
      <c r="J22" s="554"/>
      <c r="K22" s="2622"/>
      <c r="L22" s="2141"/>
      <c r="M22" s="2133"/>
      <c r="N22" s="2133"/>
      <c r="O22" s="2140"/>
      <c r="P22" s="3749"/>
      <c r="Q22" s="3480"/>
      <c r="R22" s="1571"/>
      <c r="S22" s="1572"/>
      <c r="T22" s="1571"/>
      <c r="U22" s="1572"/>
      <c r="V22" s="1571"/>
      <c r="W22" s="1572"/>
      <c r="X22" s="3479"/>
      <c r="Y22" s="3749"/>
      <c r="Z22" s="3481"/>
      <c r="AA22" s="3482">
        <v>1</v>
      </c>
      <c r="AB22" s="3482">
        <v>1</v>
      </c>
      <c r="AC22" s="3482">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v>3</v>
      </c>
      <c r="L23" s="2141"/>
      <c r="M23" s="2133"/>
      <c r="N23" s="2133"/>
      <c r="O23" s="2140"/>
      <c r="P23" s="3749"/>
      <c r="Q23" s="3480" t="str">
        <f>B23</f>
        <v>自然及人文环境</v>
      </c>
      <c r="R23" s="1571" t="s">
        <v>8</v>
      </c>
      <c r="S23" s="1572">
        <f>F23</f>
        <v>100</v>
      </c>
      <c r="T23" s="1571" t="s">
        <v>8</v>
      </c>
      <c r="U23" s="1572">
        <f>H23</f>
        <v>100</v>
      </c>
      <c r="V23" s="1571" t="s">
        <v>8</v>
      </c>
      <c r="W23" s="1572">
        <f>J23</f>
        <v>100</v>
      </c>
      <c r="X23" s="3479"/>
      <c r="Y23" s="3749"/>
      <c r="Z23" s="3481" t="str">
        <f>Q23</f>
        <v>自然及人文环境</v>
      </c>
      <c r="AA23" s="3482">
        <f t="shared" si="3"/>
        <v>1</v>
      </c>
      <c r="AB23" s="3482">
        <f t="shared" si="4"/>
        <v>1</v>
      </c>
      <c r="AC23" s="3482">
        <f t="shared" si="5"/>
        <v>1</v>
      </c>
    </row>
    <row r="24" spans="1:29" ht="15">
      <c r="A24" s="531"/>
      <c r="B24" s="594"/>
      <c r="C24" s="557" t="s">
        <v>3262</v>
      </c>
      <c r="D24" s="554"/>
      <c r="E24" s="557" t="s">
        <v>3262</v>
      </c>
      <c r="F24" s="556"/>
      <c r="G24" s="557" t="s">
        <v>3262</v>
      </c>
      <c r="H24" s="554"/>
      <c r="I24" s="557" t="s">
        <v>3262</v>
      </c>
      <c r="J24" s="554"/>
      <c r="K24" s="869"/>
      <c r="L24" s="2141"/>
      <c r="M24" s="2133"/>
      <c r="N24" s="2133"/>
      <c r="O24" s="2140"/>
      <c r="P24" s="3749"/>
      <c r="Q24" s="3480"/>
      <c r="R24" s="1571"/>
      <c r="S24" s="1572"/>
      <c r="T24" s="1571"/>
      <c r="U24" s="1572"/>
      <c r="V24" s="1571"/>
      <c r="W24" s="1572"/>
      <c r="X24" s="3479"/>
      <c r="Y24" s="3749"/>
      <c r="Z24" s="3481"/>
      <c r="AA24" s="3482">
        <v>1</v>
      </c>
      <c r="AB24" s="3482">
        <v>1</v>
      </c>
      <c r="AC24" s="3482">
        <v>1</v>
      </c>
    </row>
    <row r="25" spans="1:29" ht="15" hidden="1">
      <c r="A25" s="531"/>
      <c r="B25" s="1894" t="s">
        <v>2260</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49"/>
      <c r="Q25" s="3480" t="str">
        <f t="shared" ref="Q25:Q46" si="11">B25</f>
        <v>楼层-1</v>
      </c>
      <c r="R25" s="1571" t="s">
        <v>8</v>
      </c>
      <c r="S25" s="1572">
        <f>F25</f>
        <v>100</v>
      </c>
      <c r="T25" s="1571" t="s">
        <v>8</v>
      </c>
      <c r="U25" s="1572">
        <f>H25</f>
        <v>100</v>
      </c>
      <c r="V25" s="1571" t="s">
        <v>8</v>
      </c>
      <c r="W25" s="1572">
        <f>J25</f>
        <v>100</v>
      </c>
      <c r="X25" s="3479"/>
      <c r="Y25" s="3749"/>
      <c r="Z25" s="3481" t="str">
        <f>Q25</f>
        <v>楼层-1</v>
      </c>
      <c r="AA25" s="3482">
        <f t="shared" si="3"/>
        <v>1</v>
      </c>
      <c r="AB25" s="3482">
        <f t="shared" si="4"/>
        <v>1</v>
      </c>
      <c r="AC25" s="3482">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49"/>
      <c r="Q26" s="3480" t="str">
        <f t="shared" si="11"/>
        <v>朝向</v>
      </c>
      <c r="R26" s="1571" t="s">
        <v>8</v>
      </c>
      <c r="S26" s="1572">
        <f>F26</f>
        <v>100</v>
      </c>
      <c r="T26" s="1571" t="s">
        <v>8</v>
      </c>
      <c r="U26" s="1572">
        <f>H26</f>
        <v>100</v>
      </c>
      <c r="V26" s="1571" t="s">
        <v>8</v>
      </c>
      <c r="W26" s="1572">
        <f>J26</f>
        <v>100</v>
      </c>
      <c r="X26" s="3479"/>
      <c r="Y26" s="3749"/>
      <c r="Z26" s="3481" t="str">
        <f>Q26</f>
        <v>朝向</v>
      </c>
      <c r="AA26" s="3482">
        <f t="shared" si="3"/>
        <v>1</v>
      </c>
      <c r="AB26" s="3482">
        <f t="shared" si="4"/>
        <v>1</v>
      </c>
      <c r="AC26" s="3482">
        <f t="shared" si="5"/>
        <v>1</v>
      </c>
    </row>
    <row r="27" spans="1:29" s="1218" customFormat="1" ht="15.75" thickBot="1">
      <c r="A27" s="535"/>
      <c r="B27" s="536" t="s">
        <v>725</v>
      </c>
      <c r="C27" s="3552" t="s">
        <v>3358</v>
      </c>
      <c r="D27" s="874">
        <v>100</v>
      </c>
      <c r="E27" s="3552" t="s">
        <v>3358</v>
      </c>
      <c r="F27" s="875">
        <f>SUMIF(90:90,E27,91:91)-SUMIF(90:90,C27,91:91)+100</f>
        <v>100</v>
      </c>
      <c r="G27" s="3552" t="s">
        <v>3358</v>
      </c>
      <c r="H27" s="874">
        <f>SUMIF(90:90,G27,91:91)-SUMIF(90:90,C27,91:91)+100</f>
        <v>100</v>
      </c>
      <c r="I27" s="3552" t="s">
        <v>3358</v>
      </c>
      <c r="J27" s="874">
        <f>SUMIF(90:90,I27,91:91)-SUMIF(90:90,C27,91:91)+100</f>
        <v>100</v>
      </c>
      <c r="K27" s="864"/>
      <c r="L27" s="2134"/>
      <c r="M27" s="2135"/>
      <c r="N27" s="2135"/>
      <c r="O27" s="2136"/>
      <c r="P27" s="3749"/>
      <c r="Q27" s="3477" t="str">
        <f t="shared" si="11"/>
        <v>道路级别</v>
      </c>
      <c r="R27" s="1566" t="s">
        <v>8</v>
      </c>
      <c r="S27" s="1567">
        <f>F27</f>
        <v>100</v>
      </c>
      <c r="T27" s="1566" t="s">
        <v>8</v>
      </c>
      <c r="U27" s="1567">
        <f>H27</f>
        <v>100</v>
      </c>
      <c r="V27" s="1566" t="s">
        <v>8</v>
      </c>
      <c r="W27" s="1567">
        <f>J27</f>
        <v>100</v>
      </c>
      <c r="X27" s="1568"/>
      <c r="Y27" s="3749"/>
      <c r="Z27" s="3476" t="str">
        <f>Q27</f>
        <v>道路级别</v>
      </c>
      <c r="AA27" s="3482">
        <f>D27/F27</f>
        <v>1</v>
      </c>
      <c r="AB27" s="3482">
        <f>D27/H27</f>
        <v>1</v>
      </c>
      <c r="AC27" s="3482">
        <f>D27/J27</f>
        <v>1</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49"/>
      <c r="Q28" s="3480">
        <f t="shared" si="11"/>
        <v>0</v>
      </c>
      <c r="R28" s="1571" t="s">
        <v>8</v>
      </c>
      <c r="S28" s="1572">
        <f t="shared" ref="S28:S46" si="12">F28</f>
        <v>100</v>
      </c>
      <c r="T28" s="1571" t="s">
        <v>8</v>
      </c>
      <c r="U28" s="1572">
        <f t="shared" ref="U28:U46" si="13">H28</f>
        <v>100</v>
      </c>
      <c r="V28" s="1571" t="s">
        <v>8</v>
      </c>
      <c r="W28" s="1572">
        <f t="shared" ref="W28:W46" si="14">J28</f>
        <v>100</v>
      </c>
      <c r="X28" s="3479"/>
      <c r="Y28" s="3749"/>
      <c r="Z28" s="3481">
        <f t="shared" ref="Z28:Z46" si="15">Q28</f>
        <v>0</v>
      </c>
      <c r="AA28" s="3482">
        <f t="shared" si="3"/>
        <v>1</v>
      </c>
      <c r="AB28" s="3482">
        <f t="shared" si="4"/>
        <v>1</v>
      </c>
      <c r="AC28" s="3482">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49"/>
      <c r="Q29" s="3480">
        <f t="shared" si="11"/>
        <v>0</v>
      </c>
      <c r="R29" s="1571" t="s">
        <v>8</v>
      </c>
      <c r="S29" s="1572">
        <f t="shared" si="12"/>
        <v>100</v>
      </c>
      <c r="T29" s="1571" t="s">
        <v>8</v>
      </c>
      <c r="U29" s="1572">
        <f t="shared" si="13"/>
        <v>100</v>
      </c>
      <c r="V29" s="1571" t="s">
        <v>8</v>
      </c>
      <c r="W29" s="1572">
        <f t="shared" si="14"/>
        <v>100</v>
      </c>
      <c r="X29" s="3479"/>
      <c r="Y29" s="3749"/>
      <c r="Z29" s="3481">
        <f t="shared" si="15"/>
        <v>0</v>
      </c>
      <c r="AA29" s="3482">
        <f t="shared" si="3"/>
        <v>1</v>
      </c>
      <c r="AB29" s="3482">
        <f t="shared" si="4"/>
        <v>1</v>
      </c>
      <c r="AC29" s="3482">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49"/>
      <c r="Q30" s="3480">
        <f t="shared" si="11"/>
        <v>0</v>
      </c>
      <c r="R30" s="1571" t="s">
        <v>8</v>
      </c>
      <c r="S30" s="1572">
        <f t="shared" si="12"/>
        <v>100</v>
      </c>
      <c r="T30" s="1571" t="s">
        <v>8</v>
      </c>
      <c r="U30" s="1572">
        <f t="shared" si="13"/>
        <v>100</v>
      </c>
      <c r="V30" s="1571" t="s">
        <v>8</v>
      </c>
      <c r="W30" s="1572">
        <f t="shared" si="14"/>
        <v>100</v>
      </c>
      <c r="X30" s="3479"/>
      <c r="Y30" s="3749"/>
      <c r="Z30" s="3481">
        <f t="shared" si="15"/>
        <v>0</v>
      </c>
      <c r="AA30" s="3482">
        <f t="shared" si="3"/>
        <v>1</v>
      </c>
      <c r="AB30" s="3482">
        <f t="shared" si="4"/>
        <v>1</v>
      </c>
      <c r="AC30" s="3482">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49"/>
      <c r="Q31" s="3480">
        <f t="shared" si="11"/>
        <v>0</v>
      </c>
      <c r="R31" s="1571" t="s">
        <v>8</v>
      </c>
      <c r="S31" s="1572">
        <f t="shared" si="12"/>
        <v>100</v>
      </c>
      <c r="T31" s="1571" t="s">
        <v>8</v>
      </c>
      <c r="U31" s="1572">
        <f t="shared" si="13"/>
        <v>100</v>
      </c>
      <c r="V31" s="1571" t="s">
        <v>8</v>
      </c>
      <c r="W31" s="1572">
        <f t="shared" si="14"/>
        <v>100</v>
      </c>
      <c r="X31" s="3479"/>
      <c r="Y31" s="3749"/>
      <c r="Z31" s="3481">
        <f t="shared" si="15"/>
        <v>0</v>
      </c>
      <c r="AA31" s="3482">
        <f t="shared" si="3"/>
        <v>1</v>
      </c>
      <c r="AB31" s="3482">
        <f t="shared" si="4"/>
        <v>1</v>
      </c>
      <c r="AC31" s="3482">
        <f t="shared" si="5"/>
        <v>1</v>
      </c>
    </row>
    <row r="32" spans="1:29" ht="15">
      <c r="A32" s="2931" t="s">
        <v>2761</v>
      </c>
      <c r="B32" s="171" t="s">
        <v>726</v>
      </c>
      <c r="C32" s="877" t="s">
        <v>3192</v>
      </c>
      <c r="D32" s="596">
        <v>100</v>
      </c>
      <c r="E32" s="877" t="s">
        <v>3192</v>
      </c>
      <c r="F32" s="574">
        <f>SUMIF(100:100,E32,101:101)-SUMIF(100:100,C32,101:101)+100</f>
        <v>100</v>
      </c>
      <c r="G32" s="877" t="s">
        <v>3192</v>
      </c>
      <c r="H32" s="596">
        <f>SUMIF(100:100,G32,101:101)-SUMIF(100:100,C32,101:101)+100</f>
        <v>100</v>
      </c>
      <c r="I32" s="877" t="s">
        <v>3192</v>
      </c>
      <c r="J32" s="539">
        <f>SUMIF(100:100,I32,101:101)-SUMIF(100:100,C32,101:101)+100</f>
        <v>100</v>
      </c>
      <c r="K32" s="863">
        <v>10</v>
      </c>
      <c r="L32" s="2141"/>
      <c r="M32" s="2133"/>
      <c r="N32" s="2133"/>
      <c r="O32" s="2140"/>
      <c r="P32" s="3750" t="s">
        <v>551</v>
      </c>
      <c r="Q32" s="3480" t="str">
        <f t="shared" si="11"/>
        <v>建筑类型</v>
      </c>
      <c r="R32" s="1571" t="s">
        <v>8</v>
      </c>
      <c r="S32" s="1572">
        <f t="shared" si="12"/>
        <v>100</v>
      </c>
      <c r="T32" s="1571" t="s">
        <v>8</v>
      </c>
      <c r="U32" s="1572">
        <f t="shared" si="13"/>
        <v>100</v>
      </c>
      <c r="V32" s="1571" t="s">
        <v>8</v>
      </c>
      <c r="W32" s="1572">
        <f t="shared" si="14"/>
        <v>100</v>
      </c>
      <c r="X32" s="3479"/>
      <c r="Y32" s="3751" t="s">
        <v>551</v>
      </c>
      <c r="Z32" s="3481" t="str">
        <f t="shared" si="15"/>
        <v>建筑类型</v>
      </c>
      <c r="AA32" s="3482">
        <f t="shared" si="3"/>
        <v>1</v>
      </c>
      <c r="AB32" s="3482">
        <f t="shared" si="4"/>
        <v>1</v>
      </c>
      <c r="AC32" s="3482">
        <f t="shared" si="5"/>
        <v>1</v>
      </c>
    </row>
    <row r="33" spans="1:29" s="1337" customFormat="1" ht="15">
      <c r="A33" s="602"/>
      <c r="B33" s="526" t="s">
        <v>727</v>
      </c>
      <c r="C33" s="878">
        <f>'[2]数据-基础表'!B3</f>
        <v>143650</v>
      </c>
      <c r="D33" s="254">
        <v>100</v>
      </c>
      <c r="E33" s="533">
        <v>350000</v>
      </c>
      <c r="F33" s="862">
        <f>LOOKUP(E33,103:103,104:104)-LOOKUP(C33,103:103,104:104)+100</f>
        <v>102</v>
      </c>
      <c r="G33" s="532">
        <v>750000</v>
      </c>
      <c r="H33" s="254">
        <f>LOOKUP(G33,103:103,104:104)-LOOKUP(C33,103:103,104:104)+100</f>
        <v>104</v>
      </c>
      <c r="I33" s="533">
        <v>460000</v>
      </c>
      <c r="J33" s="254">
        <f>LOOKUP(I33,103:103,104:104)-LOOKUP(C33,103:103,104:104)+100</f>
        <v>103</v>
      </c>
      <c r="K33" s="864"/>
      <c r="L33" s="2139"/>
      <c r="M33" s="2170"/>
      <c r="N33" s="2170"/>
      <c r="O33" s="2142"/>
      <c r="P33" s="3751"/>
      <c r="Q33" s="1603" t="str">
        <f t="shared" si="11"/>
        <v>项目建筑规模</v>
      </c>
      <c r="R33" s="1575" t="s">
        <v>8</v>
      </c>
      <c r="S33" s="1576">
        <f t="shared" si="12"/>
        <v>102</v>
      </c>
      <c r="T33" s="1575" t="s">
        <v>8</v>
      </c>
      <c r="U33" s="1576">
        <f t="shared" si="13"/>
        <v>104</v>
      </c>
      <c r="V33" s="1575" t="s">
        <v>8</v>
      </c>
      <c r="W33" s="1576">
        <f t="shared" si="14"/>
        <v>103</v>
      </c>
      <c r="X33" s="1577"/>
      <c r="Y33" s="3751"/>
      <c r="Z33" s="1578" t="str">
        <f t="shared" si="15"/>
        <v>项目建筑规模</v>
      </c>
      <c r="AA33" s="3482">
        <f t="shared" si="3"/>
        <v>0.98039215686274506</v>
      </c>
      <c r="AB33" s="3482">
        <f t="shared" si="4"/>
        <v>0.96153846153846156</v>
      </c>
      <c r="AC33" s="3482">
        <f t="shared" si="5"/>
        <v>0.970873786407767</v>
      </c>
    </row>
    <row r="34" spans="1:29" ht="15">
      <c r="A34" s="593"/>
      <c r="B34" s="526" t="s">
        <v>728</v>
      </c>
      <c r="C34" s="879" t="s">
        <v>3315</v>
      </c>
      <c r="D34" s="539">
        <v>100</v>
      </c>
      <c r="E34" s="879" t="s">
        <v>3315</v>
      </c>
      <c r="F34" s="574">
        <f>SUMIF(105:105,E34,106:106)-SUMIF(105:105,C34,106:106)+100</f>
        <v>100</v>
      </c>
      <c r="G34" s="879" t="s">
        <v>3315</v>
      </c>
      <c r="H34" s="539">
        <f>SUMIF(105:105,G34,106:106)-SUMIF(105:105,C34,106:106)+100</f>
        <v>100</v>
      </c>
      <c r="I34" s="879" t="s">
        <v>3315</v>
      </c>
      <c r="J34" s="539">
        <f>SUMIF(105:105,I34,106:106)-SUMIF(105:105,C34,106:106)+100</f>
        <v>100</v>
      </c>
      <c r="K34" s="863">
        <v>2</v>
      </c>
      <c r="L34" s="2141"/>
      <c r="M34" s="2133"/>
      <c r="N34" s="2133"/>
      <c r="O34" s="2140"/>
      <c r="P34" s="3751"/>
      <c r="Q34" s="3480" t="str">
        <f t="shared" si="11"/>
        <v>建筑结构</v>
      </c>
      <c r="R34" s="1571" t="s">
        <v>8</v>
      </c>
      <c r="S34" s="1572">
        <f t="shared" si="12"/>
        <v>100</v>
      </c>
      <c r="T34" s="1571" t="s">
        <v>8</v>
      </c>
      <c r="U34" s="1572">
        <f t="shared" si="13"/>
        <v>100</v>
      </c>
      <c r="V34" s="1571" t="s">
        <v>8</v>
      </c>
      <c r="W34" s="1572">
        <f t="shared" si="14"/>
        <v>100</v>
      </c>
      <c r="X34" s="3479"/>
      <c r="Y34" s="3751"/>
      <c r="Z34" s="3481" t="str">
        <f t="shared" si="15"/>
        <v>建筑结构</v>
      </c>
      <c r="AA34" s="3482">
        <f t="shared" si="3"/>
        <v>1</v>
      </c>
      <c r="AB34" s="3482">
        <f t="shared" si="4"/>
        <v>1</v>
      </c>
      <c r="AC34" s="3482">
        <f t="shared" si="5"/>
        <v>1</v>
      </c>
    </row>
    <row r="35" spans="1:29" ht="15">
      <c r="A35" s="593"/>
      <c r="B35" s="526" t="s">
        <v>729</v>
      </c>
      <c r="C35" s="598" t="s">
        <v>3316</v>
      </c>
      <c r="D35" s="539">
        <v>100</v>
      </c>
      <c r="E35" s="598" t="s">
        <v>3316</v>
      </c>
      <c r="F35" s="574">
        <f>SUMIF(107:107,E35,108:108)-SUMIF(107:107,C35,108:108)+100</f>
        <v>100</v>
      </c>
      <c r="G35" s="598" t="s">
        <v>3316</v>
      </c>
      <c r="H35" s="539">
        <f>SUMIF(107:107,G35,108:108)-SUMIF(107:107,C35,108:108)+100</f>
        <v>100</v>
      </c>
      <c r="I35" s="598" t="s">
        <v>3316</v>
      </c>
      <c r="J35" s="539">
        <f>SUMIF(107:107,I35,108:108)-SUMIF(107:107,C35,108:108)+100</f>
        <v>100</v>
      </c>
      <c r="K35" s="863">
        <v>5</v>
      </c>
      <c r="L35" s="2141"/>
      <c r="M35" s="2133"/>
      <c r="N35" s="2133"/>
      <c r="O35" s="2140"/>
      <c r="P35" s="3751"/>
      <c r="Q35" s="3480" t="str">
        <f t="shared" si="11"/>
        <v>建筑品质</v>
      </c>
      <c r="R35" s="1571" t="s">
        <v>8</v>
      </c>
      <c r="S35" s="1572">
        <f t="shared" si="12"/>
        <v>100</v>
      </c>
      <c r="T35" s="1571" t="s">
        <v>8</v>
      </c>
      <c r="U35" s="1572">
        <f t="shared" si="13"/>
        <v>100</v>
      </c>
      <c r="V35" s="1571" t="s">
        <v>8</v>
      </c>
      <c r="W35" s="1572">
        <f t="shared" si="14"/>
        <v>100</v>
      </c>
      <c r="X35" s="3479"/>
      <c r="Y35" s="3751"/>
      <c r="Z35" s="3481" t="str">
        <f t="shared" si="15"/>
        <v>建筑品质</v>
      </c>
      <c r="AA35" s="3482">
        <f t="shared" si="3"/>
        <v>1</v>
      </c>
      <c r="AB35" s="3482">
        <f t="shared" si="4"/>
        <v>1</v>
      </c>
      <c r="AC35" s="3482">
        <f t="shared" si="5"/>
        <v>1</v>
      </c>
    </row>
    <row r="36" spans="1:29" ht="15">
      <c r="A36" s="593"/>
      <c r="B36" s="526" t="s">
        <v>730</v>
      </c>
      <c r="C36" s="598" t="s">
        <v>3317</v>
      </c>
      <c r="D36" s="539">
        <v>100</v>
      </c>
      <c r="E36" s="598" t="s">
        <v>3317</v>
      </c>
      <c r="F36" s="574">
        <f>SUMIF(109:109,E36,110:110)-SUMIF(109:109,C36,110:110)+100</f>
        <v>100</v>
      </c>
      <c r="G36" s="598" t="s">
        <v>3317</v>
      </c>
      <c r="H36" s="539">
        <f>SUMIF(109:109,G36,110:110)-SUMIF(109:109,C36,110:110)+100</f>
        <v>100</v>
      </c>
      <c r="I36" s="598" t="s">
        <v>3317</v>
      </c>
      <c r="J36" s="539">
        <f>SUMIF(109:109,I36,110:110)-SUMIF(109:109,C36,110:110)+100</f>
        <v>100</v>
      </c>
      <c r="K36" s="863">
        <v>2</v>
      </c>
      <c r="L36" s="2141"/>
      <c r="M36" s="2133"/>
      <c r="N36" s="2133"/>
      <c r="O36" s="2140"/>
      <c r="P36" s="3751"/>
      <c r="Q36" s="3480" t="str">
        <f t="shared" si="11"/>
        <v>公共部分装修</v>
      </c>
      <c r="R36" s="1571" t="s">
        <v>8</v>
      </c>
      <c r="S36" s="1572">
        <f t="shared" si="12"/>
        <v>100</v>
      </c>
      <c r="T36" s="1571" t="s">
        <v>8</v>
      </c>
      <c r="U36" s="1572">
        <f t="shared" si="13"/>
        <v>100</v>
      </c>
      <c r="V36" s="1571" t="s">
        <v>8</v>
      </c>
      <c r="W36" s="1572">
        <f t="shared" si="14"/>
        <v>100</v>
      </c>
      <c r="X36" s="3479"/>
      <c r="Y36" s="3751"/>
      <c r="Z36" s="3481" t="str">
        <f t="shared" si="15"/>
        <v>公共部分装修</v>
      </c>
      <c r="AA36" s="3482">
        <f t="shared" si="3"/>
        <v>1</v>
      </c>
      <c r="AB36" s="3482">
        <f t="shared" si="4"/>
        <v>1</v>
      </c>
      <c r="AC36" s="3482">
        <f t="shared" si="5"/>
        <v>1</v>
      </c>
    </row>
    <row r="37" spans="1:29" s="1218" customFormat="1" ht="15">
      <c r="A37" s="599"/>
      <c r="B37" s="526" t="s">
        <v>731</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751"/>
      <c r="Q37" s="3477" t="str">
        <f t="shared" si="11"/>
        <v>成新度</v>
      </c>
      <c r="R37" s="1566" t="s">
        <v>8</v>
      </c>
      <c r="S37" s="1567">
        <f t="shared" si="12"/>
        <v>100</v>
      </c>
      <c r="T37" s="1566" t="s">
        <v>8</v>
      </c>
      <c r="U37" s="1567">
        <f t="shared" si="13"/>
        <v>100</v>
      </c>
      <c r="V37" s="1566" t="s">
        <v>8</v>
      </c>
      <c r="W37" s="1567">
        <f t="shared" si="14"/>
        <v>100</v>
      </c>
      <c r="X37" s="1568"/>
      <c r="Y37" s="3751"/>
      <c r="Z37" s="3476" t="str">
        <f t="shared" si="15"/>
        <v>成新度</v>
      </c>
      <c r="AA37" s="1569">
        <f t="shared" si="3"/>
        <v>1</v>
      </c>
      <c r="AB37" s="1569">
        <f t="shared" si="4"/>
        <v>1</v>
      </c>
      <c r="AC37" s="1569">
        <f t="shared" si="5"/>
        <v>1</v>
      </c>
    </row>
    <row r="38" spans="1:29" ht="15">
      <c r="A38" s="593"/>
      <c r="B38" s="526" t="s">
        <v>732</v>
      </c>
      <c r="C38" s="598" t="s">
        <v>3318</v>
      </c>
      <c r="D38" s="539">
        <v>100</v>
      </c>
      <c r="E38" s="598" t="s">
        <v>3318</v>
      </c>
      <c r="F38" s="574">
        <f>SUMIF(114:114,E38,115:115)-SUMIF(114:114,C38,115:115)+100</f>
        <v>100</v>
      </c>
      <c r="G38" s="598" t="s">
        <v>3318</v>
      </c>
      <c r="H38" s="539">
        <f>SUMIF(114:114,G38,115:115)-SUMIF(114:114,C38,115:115)+100</f>
        <v>100</v>
      </c>
      <c r="I38" s="598" t="s">
        <v>3318</v>
      </c>
      <c r="J38" s="539">
        <f>SUMIF(114:114,I38,115:115)-SUMIF(114:114,C38,115:115)+100</f>
        <v>100</v>
      </c>
      <c r="K38" s="863">
        <v>3</v>
      </c>
      <c r="L38" s="2141"/>
      <c r="M38" s="2133"/>
      <c r="N38" s="2133"/>
      <c r="O38" s="2140"/>
      <c r="P38" s="3751" t="s">
        <v>551</v>
      </c>
      <c r="Q38" s="3480" t="str">
        <f t="shared" si="11"/>
        <v>物业管理</v>
      </c>
      <c r="R38" s="1571" t="s">
        <v>8</v>
      </c>
      <c r="S38" s="1572">
        <f t="shared" si="12"/>
        <v>100</v>
      </c>
      <c r="T38" s="1571" t="s">
        <v>8</v>
      </c>
      <c r="U38" s="1572">
        <f t="shared" si="13"/>
        <v>100</v>
      </c>
      <c r="V38" s="1571" t="s">
        <v>8</v>
      </c>
      <c r="W38" s="1572">
        <f t="shared" si="14"/>
        <v>100</v>
      </c>
      <c r="X38" s="3479"/>
      <c r="Y38" s="3751" t="s">
        <v>551</v>
      </c>
      <c r="Z38" s="3481" t="str">
        <f t="shared" si="15"/>
        <v>物业管理</v>
      </c>
      <c r="AA38" s="3482">
        <f t="shared" si="3"/>
        <v>1</v>
      </c>
      <c r="AB38" s="3482">
        <f t="shared" si="4"/>
        <v>1</v>
      </c>
      <c r="AC38" s="3482">
        <f t="shared" si="5"/>
        <v>1</v>
      </c>
    </row>
    <row r="39" spans="1:29" ht="15">
      <c r="A39" s="593"/>
      <c r="B39" s="1894" t="s">
        <v>2570</v>
      </c>
      <c r="C39" s="598" t="s">
        <v>3291</v>
      </c>
      <c r="D39" s="539">
        <v>100</v>
      </c>
      <c r="E39" s="598" t="s">
        <v>3291</v>
      </c>
      <c r="F39" s="574">
        <f>SUMIF(116:116,E39,117:117)-SUMIF(116:116,C39,117:117)+100</f>
        <v>100</v>
      </c>
      <c r="G39" s="598" t="s">
        <v>3291</v>
      </c>
      <c r="H39" s="539">
        <f>SUMIF(116:116,G39,117:117)-SUMIF(116:116,C39,117:117)+100</f>
        <v>100</v>
      </c>
      <c r="I39" s="598" t="s">
        <v>3291</v>
      </c>
      <c r="J39" s="539">
        <f>SUMIF(116:116,I39,117:117)-SUMIF(116:116,C39,117:117)+100</f>
        <v>100</v>
      </c>
      <c r="K39" s="863">
        <v>2</v>
      </c>
      <c r="L39" s="2141"/>
      <c r="M39" s="2133"/>
      <c r="N39" s="2133"/>
      <c r="O39" s="2140"/>
      <c r="P39" s="3751"/>
      <c r="Q39" s="3480" t="str">
        <f t="shared" si="11"/>
        <v>市政基础设施</v>
      </c>
      <c r="R39" s="1571" t="s">
        <v>8</v>
      </c>
      <c r="S39" s="1572">
        <f t="shared" si="12"/>
        <v>100</v>
      </c>
      <c r="T39" s="1571" t="s">
        <v>8</v>
      </c>
      <c r="U39" s="1572">
        <f t="shared" si="13"/>
        <v>100</v>
      </c>
      <c r="V39" s="1571" t="s">
        <v>8</v>
      </c>
      <c r="W39" s="1572">
        <f t="shared" si="14"/>
        <v>100</v>
      </c>
      <c r="X39" s="3479"/>
      <c r="Y39" s="3751"/>
      <c r="Z39" s="3481" t="str">
        <f t="shared" si="15"/>
        <v>市政基础设施</v>
      </c>
      <c r="AA39" s="3482">
        <f t="shared" si="3"/>
        <v>1</v>
      </c>
      <c r="AB39" s="3482">
        <f t="shared" si="4"/>
        <v>1</v>
      </c>
      <c r="AC39" s="3482">
        <f t="shared" si="5"/>
        <v>1</v>
      </c>
    </row>
    <row r="40" spans="1:29" ht="15">
      <c r="A40" s="593"/>
      <c r="B40" s="526" t="s">
        <v>733</v>
      </c>
      <c r="C40" s="598" t="s">
        <v>3319</v>
      </c>
      <c r="D40" s="539">
        <v>100</v>
      </c>
      <c r="E40" s="598" t="s">
        <v>3319</v>
      </c>
      <c r="F40" s="574">
        <f>SUMIF(118:118,E40,119:119)-SUMIF(118:118,C40,119:119)+100</f>
        <v>100</v>
      </c>
      <c r="G40" s="598" t="s">
        <v>3319</v>
      </c>
      <c r="H40" s="539">
        <f>SUMIF(118:118,G40,119:119)-SUMIF(118:118,C40,119:119)+100</f>
        <v>100</v>
      </c>
      <c r="I40" s="598" t="s">
        <v>3319</v>
      </c>
      <c r="J40" s="539">
        <f>SUMIF(118:118,I40,119:119)-SUMIF(118:118,C40,119:119)+100</f>
        <v>100</v>
      </c>
      <c r="K40" s="863">
        <v>5</v>
      </c>
      <c r="L40" s="2141"/>
      <c r="M40" s="2133"/>
      <c r="N40" s="2133"/>
      <c r="O40" s="2140"/>
      <c r="P40" s="3751"/>
      <c r="Q40" s="3480" t="str">
        <f t="shared" si="11"/>
        <v>房型</v>
      </c>
      <c r="R40" s="1571" t="s">
        <v>8</v>
      </c>
      <c r="S40" s="1572">
        <f t="shared" si="12"/>
        <v>100</v>
      </c>
      <c r="T40" s="1571" t="s">
        <v>8</v>
      </c>
      <c r="U40" s="1572">
        <f t="shared" si="13"/>
        <v>100</v>
      </c>
      <c r="V40" s="1571" t="s">
        <v>8</v>
      </c>
      <c r="W40" s="1572">
        <f t="shared" si="14"/>
        <v>100</v>
      </c>
      <c r="X40" s="3479"/>
      <c r="Y40" s="3751"/>
      <c r="Z40" s="3481" t="str">
        <f t="shared" si="15"/>
        <v>房型</v>
      </c>
      <c r="AA40" s="3482">
        <f t="shared" si="3"/>
        <v>1</v>
      </c>
      <c r="AB40" s="3482">
        <f t="shared" si="4"/>
        <v>1</v>
      </c>
      <c r="AC40" s="3482">
        <f t="shared" si="5"/>
        <v>1</v>
      </c>
    </row>
    <row r="41" spans="1:29" s="1337" customFormat="1" ht="28.5">
      <c r="A41" s="602"/>
      <c r="B41" s="526" t="s">
        <v>734</v>
      </c>
      <c r="C41" s="878" t="s">
        <v>3361</v>
      </c>
      <c r="D41" s="254">
        <v>100</v>
      </c>
      <c r="E41" s="533" t="s">
        <v>3361</v>
      </c>
      <c r="F41" s="862">
        <f>SUMIF(120:120,E41,121:121)-SUMIF(120:120,C41,121:121)+100</f>
        <v>100</v>
      </c>
      <c r="G41" s="532">
        <v>71</v>
      </c>
      <c r="H41" s="254">
        <f>SUMIF(120:120,G41,121:121)-SUMIF(120:120,C41,121:121)+100</f>
        <v>100</v>
      </c>
      <c r="I41" s="585">
        <v>190</v>
      </c>
      <c r="J41" s="539">
        <f>SUMIF(120:120,I41,121:121)-SUMIF(120:120,C41,121:121)+100</f>
        <v>100</v>
      </c>
      <c r="K41" s="864"/>
      <c r="L41" s="2139"/>
      <c r="M41" s="2170"/>
      <c r="N41" s="2170"/>
      <c r="O41" s="2142"/>
      <c r="P41" s="3751"/>
      <c r="Q41" s="1603" t="str">
        <f t="shared" si="11"/>
        <v>单套/主力户型建筑面积</v>
      </c>
      <c r="R41" s="1575" t="s">
        <v>8</v>
      </c>
      <c r="S41" s="1576">
        <f t="shared" si="12"/>
        <v>100</v>
      </c>
      <c r="T41" s="1575" t="s">
        <v>8</v>
      </c>
      <c r="U41" s="1576">
        <f t="shared" si="13"/>
        <v>100</v>
      </c>
      <c r="V41" s="1575" t="s">
        <v>8</v>
      </c>
      <c r="W41" s="1576">
        <f t="shared" si="14"/>
        <v>100</v>
      </c>
      <c r="X41" s="1577"/>
      <c r="Y41" s="3751"/>
      <c r="Z41" s="1578" t="str">
        <f t="shared" si="15"/>
        <v>单套/主力户型建筑面积</v>
      </c>
      <c r="AA41" s="3482">
        <f t="shared" si="3"/>
        <v>1</v>
      </c>
      <c r="AB41" s="3482">
        <f t="shared" si="4"/>
        <v>1</v>
      </c>
      <c r="AC41" s="3482">
        <f t="shared" si="5"/>
        <v>1</v>
      </c>
    </row>
    <row r="42" spans="1:29" ht="15">
      <c r="A42" s="593"/>
      <c r="B42" s="526" t="s">
        <v>735</v>
      </c>
      <c r="C42" s="598" t="s">
        <v>3320</v>
      </c>
      <c r="D42" s="539">
        <v>100</v>
      </c>
      <c r="E42" s="598" t="s">
        <v>3320</v>
      </c>
      <c r="F42" s="574">
        <f>SUMIF(122:122,E42,123:123)-SUMIF(122:122,C42,123:123)+100</f>
        <v>100</v>
      </c>
      <c r="G42" s="598" t="s">
        <v>3320</v>
      </c>
      <c r="H42" s="539">
        <f>SUMIF(122:122,G42,123:123)-SUMIF(122:122,C42,123:123)+100</f>
        <v>100</v>
      </c>
      <c r="I42" s="598" t="s">
        <v>3320</v>
      </c>
      <c r="J42" s="539">
        <f>SUMIF(122:122,I42,123:123)-SUMIF(122:122,C42,123:123)+100</f>
        <v>100</v>
      </c>
      <c r="K42" s="863">
        <v>2</v>
      </c>
      <c r="L42" s="2141"/>
      <c r="M42" s="2133"/>
      <c r="N42" s="2133"/>
      <c r="O42" s="2140"/>
      <c r="P42" s="3751"/>
      <c r="Q42" s="3480" t="str">
        <f t="shared" si="11"/>
        <v>内部装修</v>
      </c>
      <c r="R42" s="1571" t="s">
        <v>8</v>
      </c>
      <c r="S42" s="1572">
        <f t="shared" si="12"/>
        <v>100</v>
      </c>
      <c r="T42" s="1571" t="s">
        <v>8</v>
      </c>
      <c r="U42" s="1572">
        <f t="shared" si="13"/>
        <v>100</v>
      </c>
      <c r="V42" s="1571" t="s">
        <v>8</v>
      </c>
      <c r="W42" s="1572">
        <f t="shared" si="14"/>
        <v>100</v>
      </c>
      <c r="X42" s="3479"/>
      <c r="Y42" s="3751"/>
      <c r="Z42" s="3481" t="str">
        <f t="shared" si="15"/>
        <v>内部装修</v>
      </c>
      <c r="AA42" s="3482">
        <f t="shared" si="3"/>
        <v>1</v>
      </c>
      <c r="AB42" s="3482">
        <f t="shared" si="4"/>
        <v>1</v>
      </c>
      <c r="AC42" s="3482">
        <f t="shared" si="5"/>
        <v>1</v>
      </c>
    </row>
    <row r="43" spans="1:29" ht="27">
      <c r="A43" s="593"/>
      <c r="B43" s="526" t="s">
        <v>736</v>
      </c>
      <c r="C43" s="598" t="s">
        <v>3262</v>
      </c>
      <c r="D43" s="539">
        <v>100</v>
      </c>
      <c r="E43" s="873" t="s">
        <v>3262</v>
      </c>
      <c r="F43" s="574">
        <f>SUMIF(124:124,E43,125:125)-SUMIF(124:124,C43,125:125)+100</f>
        <v>100</v>
      </c>
      <c r="G43" s="873" t="s">
        <v>3262</v>
      </c>
      <c r="H43" s="539">
        <f>SUMIF(124:124,G43,125:125)-SUMIF(124:124,C43,125:125)+100</f>
        <v>100</v>
      </c>
      <c r="I43" s="873" t="s">
        <v>3262</v>
      </c>
      <c r="J43" s="539">
        <f>SUMIF(124:124,I43,125:125)-SUMIF(124:124,C43,125:125)+100</f>
        <v>100</v>
      </c>
      <c r="K43" s="863">
        <v>0</v>
      </c>
      <c r="L43" s="2141"/>
      <c r="M43" s="2133"/>
      <c r="N43" s="2133"/>
      <c r="O43" s="2140"/>
      <c r="P43" s="3751"/>
      <c r="Q43" s="3480" t="str">
        <f t="shared" si="11"/>
        <v>内部装修维护情况</v>
      </c>
      <c r="R43" s="1571" t="s">
        <v>8</v>
      </c>
      <c r="S43" s="1572">
        <f t="shared" si="12"/>
        <v>100</v>
      </c>
      <c r="T43" s="1571" t="s">
        <v>8</v>
      </c>
      <c r="U43" s="1572">
        <f t="shared" si="13"/>
        <v>100</v>
      </c>
      <c r="V43" s="1571" t="s">
        <v>8</v>
      </c>
      <c r="W43" s="1572">
        <f t="shared" si="14"/>
        <v>100</v>
      </c>
      <c r="X43" s="3479"/>
      <c r="Y43" s="3751"/>
      <c r="Z43" s="3481" t="str">
        <f t="shared" si="15"/>
        <v>内部装修维护情况</v>
      </c>
      <c r="AA43" s="3482">
        <f t="shared" si="3"/>
        <v>1</v>
      </c>
      <c r="AB43" s="3482">
        <f t="shared" si="4"/>
        <v>1</v>
      </c>
      <c r="AC43" s="3482">
        <f t="shared" si="5"/>
        <v>1</v>
      </c>
    </row>
    <row r="44" spans="1:29" s="1218" customFormat="1" ht="15">
      <c r="A44" s="599"/>
      <c r="B44" s="3550" t="s">
        <v>3355</v>
      </c>
      <c r="C44" s="3553" t="s">
        <v>3321</v>
      </c>
      <c r="D44" s="254">
        <v>100</v>
      </c>
      <c r="E44" s="3553" t="s">
        <v>3322</v>
      </c>
      <c r="F44" s="862">
        <f>SUMIF(126:126,E44,127:127)-SUMIF(126:126,C44,127:127)+100</f>
        <v>95</v>
      </c>
      <c r="G44" s="3553" t="s">
        <v>3322</v>
      </c>
      <c r="H44" s="254">
        <f>SUMIF(126:126,G44,127:127)-SUMIF(126:126,C44,127:127)+100</f>
        <v>95</v>
      </c>
      <c r="I44" s="3553" t="s">
        <v>3322</v>
      </c>
      <c r="J44" s="254">
        <f>SUMIF(126:126,I44,127:127)-SUMIF(126:126,C44,127:127)+100</f>
        <v>95</v>
      </c>
      <c r="K44" s="864"/>
      <c r="L44" s="2134"/>
      <c r="M44" s="2135"/>
      <c r="N44" s="2135"/>
      <c r="O44" s="2136"/>
      <c r="P44" s="3751"/>
      <c r="Q44" s="3477" t="str">
        <f t="shared" si="11"/>
        <v>销售尾盘</v>
      </c>
      <c r="R44" s="1566" t="s">
        <v>8</v>
      </c>
      <c r="S44" s="1567">
        <f t="shared" si="12"/>
        <v>95</v>
      </c>
      <c r="T44" s="1566" t="s">
        <v>8</v>
      </c>
      <c r="U44" s="1567">
        <f t="shared" si="13"/>
        <v>95</v>
      </c>
      <c r="V44" s="1566" t="s">
        <v>8</v>
      </c>
      <c r="W44" s="1567">
        <f t="shared" si="14"/>
        <v>95</v>
      </c>
      <c r="X44" s="1568"/>
      <c r="Y44" s="3751"/>
      <c r="Z44" s="3476" t="str">
        <f t="shared" si="15"/>
        <v>销售尾盘</v>
      </c>
      <c r="AA44" s="1569">
        <f t="shared" si="3"/>
        <v>1.0526315789473684</v>
      </c>
      <c r="AB44" s="1569">
        <f t="shared" si="4"/>
        <v>1.0526315789473684</v>
      </c>
      <c r="AC44" s="1569">
        <f t="shared" si="5"/>
        <v>1.0526315789473684</v>
      </c>
    </row>
    <row r="45" spans="1:29" ht="15.75" thickBot="1">
      <c r="A45" s="593"/>
      <c r="B45" s="3550" t="s">
        <v>3356</v>
      </c>
      <c r="C45" s="3554" t="s">
        <v>3323</v>
      </c>
      <c r="D45" s="539">
        <v>100</v>
      </c>
      <c r="E45" s="3553" t="s">
        <v>3321</v>
      </c>
      <c r="F45" s="574">
        <f>SUMIF(128:128,E45,129:129)-SUMIF(128:128,C45,129:129)+100</f>
        <v>80</v>
      </c>
      <c r="G45" s="3554" t="s">
        <v>3321</v>
      </c>
      <c r="H45" s="539">
        <f>SUMIF(128:128,G45,129:129)-SUMIF(128:128,C45,129:129)+100</f>
        <v>80</v>
      </c>
      <c r="I45" s="3554" t="s">
        <v>3362</v>
      </c>
      <c r="J45" s="539">
        <f>SUMIF(128:128,I45,129:129)-SUMIF(128:128,C45,129:129)+100</f>
        <v>80</v>
      </c>
      <c r="K45" s="864"/>
      <c r="L45" s="2141"/>
      <c r="M45" s="2133"/>
      <c r="N45" s="2133"/>
      <c r="O45" s="2140"/>
      <c r="P45" s="3751"/>
      <c r="Q45" s="3480" t="str">
        <f t="shared" si="11"/>
        <v>景观</v>
      </c>
      <c r="R45" s="1571" t="s">
        <v>8</v>
      </c>
      <c r="S45" s="1572">
        <f t="shared" si="12"/>
        <v>80</v>
      </c>
      <c r="T45" s="1571" t="s">
        <v>8</v>
      </c>
      <c r="U45" s="1572">
        <f t="shared" si="13"/>
        <v>80</v>
      </c>
      <c r="V45" s="1571" t="s">
        <v>8</v>
      </c>
      <c r="W45" s="1572">
        <f t="shared" si="14"/>
        <v>80</v>
      </c>
      <c r="X45" s="3479"/>
      <c r="Y45" s="3751"/>
      <c r="Z45" s="3481" t="str">
        <f t="shared" si="15"/>
        <v>景观</v>
      </c>
      <c r="AA45" s="3482">
        <f t="shared" si="3"/>
        <v>1.25</v>
      </c>
      <c r="AB45" s="3482">
        <f t="shared" si="4"/>
        <v>1.25</v>
      </c>
      <c r="AC45" s="3482">
        <f t="shared" si="5"/>
        <v>1.25</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850"/>
      <c r="Q46" s="3480">
        <f t="shared" si="11"/>
        <v>0</v>
      </c>
      <c r="R46" s="1571" t="s">
        <v>8</v>
      </c>
      <c r="S46" s="1572">
        <f t="shared" si="12"/>
        <v>100</v>
      </c>
      <c r="T46" s="1571" t="s">
        <v>8</v>
      </c>
      <c r="U46" s="1572">
        <f t="shared" si="13"/>
        <v>100</v>
      </c>
      <c r="V46" s="1571" t="s">
        <v>8</v>
      </c>
      <c r="W46" s="1572">
        <f t="shared" si="14"/>
        <v>100</v>
      </c>
      <c r="X46" s="3479"/>
      <c r="Y46" s="3850"/>
      <c r="Z46" s="3481">
        <f t="shared" si="15"/>
        <v>0</v>
      </c>
      <c r="AA46" s="3482">
        <f t="shared" si="3"/>
        <v>1</v>
      </c>
      <c r="AB46" s="3482">
        <f t="shared" si="4"/>
        <v>1</v>
      </c>
      <c r="AC46" s="3482">
        <f t="shared" si="5"/>
        <v>1</v>
      </c>
    </row>
    <row r="47" spans="1:29" ht="15">
      <c r="A47" s="606" t="s">
        <v>737</v>
      </c>
      <c r="B47" s="885"/>
      <c r="C47" s="2650" t="s">
        <v>1</v>
      </c>
      <c r="D47" s="2651"/>
      <c r="E47" s="2652">
        <v>11000</v>
      </c>
      <c r="F47" s="2653"/>
      <c r="G47" s="2654">
        <v>12000</v>
      </c>
      <c r="H47" s="2655"/>
      <c r="I47" s="2652">
        <v>9500</v>
      </c>
      <c r="J47" s="2655"/>
      <c r="K47" s="1604"/>
      <c r="L47" s="2143"/>
      <c r="M47" s="2144"/>
      <c r="N47" s="2133"/>
      <c r="O47" s="2144"/>
      <c r="P47" s="3746" t="str">
        <f>A47</f>
        <v>成交单价（元/平方米）</v>
      </c>
      <c r="Q47" s="3746"/>
      <c r="R47" s="3849">
        <f>E47</f>
        <v>11000</v>
      </c>
      <c r="S47" s="3849"/>
      <c r="T47" s="3849">
        <f>G47</f>
        <v>12000</v>
      </c>
      <c r="U47" s="3849"/>
      <c r="V47" s="3849">
        <f>I47</f>
        <v>9500</v>
      </c>
      <c r="W47" s="3849"/>
      <c r="X47" s="1557"/>
      <c r="Y47" s="1579"/>
      <c r="Z47" s="1557"/>
      <c r="AA47" s="1557"/>
      <c r="AB47" s="1557"/>
      <c r="AC47" s="1557"/>
    </row>
    <row r="48" spans="1:29" ht="15.75" thickBot="1">
      <c r="A48" s="614" t="s">
        <v>2699</v>
      </c>
      <c r="B48" s="886"/>
      <c r="C48" s="2656">
        <f>R49</f>
        <v>12893</v>
      </c>
      <c r="D48" s="2657"/>
      <c r="E48" s="2658">
        <f>R48</f>
        <v>13506</v>
      </c>
      <c r="F48" s="2658"/>
      <c r="G48" s="2656">
        <f>T48</f>
        <v>13621</v>
      </c>
      <c r="H48" s="2657"/>
      <c r="I48" s="2658">
        <f>V48</f>
        <v>11551</v>
      </c>
      <c r="J48" s="2657"/>
      <c r="K48" s="1605"/>
      <c r="L48" s="2143"/>
      <c r="M48" s="2144"/>
      <c r="N48" s="2144"/>
      <c r="O48" s="2144"/>
      <c r="P48" s="3746" t="str">
        <f>A48</f>
        <v>比较价格（元/平方米）</v>
      </c>
      <c r="Q48" s="3746"/>
      <c r="R48" s="3849">
        <f>IF(F1="售价",ROUND(PRODUCT(R47,AA7:AA46),0),ROUND(PRODUCT(R47,AA7:AA46),1))</f>
        <v>13506</v>
      </c>
      <c r="S48" s="3849"/>
      <c r="T48" s="3849">
        <f>IF(F1="售价",ROUND(PRODUCT(T47,AB7:AB46),0),ROUND(PRODUCT(T47,AB7:AB46),1))</f>
        <v>13621</v>
      </c>
      <c r="U48" s="3849"/>
      <c r="V48" s="3849">
        <f>IF(F1="售价",ROUND(PRODUCT(V47,AC7:AC46),0),ROUND(PRODUCT(V47,AC7:AC46),1))</f>
        <v>11551</v>
      </c>
      <c r="W48" s="3849"/>
      <c r="X48" s="1557"/>
      <c r="Y48" s="1557"/>
      <c r="Z48" s="1557"/>
      <c r="AA48" s="1557"/>
      <c r="AB48" s="1557"/>
      <c r="AC48" s="1557"/>
    </row>
    <row r="49" spans="1:29" ht="15.75" thickBot="1">
      <c r="A49" s="620" t="s">
        <v>2933</v>
      </c>
      <c r="B49" s="621"/>
      <c r="C49" s="2659">
        <f>R49</f>
        <v>12893</v>
      </c>
      <c r="D49" s="2659"/>
      <c r="E49" s="2659"/>
      <c r="F49" s="2659"/>
      <c r="G49" s="2659"/>
      <c r="H49" s="2659"/>
      <c r="I49" s="2659"/>
      <c r="J49" s="2659"/>
      <c r="K49" s="1606"/>
      <c r="L49" s="2143"/>
      <c r="M49" s="2144"/>
      <c r="N49" s="2144"/>
      <c r="O49" s="2144"/>
      <c r="P49" s="3770" t="str">
        <f>A49</f>
        <v>估价对象XX用房的比较价格（楼面单价，元/平方米）</v>
      </c>
      <c r="Q49" s="3771"/>
      <c r="R49" s="3848">
        <f>IF(F1="售价",ROUND(AVERAGE(R48:V48),0),ROUND(AVERAGE(R48:V48),1))</f>
        <v>12893</v>
      </c>
      <c r="S49" s="3848"/>
      <c r="T49" s="3848"/>
      <c r="U49" s="3848"/>
      <c r="V49" s="3848"/>
      <c r="W49" s="384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f>IF(E47&lt;E48,E48/E47-1,E47/E48-1)</f>
        <v>0.22781818181818192</v>
      </c>
      <c r="F52" s="626" t="str">
        <f>IF(OR(E52&gt;=0.3,E52&lt;=-0.3),"超过30%","")</f>
        <v/>
      </c>
      <c r="G52" s="625">
        <f>IF(G47&lt;G48,G48/G47-1,G47/G48-1)</f>
        <v>0.13508333333333344</v>
      </c>
      <c r="H52" s="626" t="str">
        <f>IF(OR(G52&gt;=0.3,G52&lt;=-0.3),"超过30%","")</f>
        <v/>
      </c>
      <c r="I52" s="625">
        <f>IF(I47&lt;I48,I48/I47-1,I47/I48-1)</f>
        <v>0.21589473684210536</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f>IF(E48&lt;G48,G48/E48-1,E48/G48-1)</f>
        <v>8.5147341922109376E-3</v>
      </c>
      <c r="F53" s="626" t="str">
        <f>IF(OR(E53&gt;=0.2,E53&lt;=-0.2),"超过20%","")</f>
        <v/>
      </c>
      <c r="G53" s="625">
        <f>IF(G48&lt;I48,I48/G48-1,G48/I48-1)</f>
        <v>0.17920526361353994</v>
      </c>
      <c r="H53" s="626" t="str">
        <f>IF(OR(G53&gt;=0.2,G53&lt;=-0.2),"超过20%","")</f>
        <v/>
      </c>
      <c r="I53" s="625">
        <f>IF(I48&lt;E48,E48/I48-1,I48/E48-1)</f>
        <v>0.16924941563500995</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560</v>
      </c>
      <c r="D54" s="627"/>
      <c r="E54" s="625">
        <f>IF(E47&lt;G47,G47/E47-1,E47/G47-1)</f>
        <v>9.0909090909090828E-2</v>
      </c>
      <c r="F54" s="626" t="str">
        <f>IF(OR(E54&gt;=0.3,E54&lt;=-0.3),"超过30%","")</f>
        <v/>
      </c>
      <c r="G54" s="625">
        <f>IF(G47&lt;I47,I47/G47-1,G47/I47-1)</f>
        <v>0.26315789473684204</v>
      </c>
      <c r="H54" s="626" t="str">
        <f>IF(OR(G54&gt;=0.3,G54&lt;=-0.3),"超过30%","")</f>
        <v/>
      </c>
      <c r="I54" s="625">
        <f>IF(I47&lt;E47,E47/I47-1,I47/E47-1)</f>
        <v>0.15789473684210531</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575</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530</v>
      </c>
      <c r="B58" s="645"/>
      <c r="C58" s="2828" t="str">
        <f>YEAR(C7)&amp;"-"&amp;MONTH(C7)</f>
        <v>2018-3</v>
      </c>
      <c r="D58" s="2828">
        <f>EDATE(C58,-1)</f>
        <v>43132</v>
      </c>
      <c r="E58" s="2828">
        <f t="shared" ref="E58:O58" si="16">EDATE(D58,-1)</f>
        <v>43101</v>
      </c>
      <c r="F58" s="2828">
        <f t="shared" si="16"/>
        <v>43070</v>
      </c>
      <c r="G58" s="2828">
        <f t="shared" si="16"/>
        <v>43040</v>
      </c>
      <c r="H58" s="2828">
        <f t="shared" si="16"/>
        <v>43009</v>
      </c>
      <c r="I58" s="2828">
        <f t="shared" si="16"/>
        <v>42979</v>
      </c>
      <c r="J58" s="2828">
        <f t="shared" si="16"/>
        <v>42948</v>
      </c>
      <c r="K58" s="2828">
        <f t="shared" si="16"/>
        <v>42917</v>
      </c>
      <c r="L58" s="2828">
        <f t="shared" si="16"/>
        <v>42887</v>
      </c>
      <c r="M58" s="2828">
        <f t="shared" si="16"/>
        <v>42856</v>
      </c>
      <c r="N58" s="2828">
        <f t="shared" si="16"/>
        <v>42826</v>
      </c>
      <c r="O58" s="2828">
        <f t="shared" si="16"/>
        <v>42795</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578</v>
      </c>
      <c r="B63" s="664" t="s">
        <v>535</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1（含）-2</v>
      </c>
      <c r="D67" s="681" t="str">
        <f t="shared" ref="D67:L67" si="18">D68&amp;"（含）"&amp;"-"&amp;E68</f>
        <v>2（含）-3</v>
      </c>
      <c r="E67" s="681" t="str">
        <f t="shared" si="18"/>
        <v>3（含）-4</v>
      </c>
      <c r="F67" s="681" t="str">
        <f t="shared" si="18"/>
        <v>4（含）-5</v>
      </c>
      <c r="G67" s="681" t="str">
        <f t="shared" si="18"/>
        <v>5（含）-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1</v>
      </c>
      <c r="D68" s="540">
        <v>2</v>
      </c>
      <c r="E68" s="540">
        <v>3</v>
      </c>
      <c r="F68" s="540">
        <v>4</v>
      </c>
      <c r="G68" s="540">
        <v>5</v>
      </c>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97</v>
      </c>
      <c r="E79" s="678">
        <f>D79-$K17</f>
        <v>94</v>
      </c>
      <c r="F79" s="678">
        <f>E79-$K17</f>
        <v>91</v>
      </c>
      <c r="G79" s="678">
        <f>F79-$K17</f>
        <v>88</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2321</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2553</v>
      </c>
      <c r="C82" s="2621" t="s">
        <v>2565</v>
      </c>
      <c r="D82" s="2621" t="s">
        <v>2566</v>
      </c>
      <c r="E82" s="2621" t="s">
        <v>2567</v>
      </c>
      <c r="F82" s="2621" t="s">
        <v>2568</v>
      </c>
      <c r="G82" s="2621" t="s">
        <v>2569</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745</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97</v>
      </c>
      <c r="E85" s="678">
        <f>D85-$K23</f>
        <v>94</v>
      </c>
      <c r="F85" s="678">
        <f>E85-$K23</f>
        <v>91</v>
      </c>
      <c r="G85" s="678">
        <f>F85-$K23</f>
        <v>88</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2261</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747</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t="s">
        <v>3324</v>
      </c>
      <c r="D90" s="687" t="s">
        <v>3325</v>
      </c>
      <c r="E90" s="687" t="s">
        <v>3326</v>
      </c>
      <c r="F90" s="687" t="s">
        <v>3327</v>
      </c>
      <c r="G90" s="687" t="s">
        <v>3328</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99</v>
      </c>
      <c r="E91" s="691">
        <v>98</v>
      </c>
      <c r="F91" s="691">
        <v>97</v>
      </c>
      <c r="G91" s="691">
        <v>96</v>
      </c>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748</v>
      </c>
      <c r="C100" s="597" t="s">
        <v>3329</v>
      </c>
      <c r="D100" s="597" t="s">
        <v>3330</v>
      </c>
      <c r="E100" s="3536" t="s">
        <v>3331</v>
      </c>
      <c r="F100" s="3536" t="s">
        <v>3332</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749</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v>
      </c>
      <c r="E103" s="729">
        <v>200000</v>
      </c>
      <c r="F103" s="729">
        <v>300000</v>
      </c>
      <c r="G103" s="729">
        <v>400000</v>
      </c>
      <c r="H103" s="729">
        <v>500000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750</v>
      </c>
      <c r="C105" s="687" t="s">
        <v>3333</v>
      </c>
      <c r="D105" s="687" t="s">
        <v>3334</v>
      </c>
      <c r="E105" s="717" t="s">
        <v>3335</v>
      </c>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717" t="s">
        <v>3336</v>
      </c>
      <c r="D107" s="717" t="s">
        <v>3337</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687" t="s">
        <v>3338</v>
      </c>
      <c r="D109" s="687" t="s">
        <v>3339</v>
      </c>
      <c r="E109" s="687" t="s">
        <v>3340</v>
      </c>
      <c r="F109" s="717" t="s">
        <v>3341</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754</v>
      </c>
      <c r="C114" s="687" t="s">
        <v>3342</v>
      </c>
      <c r="D114" s="687" t="s">
        <v>3343</v>
      </c>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2562</v>
      </c>
      <c r="C116" s="687" t="s">
        <v>3344</v>
      </c>
      <c r="D116" s="687" t="s">
        <v>3345</v>
      </c>
      <c r="E116" s="687" t="s">
        <v>3346</v>
      </c>
      <c r="F116" s="687" t="s">
        <v>3347</v>
      </c>
      <c r="G116" s="687" t="s">
        <v>3348</v>
      </c>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755</v>
      </c>
      <c r="C118" s="717" t="s">
        <v>3349</v>
      </c>
      <c r="D118" s="717" t="s">
        <v>3350</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734</v>
      </c>
      <c r="C120" s="687" t="s">
        <v>3351</v>
      </c>
      <c r="D120" s="687" t="s">
        <v>3352</v>
      </c>
      <c r="E120" s="687" t="s">
        <v>3353</v>
      </c>
      <c r="F120" s="687" t="s">
        <v>3354</v>
      </c>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v>100</v>
      </c>
      <c r="D121" s="670">
        <v>100</v>
      </c>
      <c r="E121" s="670">
        <v>99</v>
      </c>
      <c r="F121" s="670">
        <v>100</v>
      </c>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756</v>
      </c>
      <c r="C122" s="687" t="s">
        <v>3338</v>
      </c>
      <c r="D122" s="687" t="s">
        <v>3339</v>
      </c>
      <c r="E122" s="687" t="s">
        <v>3340</v>
      </c>
      <c r="F122" s="717" t="s">
        <v>3341</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t="str">
        <f>B44</f>
        <v>销售尾盘</v>
      </c>
      <c r="C126" s="3537" t="s">
        <v>3321</v>
      </c>
      <c r="D126" s="3537" t="s">
        <v>3322</v>
      </c>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v>100</v>
      </c>
      <c r="D127" s="670">
        <v>95</v>
      </c>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t="str">
        <f>B45</f>
        <v>景观</v>
      </c>
      <c r="C128" s="3537" t="s">
        <v>3323</v>
      </c>
      <c r="D128" s="3537" t="s">
        <v>3321</v>
      </c>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v>100</v>
      </c>
      <c r="D129" s="691">
        <v>80</v>
      </c>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0</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2262</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2263</v>
      </c>
      <c r="C137" s="1918"/>
      <c r="D137" s="1918"/>
      <c r="E137" s="1918"/>
      <c r="F137" s="1918"/>
      <c r="G137" s="1919"/>
      <c r="H137" s="1920"/>
      <c r="I137" s="1921" t="s">
        <v>2264</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2265</v>
      </c>
      <c r="D138" s="1924" t="s">
        <v>2266</v>
      </c>
      <c r="E138" s="1925" t="s">
        <v>2267</v>
      </c>
      <c r="F138" s="1926" t="s">
        <v>2268</v>
      </c>
      <c r="G138" s="1924" t="s">
        <v>2266</v>
      </c>
      <c r="H138" s="1927" t="s">
        <v>2267</v>
      </c>
      <c r="I138" s="1928"/>
      <c r="J138" s="1924" t="s">
        <v>2271</v>
      </c>
      <c r="K138" s="1927" t="s">
        <v>2272</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2273</v>
      </c>
      <c r="E139" s="1898">
        <v>100</v>
      </c>
      <c r="F139" s="1899">
        <v>102.5</v>
      </c>
      <c r="G139" s="1929" t="s">
        <v>2273</v>
      </c>
      <c r="H139" s="1900">
        <v>105</v>
      </c>
      <c r="I139" s="1930" t="s">
        <v>2275</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2276</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2277</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2278</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2279</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2280</v>
      </c>
      <c r="E144" s="1904">
        <v>102</v>
      </c>
      <c r="F144" s="1910">
        <v>100</v>
      </c>
      <c r="G144" s="1933" t="s">
        <v>2280</v>
      </c>
      <c r="H144" s="1906">
        <v>105</v>
      </c>
      <c r="I144" s="1932" t="s">
        <v>2279</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2281</v>
      </c>
      <c r="C145" s="1911">
        <f>ROUND(MAX(C139:C144)/MIN(C139:C144)-1,3)</f>
        <v>7.2999999999999995E-2</v>
      </c>
      <c r="D145" s="1935"/>
      <c r="E145" s="1935"/>
      <c r="F145" s="1936" t="s">
        <v>2282</v>
      </c>
      <c r="G145" s="1937"/>
      <c r="H145" s="1938"/>
      <c r="I145" s="1939" t="s">
        <v>2279</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2291</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2292</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502" t="s">
        <v>758</v>
      </c>
      <c r="C1" s="503" t="s">
        <v>721</v>
      </c>
      <c r="D1" s="2369"/>
      <c r="E1" s="505"/>
      <c r="F1" s="2831"/>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520</v>
      </c>
      <c r="B3" s="509" t="e">
        <f>C49</f>
        <v>#DIV/0!</v>
      </c>
      <c r="C3" s="851" t="s">
        <v>723</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522</v>
      </c>
      <c r="B4" s="512"/>
      <c r="C4" s="3752" t="s">
        <v>523</v>
      </c>
      <c r="D4" s="3753"/>
      <c r="E4" s="3779" t="s">
        <v>524</v>
      </c>
      <c r="F4" s="3780"/>
      <c r="G4" s="3752" t="s">
        <v>525</v>
      </c>
      <c r="H4" s="3753"/>
      <c r="I4" s="3752" t="s">
        <v>526</v>
      </c>
      <c r="J4" s="3753"/>
      <c r="K4" s="513" t="s">
        <v>527</v>
      </c>
      <c r="L4" s="2132"/>
      <c r="M4" s="2133"/>
      <c r="N4" s="2133"/>
      <c r="O4" s="2133"/>
      <c r="P4" s="3754" t="s">
        <v>528</v>
      </c>
      <c r="Q4" s="3755"/>
      <c r="R4" s="3740" t="s">
        <v>524</v>
      </c>
      <c r="S4" s="3741"/>
      <c r="T4" s="3740" t="s">
        <v>525</v>
      </c>
      <c r="U4" s="3741"/>
      <c r="V4" s="3760" t="s">
        <v>526</v>
      </c>
      <c r="W4" s="3760"/>
      <c r="X4" s="1565"/>
      <c r="Y4" s="3740" t="s">
        <v>528</v>
      </c>
      <c r="Z4" s="3741"/>
      <c r="AA4" s="3735" t="s">
        <v>524</v>
      </c>
      <c r="AB4" s="3760" t="s">
        <v>525</v>
      </c>
      <c r="AC4" s="3735" t="s">
        <v>526</v>
      </c>
    </row>
    <row r="5" spans="1:29" ht="15">
      <c r="A5" s="514"/>
      <c r="B5" s="515"/>
      <c r="C5" s="3765" t="s">
        <v>2927</v>
      </c>
      <c r="D5" s="3764"/>
      <c r="E5" s="3781" t="s">
        <v>2928</v>
      </c>
      <c r="F5" s="3782"/>
      <c r="G5" s="3765" t="s">
        <v>2929</v>
      </c>
      <c r="H5" s="3764"/>
      <c r="I5" s="3765" t="s">
        <v>2930</v>
      </c>
      <c r="J5" s="3764"/>
      <c r="K5" s="513"/>
      <c r="L5" s="2132"/>
      <c r="M5" s="2133"/>
      <c r="N5" s="2133"/>
      <c r="O5" s="2133"/>
      <c r="P5" s="3756"/>
      <c r="Q5" s="3757"/>
      <c r="R5" s="3742"/>
      <c r="S5" s="3743"/>
      <c r="T5" s="3742"/>
      <c r="U5" s="3743"/>
      <c r="V5" s="3760"/>
      <c r="W5" s="3760"/>
      <c r="X5" s="1565"/>
      <c r="Y5" s="3742"/>
      <c r="Z5" s="3743"/>
      <c r="AA5" s="3736"/>
      <c r="AB5" s="3760"/>
      <c r="AC5" s="3736"/>
    </row>
    <row r="6" spans="1:29" ht="15.75" thickBot="1">
      <c r="A6" s="516"/>
      <c r="B6" s="517"/>
      <c r="C6" s="3783" t="s">
        <v>2931</v>
      </c>
      <c r="D6" s="3762"/>
      <c r="E6" s="3784" t="s">
        <v>2931</v>
      </c>
      <c r="F6" s="3785"/>
      <c r="G6" s="3783" t="s">
        <v>2931</v>
      </c>
      <c r="H6" s="3762"/>
      <c r="I6" s="3783" t="s">
        <v>2931</v>
      </c>
      <c r="J6" s="3762"/>
      <c r="K6" s="513" t="s">
        <v>529</v>
      </c>
      <c r="L6" s="2132"/>
      <c r="M6" s="2133"/>
      <c r="N6" s="2133"/>
      <c r="O6" s="2133"/>
      <c r="P6" s="3758"/>
      <c r="Q6" s="3759"/>
      <c r="R6" s="3742"/>
      <c r="S6" s="3743"/>
      <c r="T6" s="3744"/>
      <c r="U6" s="3745"/>
      <c r="V6" s="3760"/>
      <c r="W6" s="3760"/>
      <c r="X6" s="1565"/>
      <c r="Y6" s="3744"/>
      <c r="Z6" s="3745"/>
      <c r="AA6" s="3737"/>
      <c r="AB6" s="3760"/>
      <c r="AC6" s="3737"/>
    </row>
    <row r="7" spans="1:29" s="1218" customFormat="1" ht="15.75" thickBot="1">
      <c r="A7" s="2936"/>
      <c r="B7" s="2943" t="s">
        <v>530</v>
      </c>
      <c r="C7" s="518">
        <f>'数据-取费表'!B2</f>
        <v>43171</v>
      </c>
      <c r="D7" s="519">
        <v>100</v>
      </c>
      <c r="E7" s="520"/>
      <c r="F7" s="521">
        <f>SUMIF(58:58,YEAR(E7)&amp;"-"&amp;MONTH(E7),59:59)</f>
        <v>0</v>
      </c>
      <c r="G7" s="520"/>
      <c r="H7" s="519">
        <f>SUMIF(58:58,YEAR(G7)&amp;"-"&amp;MONTH(G7),59:59)</f>
        <v>0</v>
      </c>
      <c r="I7" s="520"/>
      <c r="J7" s="519">
        <f>SUMIF(58:58,YEAR(I7)&amp;"-"&amp;MONTH(I7),59:59)</f>
        <v>0</v>
      </c>
      <c r="K7" s="523"/>
      <c r="L7" s="2134"/>
      <c r="M7" s="2135"/>
      <c r="N7" s="2135"/>
      <c r="O7" s="2135"/>
      <c r="P7" s="3738" t="s">
        <v>531</v>
      </c>
      <c r="Q7" s="3747"/>
      <c r="R7" s="1566" t="s">
        <v>8</v>
      </c>
      <c r="S7" s="1567">
        <f t="shared" ref="S7:S15" si="0">F7</f>
        <v>0</v>
      </c>
      <c r="T7" s="1566" t="s">
        <v>8</v>
      </c>
      <c r="U7" s="1567">
        <f t="shared" ref="U7:U15" si="1">H7</f>
        <v>0</v>
      </c>
      <c r="V7" s="1566" t="s">
        <v>8</v>
      </c>
      <c r="W7" s="1567">
        <f t="shared" ref="W7:W15" si="2">J7</f>
        <v>0</v>
      </c>
      <c r="X7" s="1568"/>
      <c r="Y7" s="3738" t="s">
        <v>531</v>
      </c>
      <c r="Z7" s="3739"/>
      <c r="AA7" s="1569" t="e">
        <f>D7/F7</f>
        <v>#DIV/0!</v>
      </c>
      <c r="AB7" s="1569" t="e">
        <f>D7/H7</f>
        <v>#DIV/0!</v>
      </c>
      <c r="AC7" s="1569" t="e">
        <f>D7/J7</f>
        <v>#DIV/0!</v>
      </c>
    </row>
    <row r="8" spans="1:29" s="1218"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738" t="s">
        <v>534</v>
      </c>
      <c r="Q8" s="3739"/>
      <c r="R8" s="1566" t="s">
        <v>8</v>
      </c>
      <c r="S8" s="1567">
        <f t="shared" si="0"/>
        <v>0</v>
      </c>
      <c r="T8" s="1566" t="s">
        <v>8</v>
      </c>
      <c r="U8" s="1567">
        <f t="shared" si="1"/>
        <v>0</v>
      </c>
      <c r="V8" s="1566" t="s">
        <v>8</v>
      </c>
      <c r="W8" s="1567">
        <f t="shared" si="2"/>
        <v>0</v>
      </c>
      <c r="X8" s="1568"/>
      <c r="Y8" s="3738" t="s">
        <v>534</v>
      </c>
      <c r="Z8" s="3739"/>
      <c r="AA8" s="1569" t="e">
        <f t="shared" ref="AA8:AA46" si="3">D8/F8</f>
        <v>#DIV/0!</v>
      </c>
      <c r="AB8" s="1569" t="e">
        <f t="shared" ref="AB8:AB46" si="4">D8/H8</f>
        <v>#DIV/0!</v>
      </c>
      <c r="AC8" s="1569" t="e">
        <f t="shared" ref="AC8:AC46" si="5">D8/J8</f>
        <v>#DIV/0!</v>
      </c>
    </row>
    <row r="9" spans="1:29" s="1218" customFormat="1" ht="15">
      <c r="A9" s="2938"/>
      <c r="B9" s="2945" t="s">
        <v>2762</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746" t="s">
        <v>536</v>
      </c>
      <c r="Q9" s="1149" t="str">
        <f t="shared" ref="Q9:Q15" si="6">B9</f>
        <v>用途</v>
      </c>
      <c r="R9" s="1566" t="s">
        <v>8</v>
      </c>
      <c r="S9" s="1567">
        <f t="shared" si="0"/>
        <v>100</v>
      </c>
      <c r="T9" s="1566" t="s">
        <v>8</v>
      </c>
      <c r="U9" s="1567">
        <f t="shared" si="1"/>
        <v>100</v>
      </c>
      <c r="V9" s="1566" t="s">
        <v>8</v>
      </c>
      <c r="W9" s="1567">
        <f t="shared" si="2"/>
        <v>100</v>
      </c>
      <c r="X9" s="1568"/>
      <c r="Y9" s="3703" t="s">
        <v>537</v>
      </c>
      <c r="Z9" s="1148" t="str">
        <f t="shared" ref="Z9:Z15" si="7">Q9</f>
        <v>用途</v>
      </c>
      <c r="AA9" s="1569">
        <f t="shared" si="3"/>
        <v>1</v>
      </c>
      <c r="AB9" s="1569">
        <f t="shared" si="4"/>
        <v>1</v>
      </c>
      <c r="AC9" s="1569">
        <f t="shared" si="5"/>
        <v>1</v>
      </c>
    </row>
    <row r="10" spans="1:29" s="1336" customFormat="1" ht="27">
      <c r="A10" s="2939"/>
      <c r="B10" s="2944" t="s">
        <v>2763</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746"/>
      <c r="Q10" s="1149" t="str">
        <f t="shared" si="6"/>
        <v>土地使用年限（年）</v>
      </c>
      <c r="R10" s="1566" t="s">
        <v>8</v>
      </c>
      <c r="S10" s="1567">
        <f t="shared" si="0"/>
        <v>100</v>
      </c>
      <c r="T10" s="1566" t="s">
        <v>8</v>
      </c>
      <c r="U10" s="1567">
        <f t="shared" si="1"/>
        <v>100</v>
      </c>
      <c r="V10" s="1566" t="s">
        <v>8</v>
      </c>
      <c r="W10" s="1567">
        <f t="shared" si="2"/>
        <v>100</v>
      </c>
      <c r="X10" s="1568"/>
      <c r="Y10" s="3703"/>
      <c r="Z10" s="1148" t="str">
        <f t="shared" si="7"/>
        <v>土地使用年限（年）</v>
      </c>
      <c r="AA10" s="1569">
        <f t="shared" si="3"/>
        <v>1</v>
      </c>
      <c r="AB10" s="1569">
        <f t="shared" si="4"/>
        <v>1</v>
      </c>
      <c r="AC10" s="1569">
        <f t="shared" si="5"/>
        <v>1</v>
      </c>
    </row>
    <row r="11" spans="1:29" ht="15">
      <c r="A11" s="2940"/>
      <c r="B11" s="2944" t="s">
        <v>2764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746"/>
      <c r="Q11" s="1149" t="str">
        <f t="shared" si="6"/>
        <v>容积率</v>
      </c>
      <c r="R11" s="1566" t="s">
        <v>8</v>
      </c>
      <c r="S11" s="1567" t="e">
        <f t="shared" si="0"/>
        <v>#N/A</v>
      </c>
      <c r="T11" s="1566" t="s">
        <v>8</v>
      </c>
      <c r="U11" s="1567" t="e">
        <f t="shared" si="1"/>
        <v>#N/A</v>
      </c>
      <c r="V11" s="1566" t="s">
        <v>8</v>
      </c>
      <c r="W11" s="1567" t="e">
        <f t="shared" si="2"/>
        <v>#N/A</v>
      </c>
      <c r="X11" s="1568"/>
      <c r="Y11" s="3703"/>
      <c r="Z11" s="1148" t="str">
        <f t="shared" si="7"/>
        <v>容积率</v>
      </c>
      <c r="AA11" s="1569" t="e">
        <f t="shared" si="3"/>
        <v>#N/A</v>
      </c>
      <c r="AB11" s="1569" t="e">
        <f t="shared" si="4"/>
        <v>#N/A</v>
      </c>
      <c r="AC11" s="1569" t="e">
        <f t="shared" si="5"/>
        <v>#N/A</v>
      </c>
    </row>
    <row r="12" spans="1:29" s="1218" customFormat="1" ht="15">
      <c r="A12" s="2941"/>
      <c r="B12" s="2947">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746"/>
      <c r="Q12" s="1149">
        <f t="shared" si="6"/>
        <v>111</v>
      </c>
      <c r="R12" s="1566" t="s">
        <v>8</v>
      </c>
      <c r="S12" s="1567">
        <f t="shared" si="0"/>
        <v>100</v>
      </c>
      <c r="T12" s="1566" t="s">
        <v>8</v>
      </c>
      <c r="U12" s="1567">
        <f t="shared" si="1"/>
        <v>100</v>
      </c>
      <c r="V12" s="1566" t="s">
        <v>8</v>
      </c>
      <c r="W12" s="1567">
        <f t="shared" si="2"/>
        <v>100</v>
      </c>
      <c r="X12" s="1568"/>
      <c r="Y12" s="3703"/>
      <c r="Z12" s="1148">
        <f t="shared" si="7"/>
        <v>111</v>
      </c>
      <c r="AA12" s="1569">
        <f>D12/F12</f>
        <v>1</v>
      </c>
      <c r="AB12" s="1569">
        <f>D12/H12</f>
        <v>1</v>
      </c>
      <c r="AC12" s="1569">
        <f>D12/J12</f>
        <v>1</v>
      </c>
    </row>
    <row r="13" spans="1:29" ht="15">
      <c r="A13" s="2941"/>
      <c r="B13" s="2947">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746"/>
      <c r="Q13" s="1149">
        <f t="shared" si="6"/>
        <v>111</v>
      </c>
      <c r="R13" s="1566" t="s">
        <v>8</v>
      </c>
      <c r="S13" s="1567">
        <f t="shared" si="0"/>
        <v>100</v>
      </c>
      <c r="T13" s="1566" t="s">
        <v>8</v>
      </c>
      <c r="U13" s="1567">
        <f t="shared" si="1"/>
        <v>100</v>
      </c>
      <c r="V13" s="1566" t="s">
        <v>8</v>
      </c>
      <c r="W13" s="1567">
        <f t="shared" si="2"/>
        <v>100</v>
      </c>
      <c r="X13" s="1568"/>
      <c r="Y13" s="3703"/>
      <c r="Z13" s="1148">
        <f t="shared" si="7"/>
        <v>111</v>
      </c>
      <c r="AA13" s="1569">
        <f t="shared" si="3"/>
        <v>1</v>
      </c>
      <c r="AB13" s="1569">
        <f t="shared" si="4"/>
        <v>1</v>
      </c>
      <c r="AC13" s="1569">
        <f t="shared" si="5"/>
        <v>1</v>
      </c>
    </row>
    <row r="14" spans="1:29" ht="15.75" thickBot="1">
      <c r="A14" s="2942"/>
      <c r="B14" s="2948">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746"/>
      <c r="Q14" s="1149">
        <f t="shared" si="6"/>
        <v>111</v>
      </c>
      <c r="R14" s="1566" t="s">
        <v>8</v>
      </c>
      <c r="S14" s="1567">
        <f t="shared" si="0"/>
        <v>100</v>
      </c>
      <c r="T14" s="1566" t="s">
        <v>8</v>
      </c>
      <c r="U14" s="1567">
        <f t="shared" si="1"/>
        <v>100</v>
      </c>
      <c r="V14" s="1566" t="s">
        <v>8</v>
      </c>
      <c r="W14" s="1567">
        <f t="shared" si="2"/>
        <v>100</v>
      </c>
      <c r="X14" s="1568"/>
      <c r="Y14" s="3703"/>
      <c r="Z14" s="1148">
        <f t="shared" si="7"/>
        <v>111</v>
      </c>
      <c r="AA14" s="1569">
        <f t="shared" si="3"/>
        <v>1</v>
      </c>
      <c r="AB14" s="1569">
        <f t="shared" si="4"/>
        <v>1</v>
      </c>
      <c r="AC14" s="1569">
        <f t="shared" si="5"/>
        <v>1</v>
      </c>
    </row>
    <row r="15" spans="1:29" ht="15">
      <c r="A15" s="2934" t="s">
        <v>2760</v>
      </c>
      <c r="B15" s="165" t="s">
        <v>542</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748" t="s">
        <v>541</v>
      </c>
      <c r="Q15" s="1570" t="str">
        <f t="shared" si="6"/>
        <v>商业繁华度</v>
      </c>
      <c r="R15" s="1571" t="s">
        <v>8</v>
      </c>
      <c r="S15" s="1572">
        <f t="shared" si="0"/>
        <v>100</v>
      </c>
      <c r="T15" s="1571" t="s">
        <v>8</v>
      </c>
      <c r="U15" s="1572">
        <f t="shared" si="1"/>
        <v>100</v>
      </c>
      <c r="V15" s="1571" t="s">
        <v>8</v>
      </c>
      <c r="W15" s="1572">
        <f t="shared" si="2"/>
        <v>100</v>
      </c>
      <c r="X15" s="1565"/>
      <c r="Y15" s="3748" t="s">
        <v>541</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749"/>
      <c r="Q16" s="1570"/>
      <c r="R16" s="1571"/>
      <c r="S16" s="1572"/>
      <c r="T16" s="1571"/>
      <c r="U16" s="1572"/>
      <c r="V16" s="1571"/>
      <c r="W16" s="1572"/>
      <c r="X16" s="1565"/>
      <c r="Y16" s="3749"/>
      <c r="Z16" s="1573"/>
      <c r="AA16" s="1574">
        <v>1</v>
      </c>
      <c r="AB16" s="1574">
        <v>1</v>
      </c>
      <c r="AC16" s="1574">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749"/>
      <c r="Q17" s="1570" t="str">
        <f>B17</f>
        <v>交通便捷度</v>
      </c>
      <c r="R17" s="1571" t="s">
        <v>8</v>
      </c>
      <c r="S17" s="1572">
        <f>F17</f>
        <v>100</v>
      </c>
      <c r="T17" s="1571" t="s">
        <v>8</v>
      </c>
      <c r="U17" s="1572">
        <f>H17</f>
        <v>100</v>
      </c>
      <c r="V17" s="1571" t="s">
        <v>8</v>
      </c>
      <c r="W17" s="1572">
        <f>J17</f>
        <v>100</v>
      </c>
      <c r="X17" s="1565"/>
      <c r="Y17" s="374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749"/>
      <c r="Q18" s="1570"/>
      <c r="R18" s="1571"/>
      <c r="S18" s="1572"/>
      <c r="T18" s="1571"/>
      <c r="U18" s="1572"/>
      <c r="V18" s="1571"/>
      <c r="W18" s="1572"/>
      <c r="X18" s="1565"/>
      <c r="Y18" s="3749"/>
      <c r="Z18" s="1573"/>
      <c r="AA18" s="1574">
        <v>1</v>
      </c>
      <c r="AB18" s="1574">
        <v>1</v>
      </c>
      <c r="AC18" s="1574">
        <v>1</v>
      </c>
    </row>
    <row r="19" spans="1:29" ht="15">
      <c r="A19" s="531"/>
      <c r="B19" s="2623" t="s">
        <v>2552</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749"/>
      <c r="Q19" s="1570" t="str">
        <f>B19</f>
        <v>公共配套设施</v>
      </c>
      <c r="R19" s="1571" t="s">
        <v>8</v>
      </c>
      <c r="S19" s="1572">
        <f>F19</f>
        <v>100</v>
      </c>
      <c r="T19" s="1571" t="s">
        <v>8</v>
      </c>
      <c r="U19" s="1572">
        <f>H19</f>
        <v>100</v>
      </c>
      <c r="V19" s="1571" t="s">
        <v>8</v>
      </c>
      <c r="W19" s="1572">
        <f>J19</f>
        <v>100</v>
      </c>
      <c r="X19" s="1565"/>
      <c r="Y19" s="374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749"/>
      <c r="Q20" s="1570"/>
      <c r="R20" s="1571"/>
      <c r="S20" s="1572"/>
      <c r="T20" s="1571"/>
      <c r="U20" s="1572"/>
      <c r="V20" s="1571"/>
      <c r="W20" s="1572"/>
      <c r="X20" s="1565"/>
      <c r="Y20" s="3749"/>
      <c r="Z20" s="1573"/>
      <c r="AA20" s="1574">
        <v>1</v>
      </c>
      <c r="AB20" s="1574">
        <v>1</v>
      </c>
      <c r="AC20" s="1574">
        <v>1</v>
      </c>
    </row>
    <row r="21" spans="1:29" ht="15">
      <c r="A21" s="531"/>
      <c r="B21" s="2616" t="s">
        <v>2564</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749"/>
      <c r="Q21" s="2602" t="str">
        <f>B21</f>
        <v>基础设施水平</v>
      </c>
      <c r="R21" s="1571" t="s">
        <v>8</v>
      </c>
      <c r="S21" s="1572">
        <f>F21</f>
        <v>100</v>
      </c>
      <c r="T21" s="1571" t="s">
        <v>8</v>
      </c>
      <c r="U21" s="1572">
        <f>H21</f>
        <v>100</v>
      </c>
      <c r="V21" s="1571" t="s">
        <v>8</v>
      </c>
      <c r="W21" s="1572">
        <f>J21</f>
        <v>100</v>
      </c>
      <c r="X21" s="2604"/>
      <c r="Y21" s="3749"/>
      <c r="Z21" s="2603"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25"/>
      <c r="L22" s="2141"/>
      <c r="M22" s="2133"/>
      <c r="N22" s="2133"/>
      <c r="O22" s="2140"/>
      <c r="P22" s="3749"/>
      <c r="Q22" s="2602"/>
      <c r="R22" s="1571"/>
      <c r="S22" s="1572"/>
      <c r="T22" s="1571"/>
      <c r="U22" s="1572"/>
      <c r="V22" s="1571"/>
      <c r="W22" s="1572"/>
      <c r="X22" s="2604"/>
      <c r="Y22" s="3749"/>
      <c r="Z22" s="2603"/>
      <c r="AA22" s="1574">
        <v>1</v>
      </c>
      <c r="AB22" s="1574">
        <v>1</v>
      </c>
      <c r="AC22" s="1574">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749"/>
      <c r="Q23" s="1570" t="str">
        <f>B23</f>
        <v>自然及人文环境</v>
      </c>
      <c r="R23" s="1571" t="s">
        <v>8</v>
      </c>
      <c r="S23" s="1572">
        <f>F23</f>
        <v>100</v>
      </c>
      <c r="T23" s="1571" t="s">
        <v>8</v>
      </c>
      <c r="U23" s="1572">
        <f>H23</f>
        <v>100</v>
      </c>
      <c r="V23" s="1571" t="s">
        <v>8</v>
      </c>
      <c r="W23" s="1572">
        <f>J23</f>
        <v>100</v>
      </c>
      <c r="X23" s="1565"/>
      <c r="Y23" s="374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749"/>
      <c r="Q24" s="1570"/>
      <c r="R24" s="1571"/>
      <c r="S24" s="1572"/>
      <c r="T24" s="1571"/>
      <c r="U24" s="1572"/>
      <c r="V24" s="1571"/>
      <c r="W24" s="1572"/>
      <c r="X24" s="1565"/>
      <c r="Y24" s="3749"/>
      <c r="Z24" s="1573"/>
      <c r="AA24" s="1574">
        <v>1</v>
      </c>
      <c r="AB24" s="1574">
        <v>1</v>
      </c>
      <c r="AC24" s="1574">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749"/>
      <c r="Q25" s="1570" t="str">
        <f t="shared" ref="Q25:Q46" si="11">B25</f>
        <v>临街状况</v>
      </c>
      <c r="R25" s="1571" t="s">
        <v>8</v>
      </c>
      <c r="S25" s="1572">
        <f>F25</f>
        <v>100</v>
      </c>
      <c r="T25" s="1571" t="s">
        <v>8</v>
      </c>
      <c r="U25" s="1572">
        <f>H25</f>
        <v>100</v>
      </c>
      <c r="V25" s="1571" t="s">
        <v>8</v>
      </c>
      <c r="W25" s="1572">
        <f>J25</f>
        <v>100</v>
      </c>
      <c r="X25" s="1565"/>
      <c r="Y25" s="3749"/>
      <c r="Z25" s="1573" t="str">
        <f>Q25</f>
        <v>临街状况</v>
      </c>
      <c r="AA25" s="1574">
        <f t="shared" si="3"/>
        <v>1</v>
      </c>
      <c r="AB25" s="1574">
        <f t="shared" si="4"/>
        <v>1</v>
      </c>
      <c r="AC25" s="1574">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749"/>
      <c r="Q26" s="1570" t="str">
        <f t="shared" si="11"/>
        <v>平面位置/可视性</v>
      </c>
      <c r="R26" s="1571" t="s">
        <v>8</v>
      </c>
      <c r="S26" s="1572">
        <f>F26</f>
        <v>100</v>
      </c>
      <c r="T26" s="1571" t="s">
        <v>8</v>
      </c>
      <c r="U26" s="1572">
        <f>H26</f>
        <v>100</v>
      </c>
      <c r="V26" s="1571" t="s">
        <v>8</v>
      </c>
      <c r="W26" s="1572">
        <f>J26</f>
        <v>100</v>
      </c>
      <c r="X26" s="1565"/>
      <c r="Y26" s="3749"/>
      <c r="Z26" s="1573" t="str">
        <f>Q26</f>
        <v>平面位置/可视性</v>
      </c>
      <c r="AA26" s="1574">
        <f t="shared" si="3"/>
        <v>1</v>
      </c>
      <c r="AB26" s="1574">
        <f t="shared" si="4"/>
        <v>1</v>
      </c>
      <c r="AC26" s="1574">
        <f t="shared" si="5"/>
        <v>1</v>
      </c>
    </row>
    <row r="27" spans="1:29" s="1218" customFormat="1" ht="15">
      <c r="A27" s="535"/>
      <c r="B27" s="870" t="s">
        <v>760</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749"/>
      <c r="Q27" s="1149" t="str">
        <f t="shared" si="11"/>
        <v>人流量</v>
      </c>
      <c r="R27" s="1566" t="s">
        <v>8</v>
      </c>
      <c r="S27" s="1567">
        <f>F27</f>
        <v>100</v>
      </c>
      <c r="T27" s="1566" t="s">
        <v>8</v>
      </c>
      <c r="U27" s="1567">
        <f>H27</f>
        <v>100</v>
      </c>
      <c r="V27" s="1566" t="s">
        <v>8</v>
      </c>
      <c r="W27" s="1567">
        <f>J27</f>
        <v>100</v>
      </c>
      <c r="X27" s="1568"/>
      <c r="Y27" s="3749"/>
      <c r="Z27" s="1148" t="str">
        <f>Q27</f>
        <v>人流量</v>
      </c>
      <c r="AA27" s="1574">
        <f>D27/F27</f>
        <v>1</v>
      </c>
      <c r="AB27" s="1574">
        <f>D27/H27</f>
        <v>1</v>
      </c>
      <c r="AC27" s="1574">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74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749"/>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749"/>
      <c r="Q29" s="1570">
        <f t="shared" si="11"/>
        <v>111</v>
      </c>
      <c r="R29" s="1571" t="s">
        <v>8</v>
      </c>
      <c r="S29" s="1572">
        <f t="shared" si="12"/>
        <v>100</v>
      </c>
      <c r="T29" s="1571" t="s">
        <v>8</v>
      </c>
      <c r="U29" s="1572">
        <f t="shared" si="13"/>
        <v>100</v>
      </c>
      <c r="V29" s="1571" t="s">
        <v>8</v>
      </c>
      <c r="W29" s="1572">
        <f t="shared" si="14"/>
        <v>100</v>
      </c>
      <c r="X29" s="1565"/>
      <c r="Y29" s="374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749"/>
      <c r="Q30" s="1570">
        <f t="shared" si="11"/>
        <v>111</v>
      </c>
      <c r="R30" s="1571" t="s">
        <v>8</v>
      </c>
      <c r="S30" s="1572">
        <f t="shared" si="12"/>
        <v>100</v>
      </c>
      <c r="T30" s="1571" t="s">
        <v>8</v>
      </c>
      <c r="U30" s="1572">
        <f t="shared" si="13"/>
        <v>100</v>
      </c>
      <c r="V30" s="1571" t="s">
        <v>8</v>
      </c>
      <c r="W30" s="1572">
        <f t="shared" si="14"/>
        <v>100</v>
      </c>
      <c r="X30" s="1565"/>
      <c r="Y30" s="3749"/>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749"/>
      <c r="Q31" s="1570">
        <f t="shared" si="11"/>
        <v>111</v>
      </c>
      <c r="R31" s="1571" t="s">
        <v>8</v>
      </c>
      <c r="S31" s="1572">
        <f t="shared" si="12"/>
        <v>100</v>
      </c>
      <c r="T31" s="1571" t="s">
        <v>8</v>
      </c>
      <c r="U31" s="1572">
        <f t="shared" si="13"/>
        <v>100</v>
      </c>
      <c r="V31" s="1571" t="s">
        <v>8</v>
      </c>
      <c r="W31" s="1572">
        <f t="shared" si="14"/>
        <v>100</v>
      </c>
      <c r="X31" s="1565"/>
      <c r="Y31" s="3749"/>
      <c r="Z31" s="1573">
        <f t="shared" si="15"/>
        <v>111</v>
      </c>
      <c r="AA31" s="1574">
        <f t="shared" si="3"/>
        <v>1</v>
      </c>
      <c r="AB31" s="1574">
        <f t="shared" si="4"/>
        <v>1</v>
      </c>
      <c r="AC31" s="1574">
        <f t="shared" si="5"/>
        <v>1</v>
      </c>
    </row>
    <row r="32" spans="1:29" ht="15">
      <c r="A32" s="2931" t="s">
        <v>2761</v>
      </c>
      <c r="B32" s="171"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750" t="s">
        <v>551</v>
      </c>
      <c r="Q32" s="1570" t="str">
        <f t="shared" si="11"/>
        <v>商业类型</v>
      </c>
      <c r="R32" s="1571" t="s">
        <v>8</v>
      </c>
      <c r="S32" s="1572">
        <f t="shared" si="12"/>
        <v>100</v>
      </c>
      <c r="T32" s="1571" t="s">
        <v>8</v>
      </c>
      <c r="U32" s="1572">
        <f t="shared" si="13"/>
        <v>100</v>
      </c>
      <c r="V32" s="1571" t="s">
        <v>8</v>
      </c>
      <c r="W32" s="1572">
        <f t="shared" si="14"/>
        <v>100</v>
      </c>
      <c r="X32" s="1565"/>
      <c r="Y32" s="3751" t="s">
        <v>551</v>
      </c>
      <c r="Z32" s="1573" t="str">
        <f t="shared" si="15"/>
        <v>商业类型</v>
      </c>
      <c r="AA32" s="1574">
        <f t="shared" si="3"/>
        <v>1</v>
      </c>
      <c r="AB32" s="1574">
        <f t="shared" si="4"/>
        <v>1</v>
      </c>
      <c r="AC32" s="1574">
        <f t="shared" si="5"/>
        <v>1</v>
      </c>
    </row>
    <row r="33" spans="1:29" s="1337" customFormat="1" ht="15">
      <c r="A33" s="602"/>
      <c r="B33" s="526" t="s">
        <v>727</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751"/>
      <c r="Q33" s="1603" t="str">
        <f t="shared" si="11"/>
        <v>项目建筑规模</v>
      </c>
      <c r="R33" s="1575" t="s">
        <v>8</v>
      </c>
      <c r="S33" s="1576" t="e">
        <f t="shared" si="12"/>
        <v>#N/A</v>
      </c>
      <c r="T33" s="1575" t="s">
        <v>8</v>
      </c>
      <c r="U33" s="1576" t="e">
        <f t="shared" si="13"/>
        <v>#N/A</v>
      </c>
      <c r="V33" s="1575" t="s">
        <v>8</v>
      </c>
      <c r="W33" s="1576" t="e">
        <f t="shared" si="14"/>
        <v>#N/A</v>
      </c>
      <c r="X33" s="1577"/>
      <c r="Y33" s="3751"/>
      <c r="Z33" s="1578" t="str">
        <f t="shared" si="15"/>
        <v>项目建筑规模</v>
      </c>
      <c r="AA33" s="1574" t="e">
        <f t="shared" si="3"/>
        <v>#N/A</v>
      </c>
      <c r="AB33" s="1574" t="e">
        <f t="shared" si="4"/>
        <v>#N/A</v>
      </c>
      <c r="AC33" s="1574" t="e">
        <f t="shared" si="5"/>
        <v>#N/A</v>
      </c>
    </row>
    <row r="34" spans="1:29" ht="15">
      <c r="A34" s="593"/>
      <c r="B34" s="526" t="s">
        <v>728</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751"/>
      <c r="Q34" s="1570" t="str">
        <f t="shared" si="11"/>
        <v>建筑结构</v>
      </c>
      <c r="R34" s="1571" t="s">
        <v>8</v>
      </c>
      <c r="S34" s="1572">
        <f t="shared" si="12"/>
        <v>100</v>
      </c>
      <c r="T34" s="1571" t="s">
        <v>8</v>
      </c>
      <c r="U34" s="1572">
        <f t="shared" si="13"/>
        <v>100</v>
      </c>
      <c r="V34" s="1571" t="s">
        <v>8</v>
      </c>
      <c r="W34" s="1572">
        <f t="shared" si="14"/>
        <v>100</v>
      </c>
      <c r="X34" s="1565"/>
      <c r="Y34" s="3751"/>
      <c r="Z34" s="1573" t="str">
        <f t="shared" si="15"/>
        <v>建筑结构</v>
      </c>
      <c r="AA34" s="1574">
        <f t="shared" si="3"/>
        <v>1</v>
      </c>
      <c r="AB34" s="1574">
        <f t="shared" si="4"/>
        <v>1</v>
      </c>
      <c r="AC34" s="1574">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751"/>
      <c r="Q35" s="1570" t="str">
        <f t="shared" si="11"/>
        <v>公共部分装修</v>
      </c>
      <c r="R35" s="1571" t="s">
        <v>8</v>
      </c>
      <c r="S35" s="1572">
        <f t="shared" si="12"/>
        <v>100</v>
      </c>
      <c r="T35" s="1571" t="s">
        <v>8</v>
      </c>
      <c r="U35" s="1572">
        <f t="shared" si="13"/>
        <v>100</v>
      </c>
      <c r="V35" s="1571" t="s">
        <v>8</v>
      </c>
      <c r="W35" s="1572">
        <f t="shared" si="14"/>
        <v>100</v>
      </c>
      <c r="X35" s="1565"/>
      <c r="Y35" s="3751"/>
      <c r="Z35" s="1573" t="str">
        <f t="shared" si="15"/>
        <v>公共部分装修</v>
      </c>
      <c r="AA35" s="1574">
        <f t="shared" si="3"/>
        <v>1</v>
      </c>
      <c r="AB35" s="1574">
        <f t="shared" si="4"/>
        <v>1</v>
      </c>
      <c r="AC35" s="1574">
        <f t="shared" si="5"/>
        <v>1</v>
      </c>
    </row>
    <row r="36" spans="1:29" ht="15">
      <c r="A36" s="593"/>
      <c r="B36" s="526" t="s">
        <v>765</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751"/>
      <c r="Q36" s="1570" t="str">
        <f t="shared" si="11"/>
        <v>成新度</v>
      </c>
      <c r="R36" s="1571" t="s">
        <v>8</v>
      </c>
      <c r="S36" s="1572" t="e">
        <f t="shared" si="12"/>
        <v>#N/A</v>
      </c>
      <c r="T36" s="1571" t="s">
        <v>8</v>
      </c>
      <c r="U36" s="1572" t="e">
        <f t="shared" si="13"/>
        <v>#N/A</v>
      </c>
      <c r="V36" s="1571" t="s">
        <v>8</v>
      </c>
      <c r="W36" s="1572" t="e">
        <f t="shared" si="14"/>
        <v>#N/A</v>
      </c>
      <c r="X36" s="1565"/>
      <c r="Y36" s="3751"/>
      <c r="Z36" s="1573" t="str">
        <f t="shared" si="15"/>
        <v>成新度</v>
      </c>
      <c r="AA36" s="1574" t="e">
        <f t="shared" si="3"/>
        <v>#N/A</v>
      </c>
      <c r="AB36" s="1574" t="e">
        <f t="shared" si="4"/>
        <v>#N/A</v>
      </c>
      <c r="AC36" s="1574" t="e">
        <f t="shared" si="5"/>
        <v>#N/A</v>
      </c>
    </row>
    <row r="37" spans="1:29" s="1218" customFormat="1" ht="15">
      <c r="A37" s="599"/>
      <c r="B37" s="1894" t="s">
        <v>2571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751"/>
      <c r="Q37" s="1149" t="str">
        <f t="shared" si="11"/>
        <v>市政基础设施</v>
      </c>
      <c r="R37" s="1566" t="s">
        <v>8</v>
      </c>
      <c r="S37" s="1567">
        <f t="shared" si="12"/>
        <v>100</v>
      </c>
      <c r="T37" s="1566" t="s">
        <v>8</v>
      </c>
      <c r="U37" s="1567">
        <f t="shared" si="13"/>
        <v>100</v>
      </c>
      <c r="V37" s="1566" t="s">
        <v>8</v>
      </c>
      <c r="W37" s="1567">
        <f t="shared" si="14"/>
        <v>100</v>
      </c>
      <c r="X37" s="1568"/>
      <c r="Y37" s="3751"/>
      <c r="Z37" s="1148" t="str">
        <f t="shared" si="15"/>
        <v>市政基础设施</v>
      </c>
      <c r="AA37" s="1569">
        <f t="shared" si="3"/>
        <v>1</v>
      </c>
      <c r="AB37" s="1569">
        <f t="shared" si="4"/>
        <v>1</v>
      </c>
      <c r="AC37" s="1569">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751" t="s">
        <v>767</v>
      </c>
      <c r="Q38" s="1570" t="str">
        <f t="shared" si="11"/>
        <v>业态</v>
      </c>
      <c r="R38" s="1571" t="s">
        <v>8</v>
      </c>
      <c r="S38" s="1572">
        <f t="shared" si="12"/>
        <v>100</v>
      </c>
      <c r="T38" s="1571" t="s">
        <v>8</v>
      </c>
      <c r="U38" s="1572">
        <f t="shared" si="13"/>
        <v>100</v>
      </c>
      <c r="V38" s="1571" t="s">
        <v>8</v>
      </c>
      <c r="W38" s="1572">
        <f t="shared" si="14"/>
        <v>100</v>
      </c>
      <c r="X38" s="1565"/>
      <c r="Y38" s="3751" t="s">
        <v>767</v>
      </c>
      <c r="Z38" s="1573" t="str">
        <f t="shared" si="15"/>
        <v>业态</v>
      </c>
      <c r="AA38" s="1574">
        <f t="shared" si="3"/>
        <v>1</v>
      </c>
      <c r="AB38" s="1574">
        <f t="shared" si="4"/>
        <v>1</v>
      </c>
      <c r="AC38" s="1574">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51"/>
      <c r="Q39" s="1570" t="str">
        <f t="shared" si="11"/>
        <v>层高</v>
      </c>
      <c r="R39" s="1571" t="s">
        <v>8</v>
      </c>
      <c r="S39" s="1572">
        <f t="shared" si="12"/>
        <v>100</v>
      </c>
      <c r="T39" s="1571" t="s">
        <v>8</v>
      </c>
      <c r="U39" s="1572">
        <f t="shared" si="13"/>
        <v>100</v>
      </c>
      <c r="V39" s="1571" t="s">
        <v>8</v>
      </c>
      <c r="W39" s="1572">
        <f t="shared" si="14"/>
        <v>100</v>
      </c>
      <c r="X39" s="1565"/>
      <c r="Y39" s="3751"/>
      <c r="Z39" s="1573" t="str">
        <f t="shared" si="15"/>
        <v>层高</v>
      </c>
      <c r="AA39" s="1574">
        <f t="shared" si="3"/>
        <v>1</v>
      </c>
      <c r="AB39" s="1574">
        <f t="shared" si="4"/>
        <v>1</v>
      </c>
      <c r="AC39" s="1574">
        <f t="shared" si="5"/>
        <v>1</v>
      </c>
    </row>
    <row r="40" spans="1:29" ht="15">
      <c r="A40" s="593"/>
      <c r="B40" s="526" t="s">
        <v>769</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751"/>
      <c r="Q40" s="1570" t="str">
        <f t="shared" si="11"/>
        <v>单套建筑面积</v>
      </c>
      <c r="R40" s="1571" t="s">
        <v>8</v>
      </c>
      <c r="S40" s="1572">
        <f t="shared" si="12"/>
        <v>100</v>
      </c>
      <c r="T40" s="1571" t="s">
        <v>8</v>
      </c>
      <c r="U40" s="1572">
        <f t="shared" si="13"/>
        <v>100</v>
      </c>
      <c r="V40" s="1571" t="s">
        <v>8</v>
      </c>
      <c r="W40" s="1572">
        <f t="shared" si="14"/>
        <v>100</v>
      </c>
      <c r="X40" s="1565"/>
      <c r="Y40" s="3751"/>
      <c r="Z40" s="1573" t="str">
        <f t="shared" si="15"/>
        <v>单套建筑面积</v>
      </c>
      <c r="AA40" s="1574">
        <f t="shared" si="3"/>
        <v>1</v>
      </c>
      <c r="AB40" s="1574">
        <f t="shared" si="4"/>
        <v>1</v>
      </c>
      <c r="AC40" s="1574">
        <f t="shared" si="5"/>
        <v>1</v>
      </c>
    </row>
    <row r="41" spans="1:29" s="1337" customFormat="1" ht="15">
      <c r="A41" s="602"/>
      <c r="B41" s="902"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751"/>
      <c r="Q41" s="1603" t="str">
        <f t="shared" si="11"/>
        <v>进深比</v>
      </c>
      <c r="R41" s="1575" t="s">
        <v>8</v>
      </c>
      <c r="S41" s="1576">
        <f t="shared" si="12"/>
        <v>100</v>
      </c>
      <c r="T41" s="1575" t="s">
        <v>8</v>
      </c>
      <c r="U41" s="1576">
        <f t="shared" si="13"/>
        <v>100</v>
      </c>
      <c r="V41" s="1575" t="s">
        <v>8</v>
      </c>
      <c r="W41" s="1576">
        <f t="shared" si="14"/>
        <v>100</v>
      </c>
      <c r="X41" s="1577"/>
      <c r="Y41" s="3751"/>
      <c r="Z41" s="1578" t="str">
        <f t="shared" si="15"/>
        <v>进深比</v>
      </c>
      <c r="AA41" s="1574">
        <f t="shared" si="3"/>
        <v>1</v>
      </c>
      <c r="AB41" s="1574">
        <f t="shared" si="4"/>
        <v>1</v>
      </c>
      <c r="AC41" s="1574">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751"/>
      <c r="Q42" s="1570" t="str">
        <f t="shared" si="11"/>
        <v>内部装修</v>
      </c>
      <c r="R42" s="1571" t="s">
        <v>8</v>
      </c>
      <c r="S42" s="1572">
        <f t="shared" si="12"/>
        <v>100</v>
      </c>
      <c r="T42" s="1571" t="s">
        <v>8</v>
      </c>
      <c r="U42" s="1572">
        <f t="shared" si="13"/>
        <v>100</v>
      </c>
      <c r="V42" s="1571" t="s">
        <v>8</v>
      </c>
      <c r="W42" s="1572">
        <f t="shared" si="14"/>
        <v>100</v>
      </c>
      <c r="X42" s="1565"/>
      <c r="Y42" s="3751"/>
      <c r="Z42" s="1573" t="str">
        <f t="shared" si="15"/>
        <v>内部装修</v>
      </c>
      <c r="AA42" s="1574">
        <f t="shared" si="3"/>
        <v>1</v>
      </c>
      <c r="AB42" s="1574">
        <f t="shared" si="4"/>
        <v>1</v>
      </c>
      <c r="AC42" s="1574">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751"/>
      <c r="Q43" s="1570" t="str">
        <f t="shared" si="11"/>
        <v>内部装修维护情况</v>
      </c>
      <c r="R43" s="1571" t="s">
        <v>8</v>
      </c>
      <c r="S43" s="1572">
        <f t="shared" si="12"/>
        <v>100</v>
      </c>
      <c r="T43" s="1571" t="s">
        <v>8</v>
      </c>
      <c r="U43" s="1572">
        <f t="shared" si="13"/>
        <v>100</v>
      </c>
      <c r="V43" s="1571" t="s">
        <v>8</v>
      </c>
      <c r="W43" s="1572">
        <f t="shared" si="14"/>
        <v>100</v>
      </c>
      <c r="X43" s="1565"/>
      <c r="Y43" s="375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751"/>
      <c r="Q44" s="1149">
        <f t="shared" si="11"/>
        <v>111</v>
      </c>
      <c r="R44" s="1566" t="s">
        <v>8</v>
      </c>
      <c r="S44" s="1567">
        <f t="shared" si="12"/>
        <v>100</v>
      </c>
      <c r="T44" s="1566" t="s">
        <v>8</v>
      </c>
      <c r="U44" s="1567">
        <f t="shared" si="13"/>
        <v>100</v>
      </c>
      <c r="V44" s="1566" t="s">
        <v>8</v>
      </c>
      <c r="W44" s="1567">
        <f t="shared" si="14"/>
        <v>100</v>
      </c>
      <c r="X44" s="1568"/>
      <c r="Y44" s="375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751"/>
      <c r="Q45" s="1570">
        <f t="shared" si="11"/>
        <v>111</v>
      </c>
      <c r="R45" s="1571" t="s">
        <v>8</v>
      </c>
      <c r="S45" s="1572">
        <f t="shared" si="12"/>
        <v>100</v>
      </c>
      <c r="T45" s="1571" t="s">
        <v>8</v>
      </c>
      <c r="U45" s="1572">
        <f t="shared" si="13"/>
        <v>100</v>
      </c>
      <c r="V45" s="1571" t="s">
        <v>8</v>
      </c>
      <c r="W45" s="1572">
        <f t="shared" si="14"/>
        <v>100</v>
      </c>
      <c r="X45" s="1565"/>
      <c r="Y45" s="3751"/>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850"/>
      <c r="Q46" s="1570">
        <f t="shared" si="11"/>
        <v>111</v>
      </c>
      <c r="R46" s="1571" t="s">
        <v>8</v>
      </c>
      <c r="S46" s="1572">
        <f t="shared" si="12"/>
        <v>100</v>
      </c>
      <c r="T46" s="1571" t="s">
        <v>8</v>
      </c>
      <c r="U46" s="1572">
        <f t="shared" si="13"/>
        <v>100</v>
      </c>
      <c r="V46" s="1571" t="s">
        <v>8</v>
      </c>
      <c r="W46" s="1572">
        <f t="shared" si="14"/>
        <v>100</v>
      </c>
      <c r="X46" s="1565"/>
      <c r="Y46" s="3850"/>
      <c r="Z46" s="1573">
        <f t="shared" si="15"/>
        <v>111</v>
      </c>
      <c r="AA46" s="1574">
        <f t="shared" si="3"/>
        <v>1</v>
      </c>
      <c r="AB46" s="1574">
        <f t="shared" si="4"/>
        <v>1</v>
      </c>
      <c r="AC46" s="1574">
        <f t="shared" si="5"/>
        <v>1</v>
      </c>
    </row>
    <row r="47" spans="1:29" ht="15">
      <c r="A47" s="606" t="s">
        <v>737</v>
      </c>
      <c r="B47" s="885"/>
      <c r="C47" s="2650" t="s">
        <v>1</v>
      </c>
      <c r="D47" s="2651"/>
      <c r="E47" s="2652"/>
      <c r="F47" s="2653"/>
      <c r="G47" s="2654"/>
      <c r="H47" s="2655"/>
      <c r="I47" s="2652"/>
      <c r="J47" s="2655"/>
      <c r="K47" s="1609"/>
      <c r="L47" s="2143"/>
      <c r="M47" s="2144"/>
      <c r="N47" s="2133"/>
      <c r="O47" s="2144"/>
      <c r="P47" s="3746" t="str">
        <f>A47</f>
        <v>成交单价（元/平方米）</v>
      </c>
      <c r="Q47" s="3746"/>
      <c r="R47" s="3849">
        <f>E47</f>
        <v>0</v>
      </c>
      <c r="S47" s="3849"/>
      <c r="T47" s="3849">
        <f>G47</f>
        <v>0</v>
      </c>
      <c r="U47" s="3849"/>
      <c r="V47" s="3849">
        <f>I47</f>
        <v>0</v>
      </c>
      <c r="W47" s="3849"/>
      <c r="X47" s="1557"/>
      <c r="Y47" s="1579"/>
      <c r="Z47" s="1557"/>
      <c r="AA47" s="1557"/>
      <c r="AB47" s="1557"/>
      <c r="AC47" s="1557"/>
    </row>
    <row r="48" spans="1:29" ht="15.75" thickBot="1">
      <c r="A48" s="614" t="s">
        <v>2766</v>
      </c>
      <c r="B48" s="886"/>
      <c r="C48" s="2656" t="e">
        <f>R49</f>
        <v>#DIV/0!</v>
      </c>
      <c r="D48" s="2657"/>
      <c r="E48" s="2658" t="e">
        <f>R48</f>
        <v>#DIV/0!</v>
      </c>
      <c r="F48" s="2658"/>
      <c r="G48" s="2656" t="e">
        <f>T48</f>
        <v>#DIV/0!</v>
      </c>
      <c r="H48" s="2657"/>
      <c r="I48" s="2658" t="e">
        <f>V48</f>
        <v>#DIV/0!</v>
      </c>
      <c r="J48" s="2657"/>
      <c r="K48" s="1610"/>
      <c r="L48" s="2143"/>
      <c r="M48" s="2144"/>
      <c r="N48" s="2133"/>
      <c r="O48" s="2144"/>
      <c r="P48" s="3746" t="str">
        <f>A48</f>
        <v>比较价格（元/平方米）</v>
      </c>
      <c r="Q48" s="3746"/>
      <c r="R48" s="3849" t="e">
        <f>IF(F1="售价",ROUND(PRODUCT(R47,AA7:AA46),0),ROUND(PRODUCT(R47,AA7:AA46),1))</f>
        <v>#DIV/0!</v>
      </c>
      <c r="S48" s="3849"/>
      <c r="T48" s="3849" t="e">
        <f>IF(F1="售价",ROUND(PRODUCT(T47,AB7:AB46),0),ROUND(PRODUCT(T47,AB7:AB46),1))</f>
        <v>#DIV/0!</v>
      </c>
      <c r="U48" s="3849"/>
      <c r="V48" s="3849" t="e">
        <f>IF(F1="售价",ROUND(PRODUCT(V47,AC7:AC46),0),ROUND(PRODUCT(V47,AC7:AC46),1))</f>
        <v>#DIV/0!</v>
      </c>
      <c r="W48" s="3849"/>
      <c r="X48" s="1557"/>
      <c r="Y48" s="1557"/>
      <c r="Z48" s="1557"/>
      <c r="AA48" s="1557"/>
      <c r="AB48" s="1557"/>
      <c r="AC48" s="1557"/>
    </row>
    <row r="49" spans="1:29" ht="15.75" thickBot="1">
      <c r="A49" s="620" t="s">
        <v>2933</v>
      </c>
      <c r="B49" s="621"/>
      <c r="C49" s="2659" t="e">
        <f>R49</f>
        <v>#DIV/0!</v>
      </c>
      <c r="D49" s="2659"/>
      <c r="E49" s="2659"/>
      <c r="F49" s="2659"/>
      <c r="G49" s="2659"/>
      <c r="H49" s="2659"/>
      <c r="I49" s="2659"/>
      <c r="J49" s="2659"/>
      <c r="K49" s="1611"/>
      <c r="L49" s="2143"/>
      <c r="M49" s="2144"/>
      <c r="N49" s="2133"/>
      <c r="O49" s="2144"/>
      <c r="P49" s="3770" t="str">
        <f>A49</f>
        <v>估价对象XX用房的比较价格（楼面单价，元/平方米）</v>
      </c>
      <c r="Q49" s="3771"/>
      <c r="R49" s="3848" t="e">
        <f>IF(F1="售价",ROUND(AVERAGE(R48:V48),0),ROUND(AVERAGE(R48:V48),1))</f>
        <v>#DIV/0!</v>
      </c>
      <c r="S49" s="3848"/>
      <c r="T49" s="3848"/>
      <c r="U49" s="3848"/>
      <c r="V49" s="3848"/>
      <c r="W49" s="384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575</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530</v>
      </c>
      <c r="B58" s="645"/>
      <c r="C58" s="2826" t="str">
        <f>YEAR(C7)&amp;"-"&amp;MONTH(C7)</f>
        <v>2018-3</v>
      </c>
      <c r="D58" s="2828">
        <f>EDATE(C58,-1)</f>
        <v>43132</v>
      </c>
      <c r="E58" s="2828">
        <f t="shared" ref="E58:O58" si="16">EDATE(D58,-1)</f>
        <v>43101</v>
      </c>
      <c r="F58" s="2828">
        <f t="shared" si="16"/>
        <v>43070</v>
      </c>
      <c r="G58" s="2828">
        <f t="shared" si="16"/>
        <v>43040</v>
      </c>
      <c r="H58" s="2828">
        <f t="shared" si="16"/>
        <v>43009</v>
      </c>
      <c r="I58" s="2828">
        <f t="shared" si="16"/>
        <v>42979</v>
      </c>
      <c r="J58" s="2828">
        <f t="shared" si="16"/>
        <v>42948</v>
      </c>
      <c r="K58" s="2828">
        <f t="shared" si="16"/>
        <v>42917</v>
      </c>
      <c r="L58" s="2828">
        <f t="shared" si="16"/>
        <v>42887</v>
      </c>
      <c r="M58" s="2828">
        <f t="shared" si="16"/>
        <v>42856</v>
      </c>
      <c r="N58" s="2828">
        <f t="shared" si="16"/>
        <v>42826</v>
      </c>
      <c r="O58" s="2828">
        <f t="shared" si="16"/>
        <v>42795</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578</v>
      </c>
      <c r="B63" s="664" t="s">
        <v>535</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2563</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2564</v>
      </c>
      <c r="C82" s="2621" t="s">
        <v>2565</v>
      </c>
      <c r="D82" s="2621" t="s">
        <v>2566</v>
      </c>
      <c r="E82" s="2621" t="s">
        <v>2567</v>
      </c>
      <c r="F82" s="2621" t="s">
        <v>2568</v>
      </c>
      <c r="G82" s="2621" t="s">
        <v>2569</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745</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772</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773</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750</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752</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2562</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774</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775</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776</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777</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756</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502" t="s">
        <v>778</v>
      </c>
      <c r="C1" s="503" t="s">
        <v>721</v>
      </c>
      <c r="D1" s="848"/>
      <c r="E1" s="505"/>
      <c r="F1" s="2831"/>
      <c r="G1" s="1599" t="s">
        <v>722</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520</v>
      </c>
      <c r="B3" s="509" t="e">
        <f>C50</f>
        <v>#DIV/0!</v>
      </c>
      <c r="C3" s="851" t="s">
        <v>723</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522</v>
      </c>
      <c r="B4" s="512"/>
      <c r="C4" s="3752" t="s">
        <v>523</v>
      </c>
      <c r="D4" s="3753"/>
      <c r="E4" s="3779" t="s">
        <v>524</v>
      </c>
      <c r="F4" s="3780"/>
      <c r="G4" s="3752" t="s">
        <v>525</v>
      </c>
      <c r="H4" s="3753"/>
      <c r="I4" s="3752" t="s">
        <v>526</v>
      </c>
      <c r="J4" s="3753"/>
      <c r="K4" s="513" t="s">
        <v>527</v>
      </c>
      <c r="L4" s="2132"/>
      <c r="M4" s="2133"/>
      <c r="N4" s="2133"/>
      <c r="O4" s="2133"/>
      <c r="P4" s="3851" t="s">
        <v>528</v>
      </c>
      <c r="Q4" s="3755"/>
      <c r="R4" s="3740" t="s">
        <v>524</v>
      </c>
      <c r="S4" s="3741"/>
      <c r="T4" s="3740" t="s">
        <v>525</v>
      </c>
      <c r="U4" s="3741"/>
      <c r="V4" s="3760" t="s">
        <v>526</v>
      </c>
      <c r="W4" s="3760"/>
      <c r="X4" s="1565"/>
      <c r="Y4" s="3740" t="s">
        <v>528</v>
      </c>
      <c r="Z4" s="3741"/>
      <c r="AA4" s="3735" t="s">
        <v>524</v>
      </c>
      <c r="AB4" s="3735" t="s">
        <v>525</v>
      </c>
      <c r="AC4" s="3735" t="s">
        <v>526</v>
      </c>
    </row>
    <row r="5" spans="1:29" ht="15">
      <c r="A5" s="514"/>
      <c r="B5" s="515"/>
      <c r="C5" s="3765" t="s">
        <v>2927</v>
      </c>
      <c r="D5" s="3764"/>
      <c r="E5" s="3781" t="s">
        <v>2928</v>
      </c>
      <c r="F5" s="3782"/>
      <c r="G5" s="3765" t="s">
        <v>2929</v>
      </c>
      <c r="H5" s="3764"/>
      <c r="I5" s="3765" t="s">
        <v>2930</v>
      </c>
      <c r="J5" s="3764"/>
      <c r="K5" s="513"/>
      <c r="L5" s="2132"/>
      <c r="M5" s="2133"/>
      <c r="N5" s="2133"/>
      <c r="O5" s="2133"/>
      <c r="P5" s="3852"/>
      <c r="Q5" s="3757"/>
      <c r="R5" s="3742"/>
      <c r="S5" s="3743"/>
      <c r="T5" s="3742"/>
      <c r="U5" s="3743"/>
      <c r="V5" s="3760"/>
      <c r="W5" s="3760"/>
      <c r="X5" s="1565"/>
      <c r="Y5" s="3742"/>
      <c r="Z5" s="3743"/>
      <c r="AA5" s="3736"/>
      <c r="AB5" s="3736"/>
      <c r="AC5" s="3736"/>
    </row>
    <row r="6" spans="1:29" ht="15.75" thickBot="1">
      <c r="A6" s="516"/>
      <c r="B6" s="517"/>
      <c r="C6" s="3783" t="s">
        <v>2931</v>
      </c>
      <c r="D6" s="3762"/>
      <c r="E6" s="3784" t="s">
        <v>2931</v>
      </c>
      <c r="F6" s="3785"/>
      <c r="G6" s="3783" t="s">
        <v>2931</v>
      </c>
      <c r="H6" s="3762"/>
      <c r="I6" s="3783" t="s">
        <v>2931</v>
      </c>
      <c r="J6" s="3762"/>
      <c r="K6" s="513" t="s">
        <v>529</v>
      </c>
      <c r="L6" s="2132"/>
      <c r="M6" s="2133"/>
      <c r="N6" s="2133"/>
      <c r="O6" s="2133"/>
      <c r="P6" s="3853"/>
      <c r="Q6" s="3759"/>
      <c r="R6" s="3742"/>
      <c r="S6" s="3743"/>
      <c r="T6" s="3744"/>
      <c r="U6" s="3745"/>
      <c r="V6" s="3760"/>
      <c r="W6" s="3760"/>
      <c r="X6" s="1565"/>
      <c r="Y6" s="3744"/>
      <c r="Z6" s="3745"/>
      <c r="AA6" s="3737"/>
      <c r="AB6" s="3737"/>
      <c r="AC6" s="3737"/>
    </row>
    <row r="7" spans="1:29" s="1218" customFormat="1" ht="15.75" thickBot="1">
      <c r="A7" s="2936"/>
      <c r="B7" s="2943" t="s">
        <v>530</v>
      </c>
      <c r="C7" s="518">
        <f>'数据-取费表'!B2</f>
        <v>43171</v>
      </c>
      <c r="D7" s="519">
        <v>100</v>
      </c>
      <c r="E7" s="520"/>
      <c r="F7" s="521">
        <f>SUMIF(59:59,YEAR(E7)&amp;"-"&amp;MONTH(E7),60:60)</f>
        <v>0</v>
      </c>
      <c r="G7" s="520"/>
      <c r="H7" s="519">
        <f>SUMIF(59:59,YEAR(G7)&amp;"-"&amp;MONTH(G7),60:60)</f>
        <v>0</v>
      </c>
      <c r="I7" s="520"/>
      <c r="J7" s="519">
        <f>SUMIF(59:59,YEAR(I7)&amp;"-"&amp;MONTH(I7),60:60)</f>
        <v>0</v>
      </c>
      <c r="K7" s="523"/>
      <c r="L7" s="2134"/>
      <c r="M7" s="2135"/>
      <c r="N7" s="2135"/>
      <c r="O7" s="2135"/>
      <c r="P7" s="3747" t="s">
        <v>531</v>
      </c>
      <c r="Q7" s="3747"/>
      <c r="R7" s="1566" t="s">
        <v>8</v>
      </c>
      <c r="S7" s="1567">
        <f t="shared" ref="S7:S15" si="0">F7</f>
        <v>0</v>
      </c>
      <c r="T7" s="1566" t="s">
        <v>8</v>
      </c>
      <c r="U7" s="1567">
        <f t="shared" ref="U7:U15" si="1">H7</f>
        <v>0</v>
      </c>
      <c r="V7" s="1566" t="s">
        <v>8</v>
      </c>
      <c r="W7" s="1567">
        <f t="shared" ref="W7:W15" si="2">J7</f>
        <v>0</v>
      </c>
      <c r="X7" s="1568"/>
      <c r="Y7" s="3738" t="s">
        <v>531</v>
      </c>
      <c r="Z7" s="3739"/>
      <c r="AA7" s="1569" t="e">
        <f>D7/F7</f>
        <v>#DIV/0!</v>
      </c>
      <c r="AB7" s="1569" t="e">
        <f>D7/H7</f>
        <v>#DIV/0!</v>
      </c>
      <c r="AC7" s="1569" t="e">
        <f>D7/J7</f>
        <v>#DIV/0!</v>
      </c>
    </row>
    <row r="8" spans="1:29" s="1218"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747" t="s">
        <v>534</v>
      </c>
      <c r="Q8" s="3739"/>
      <c r="R8" s="1566" t="s">
        <v>8</v>
      </c>
      <c r="S8" s="1567">
        <f t="shared" si="0"/>
        <v>0</v>
      </c>
      <c r="T8" s="1566" t="s">
        <v>8</v>
      </c>
      <c r="U8" s="1567">
        <f t="shared" si="1"/>
        <v>0</v>
      </c>
      <c r="V8" s="1566" t="s">
        <v>8</v>
      </c>
      <c r="W8" s="1567">
        <f t="shared" si="2"/>
        <v>0</v>
      </c>
      <c r="X8" s="1568"/>
      <c r="Y8" s="3738" t="s">
        <v>534</v>
      </c>
      <c r="Z8" s="3739"/>
      <c r="AA8" s="1569" t="e">
        <f t="shared" ref="AA8:AA47" si="3">D8/F8</f>
        <v>#DIV/0!</v>
      </c>
      <c r="AB8" s="1569" t="e">
        <f t="shared" ref="AB8:AB47" si="4">D8/H8</f>
        <v>#DIV/0!</v>
      </c>
      <c r="AC8" s="1569" t="e">
        <f t="shared" ref="AC8:AC47" si="5">D8/J8</f>
        <v>#DIV/0!</v>
      </c>
    </row>
    <row r="9" spans="1:29" s="1218" customFormat="1" ht="15">
      <c r="A9" s="2938"/>
      <c r="B9" s="2945" t="s">
        <v>2762</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746" t="s">
        <v>536</v>
      </c>
      <c r="Q9" s="1149" t="str">
        <f t="shared" ref="Q9:Q15" si="6">B9</f>
        <v>用途</v>
      </c>
      <c r="R9" s="1566" t="s">
        <v>8</v>
      </c>
      <c r="S9" s="1567">
        <f t="shared" si="0"/>
        <v>100</v>
      </c>
      <c r="T9" s="1566" t="s">
        <v>8</v>
      </c>
      <c r="U9" s="1567">
        <f t="shared" si="1"/>
        <v>100</v>
      </c>
      <c r="V9" s="1566" t="s">
        <v>8</v>
      </c>
      <c r="W9" s="1567">
        <f t="shared" si="2"/>
        <v>100</v>
      </c>
      <c r="X9" s="1568"/>
      <c r="Y9" s="3703" t="s">
        <v>537</v>
      </c>
      <c r="Z9" s="1148" t="str">
        <f t="shared" ref="Z9:Z15" si="7">Q9</f>
        <v>用途</v>
      </c>
      <c r="AA9" s="1569">
        <f t="shared" si="3"/>
        <v>1</v>
      </c>
      <c r="AB9" s="1569">
        <f t="shared" si="4"/>
        <v>1</v>
      </c>
      <c r="AC9" s="1569">
        <f t="shared" si="5"/>
        <v>1</v>
      </c>
    </row>
    <row r="10" spans="1:29" s="1336" customFormat="1" ht="27">
      <c r="A10" s="2939"/>
      <c r="B10" s="2944" t="s">
        <v>2763</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746"/>
      <c r="Q10" s="1149" t="str">
        <f t="shared" si="6"/>
        <v>土地使用年限（年）</v>
      </c>
      <c r="R10" s="1566" t="s">
        <v>8</v>
      </c>
      <c r="S10" s="1567">
        <f t="shared" si="0"/>
        <v>100</v>
      </c>
      <c r="T10" s="1566" t="s">
        <v>8</v>
      </c>
      <c r="U10" s="1567">
        <f t="shared" si="1"/>
        <v>100</v>
      </c>
      <c r="V10" s="1566" t="s">
        <v>8</v>
      </c>
      <c r="W10" s="1567">
        <f t="shared" si="2"/>
        <v>100</v>
      </c>
      <c r="X10" s="1568"/>
      <c r="Y10" s="3703"/>
      <c r="Z10" s="1148" t="str">
        <f t="shared" si="7"/>
        <v>土地使用年限（年）</v>
      </c>
      <c r="AA10" s="1569">
        <f t="shared" si="3"/>
        <v>1</v>
      </c>
      <c r="AB10" s="1569">
        <f t="shared" si="4"/>
        <v>1</v>
      </c>
      <c r="AC10" s="1569">
        <f t="shared" si="5"/>
        <v>1</v>
      </c>
    </row>
    <row r="11" spans="1:29" ht="15">
      <c r="A11" s="2940"/>
      <c r="B11" s="2944" t="s">
        <v>2764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746"/>
      <c r="Q11" s="1149" t="str">
        <f t="shared" si="6"/>
        <v>容积率</v>
      </c>
      <c r="R11" s="1566" t="s">
        <v>8</v>
      </c>
      <c r="S11" s="1567" t="e">
        <f t="shared" si="0"/>
        <v>#N/A</v>
      </c>
      <c r="T11" s="1566" t="s">
        <v>8</v>
      </c>
      <c r="U11" s="1567" t="e">
        <f t="shared" si="1"/>
        <v>#N/A</v>
      </c>
      <c r="V11" s="1566" t="s">
        <v>8</v>
      </c>
      <c r="W11" s="1567" t="e">
        <f t="shared" si="2"/>
        <v>#N/A</v>
      </c>
      <c r="X11" s="1568"/>
      <c r="Y11" s="3703"/>
      <c r="Z11" s="1148" t="str">
        <f t="shared" si="7"/>
        <v>容积率</v>
      </c>
      <c r="AA11" s="1569" t="e">
        <f t="shared" si="3"/>
        <v>#N/A</v>
      </c>
      <c r="AB11" s="1569" t="e">
        <f t="shared" si="4"/>
        <v>#N/A</v>
      </c>
      <c r="AC11" s="1569" t="e">
        <f t="shared" si="5"/>
        <v>#N/A</v>
      </c>
    </row>
    <row r="12" spans="1:29" s="1218" customFormat="1" ht="15">
      <c r="A12" s="2941"/>
      <c r="B12" s="2947">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746"/>
      <c r="Q12" s="1149">
        <f t="shared" si="6"/>
        <v>111</v>
      </c>
      <c r="R12" s="1566" t="s">
        <v>8</v>
      </c>
      <c r="S12" s="1567">
        <f t="shared" si="0"/>
        <v>100</v>
      </c>
      <c r="T12" s="1566" t="s">
        <v>8</v>
      </c>
      <c r="U12" s="1567">
        <f t="shared" si="1"/>
        <v>100</v>
      </c>
      <c r="V12" s="1566" t="s">
        <v>8</v>
      </c>
      <c r="W12" s="1567">
        <f t="shared" si="2"/>
        <v>100</v>
      </c>
      <c r="X12" s="1568"/>
      <c r="Y12" s="3703"/>
      <c r="Z12" s="1148">
        <f t="shared" si="7"/>
        <v>111</v>
      </c>
      <c r="AA12" s="1569">
        <f>D12/F12</f>
        <v>1</v>
      </c>
      <c r="AB12" s="1569">
        <f>D12/H12</f>
        <v>1</v>
      </c>
      <c r="AC12" s="1569">
        <f>D12/J12</f>
        <v>1</v>
      </c>
    </row>
    <row r="13" spans="1:29" ht="15">
      <c r="A13" s="2941"/>
      <c r="B13" s="2947">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746"/>
      <c r="Q13" s="1149">
        <f t="shared" si="6"/>
        <v>111</v>
      </c>
      <c r="R13" s="1566" t="s">
        <v>8</v>
      </c>
      <c r="S13" s="1567">
        <f t="shared" si="0"/>
        <v>100</v>
      </c>
      <c r="T13" s="1566" t="s">
        <v>8</v>
      </c>
      <c r="U13" s="1567">
        <f t="shared" si="1"/>
        <v>100</v>
      </c>
      <c r="V13" s="1566" t="s">
        <v>8</v>
      </c>
      <c r="W13" s="1567">
        <f t="shared" si="2"/>
        <v>100</v>
      </c>
      <c r="X13" s="1568"/>
      <c r="Y13" s="3703"/>
      <c r="Z13" s="1148">
        <f t="shared" si="7"/>
        <v>111</v>
      </c>
      <c r="AA13" s="1569">
        <f t="shared" si="3"/>
        <v>1</v>
      </c>
      <c r="AB13" s="1569">
        <f t="shared" si="4"/>
        <v>1</v>
      </c>
      <c r="AC13" s="1569">
        <f t="shared" si="5"/>
        <v>1</v>
      </c>
    </row>
    <row r="14" spans="1:29" ht="15.75" thickBot="1">
      <c r="A14" s="2942"/>
      <c r="B14" s="2948">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746"/>
      <c r="Q14" s="1149">
        <f t="shared" si="6"/>
        <v>111</v>
      </c>
      <c r="R14" s="1566" t="s">
        <v>8</v>
      </c>
      <c r="S14" s="1567">
        <f t="shared" si="0"/>
        <v>100</v>
      </c>
      <c r="T14" s="1566" t="s">
        <v>8</v>
      </c>
      <c r="U14" s="1567">
        <f t="shared" si="1"/>
        <v>100</v>
      </c>
      <c r="V14" s="1566" t="s">
        <v>8</v>
      </c>
      <c r="W14" s="1567">
        <f t="shared" si="2"/>
        <v>100</v>
      </c>
      <c r="X14" s="1568"/>
      <c r="Y14" s="3703"/>
      <c r="Z14" s="1148">
        <f t="shared" si="7"/>
        <v>111</v>
      </c>
      <c r="AA14" s="1569">
        <f t="shared" si="3"/>
        <v>1</v>
      </c>
      <c r="AB14" s="1569">
        <f t="shared" si="4"/>
        <v>1</v>
      </c>
      <c r="AC14" s="1569">
        <f t="shared" si="5"/>
        <v>1</v>
      </c>
    </row>
    <row r="15" spans="1:29" ht="15">
      <c r="A15" s="2934" t="s">
        <v>2760</v>
      </c>
      <c r="B15" s="546" t="s">
        <v>543</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748" t="s">
        <v>541</v>
      </c>
      <c r="Q15" s="1570" t="str">
        <f t="shared" si="6"/>
        <v>办公集聚程度</v>
      </c>
      <c r="R15" s="1571" t="s">
        <v>8</v>
      </c>
      <c r="S15" s="1572">
        <f t="shared" si="0"/>
        <v>100</v>
      </c>
      <c r="T15" s="1571" t="s">
        <v>8</v>
      </c>
      <c r="U15" s="1572">
        <f t="shared" si="1"/>
        <v>100</v>
      </c>
      <c r="V15" s="1571" t="s">
        <v>8</v>
      </c>
      <c r="W15" s="1572">
        <f t="shared" si="2"/>
        <v>100</v>
      </c>
      <c r="X15" s="1565"/>
      <c r="Y15" s="3748" t="s">
        <v>541</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749"/>
      <c r="Q16" s="1570"/>
      <c r="R16" s="1571"/>
      <c r="S16" s="1572"/>
      <c r="T16" s="1571"/>
      <c r="U16" s="1572"/>
      <c r="V16" s="1571"/>
      <c r="W16" s="1572"/>
      <c r="X16" s="1565"/>
      <c r="Y16" s="3749"/>
      <c r="Z16" s="1573"/>
      <c r="AA16" s="1574">
        <v>1</v>
      </c>
      <c r="AB16" s="1574">
        <v>1</v>
      </c>
      <c r="AC16" s="1574">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749"/>
      <c r="Q17" s="1570" t="str">
        <f>B17</f>
        <v>交通便捷度</v>
      </c>
      <c r="R17" s="1571" t="s">
        <v>8</v>
      </c>
      <c r="S17" s="1572">
        <f>F17</f>
        <v>100</v>
      </c>
      <c r="T17" s="1571" t="s">
        <v>8</v>
      </c>
      <c r="U17" s="1572">
        <f>H17</f>
        <v>100</v>
      </c>
      <c r="V17" s="1571" t="s">
        <v>8</v>
      </c>
      <c r="W17" s="1572">
        <f>J17</f>
        <v>100</v>
      </c>
      <c r="X17" s="1565"/>
      <c r="Y17" s="3749"/>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749"/>
      <c r="Q18" s="1570"/>
      <c r="R18" s="1571"/>
      <c r="S18" s="1572"/>
      <c r="T18" s="1571"/>
      <c r="U18" s="1572"/>
      <c r="V18" s="1571"/>
      <c r="W18" s="1572"/>
      <c r="X18" s="1565"/>
      <c r="Y18" s="3749"/>
      <c r="Z18" s="1573"/>
      <c r="AA18" s="1574">
        <v>1</v>
      </c>
      <c r="AB18" s="1574">
        <v>1</v>
      </c>
      <c r="AC18" s="1574">
        <v>1</v>
      </c>
    </row>
    <row r="19" spans="1:29" ht="15">
      <c r="A19" s="531"/>
      <c r="B19" s="2626" t="s">
        <v>2552</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749"/>
      <c r="Q19" s="1570" t="str">
        <f>B19</f>
        <v>公共配套设施</v>
      </c>
      <c r="R19" s="1571" t="s">
        <v>8</v>
      </c>
      <c r="S19" s="1572">
        <f>F19</f>
        <v>100</v>
      </c>
      <c r="T19" s="1571" t="s">
        <v>8</v>
      </c>
      <c r="U19" s="1572">
        <f>H19</f>
        <v>100</v>
      </c>
      <c r="V19" s="1571" t="s">
        <v>8</v>
      </c>
      <c r="W19" s="1572">
        <f>J19</f>
        <v>100</v>
      </c>
      <c r="X19" s="1565"/>
      <c r="Y19" s="3749"/>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749"/>
      <c r="Q20" s="1570"/>
      <c r="R20" s="1571"/>
      <c r="S20" s="1572"/>
      <c r="T20" s="1571"/>
      <c r="U20" s="1572"/>
      <c r="V20" s="1571"/>
      <c r="W20" s="1572"/>
      <c r="X20" s="1565"/>
      <c r="Y20" s="3749"/>
      <c r="Z20" s="1573"/>
      <c r="AA20" s="1574">
        <v>1</v>
      </c>
      <c r="AB20" s="1574">
        <v>1</v>
      </c>
      <c r="AC20" s="1574">
        <v>1</v>
      </c>
    </row>
    <row r="21" spans="1:29" ht="15">
      <c r="A21" s="531"/>
      <c r="B21" s="2614" t="s">
        <v>2564</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749"/>
      <c r="Q21" s="2602" t="str">
        <f>B21</f>
        <v>基础设施水平</v>
      </c>
      <c r="R21" s="1571" t="s">
        <v>8</v>
      </c>
      <c r="S21" s="1572">
        <f>F21</f>
        <v>100</v>
      </c>
      <c r="T21" s="1571" t="s">
        <v>8</v>
      </c>
      <c r="U21" s="1572">
        <f>H21</f>
        <v>100</v>
      </c>
      <c r="V21" s="1571" t="s">
        <v>8</v>
      </c>
      <c r="W21" s="1572">
        <f>J21</f>
        <v>100</v>
      </c>
      <c r="X21" s="2604"/>
      <c r="Y21" s="3749"/>
      <c r="Z21" s="2603"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5"/>
      <c r="L22" s="2141"/>
      <c r="M22" s="2133"/>
      <c r="N22" s="2133"/>
      <c r="O22" s="2133"/>
      <c r="P22" s="3749"/>
      <c r="Q22" s="2602"/>
      <c r="R22" s="1571"/>
      <c r="S22" s="1572"/>
      <c r="T22" s="1571"/>
      <c r="U22" s="1572"/>
      <c r="V22" s="1571"/>
      <c r="W22" s="1572"/>
      <c r="X22" s="2604"/>
      <c r="Y22" s="3749"/>
      <c r="Z22" s="2603"/>
      <c r="AA22" s="1574">
        <v>1</v>
      </c>
      <c r="AB22" s="1574">
        <v>1</v>
      </c>
      <c r="AC22" s="1574">
        <v>1</v>
      </c>
    </row>
    <row r="23" spans="1:29" ht="15">
      <c r="A23" s="531"/>
      <c r="B23" s="559" t="s">
        <v>779</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749"/>
      <c r="Q23" s="1570" t="str">
        <f>B23</f>
        <v>环境质量</v>
      </c>
      <c r="R23" s="1571" t="s">
        <v>8</v>
      </c>
      <c r="S23" s="1572">
        <f>F23</f>
        <v>100</v>
      </c>
      <c r="T23" s="1571" t="s">
        <v>8</v>
      </c>
      <c r="U23" s="1572">
        <f>H23</f>
        <v>100</v>
      </c>
      <c r="V23" s="1571" t="s">
        <v>8</v>
      </c>
      <c r="W23" s="1572">
        <f>J23</f>
        <v>100</v>
      </c>
      <c r="X23" s="1565"/>
      <c r="Y23" s="3749"/>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749"/>
      <c r="Q24" s="1570"/>
      <c r="R24" s="1571"/>
      <c r="S24" s="1572"/>
      <c r="T24" s="1571"/>
      <c r="U24" s="1572"/>
      <c r="V24" s="1571"/>
      <c r="W24" s="1572"/>
      <c r="X24" s="1565"/>
      <c r="Y24" s="3749"/>
      <c r="Z24" s="1573"/>
      <c r="AA24" s="1574">
        <v>1</v>
      </c>
      <c r="AB24" s="1574">
        <v>1</v>
      </c>
      <c r="AC24" s="1574">
        <v>1</v>
      </c>
    </row>
    <row r="25" spans="1:29" ht="27">
      <c r="A25" s="514"/>
      <c r="B25" s="559" t="s">
        <v>549</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749"/>
      <c r="Q25" s="1570" t="str">
        <f>B25</f>
        <v>毗邻道路的类型与等级</v>
      </c>
      <c r="R25" s="1571" t="s">
        <v>8</v>
      </c>
      <c r="S25" s="1572">
        <f>F25</f>
        <v>100</v>
      </c>
      <c r="T25" s="1571" t="s">
        <v>8</v>
      </c>
      <c r="U25" s="1572">
        <f>H25</f>
        <v>100</v>
      </c>
      <c r="V25" s="1571" t="s">
        <v>8</v>
      </c>
      <c r="W25" s="1572">
        <f>J25</f>
        <v>100</v>
      </c>
      <c r="X25" s="1565"/>
      <c r="Y25" s="3749"/>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749"/>
      <c r="Q26" s="1570"/>
      <c r="R26" s="1571"/>
      <c r="S26" s="1572"/>
      <c r="T26" s="1571"/>
      <c r="U26" s="1572"/>
      <c r="V26" s="1571"/>
      <c r="W26" s="1572"/>
      <c r="X26" s="1565"/>
      <c r="Y26" s="3749"/>
      <c r="Z26" s="1573"/>
      <c r="AA26" s="1574">
        <v>1</v>
      </c>
      <c r="AB26" s="1574">
        <v>1</v>
      </c>
      <c r="AC26" s="1574">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749"/>
      <c r="Q27" s="1570" t="str">
        <f t="shared" ref="Q27:Q47" si="11">B27</f>
        <v>楼层</v>
      </c>
      <c r="R27" s="1571" t="s">
        <v>8</v>
      </c>
      <c r="S27" s="1572">
        <f>F27</f>
        <v>100</v>
      </c>
      <c r="T27" s="1571" t="s">
        <v>8</v>
      </c>
      <c r="U27" s="1572">
        <f>H27</f>
        <v>100</v>
      </c>
      <c r="V27" s="1571" t="s">
        <v>8</v>
      </c>
      <c r="W27" s="1572">
        <f>J27</f>
        <v>100</v>
      </c>
      <c r="X27" s="1565"/>
      <c r="Y27" s="3749"/>
      <c r="Z27" s="1573" t="str">
        <f>Q27</f>
        <v>楼层</v>
      </c>
      <c r="AA27" s="1574">
        <f t="shared" si="3"/>
        <v>1</v>
      </c>
      <c r="AB27" s="1574">
        <f t="shared" si="4"/>
        <v>1</v>
      </c>
      <c r="AC27" s="1574">
        <f t="shared" si="5"/>
        <v>1</v>
      </c>
    </row>
    <row r="28" spans="1:29" s="1218" customFormat="1" ht="15">
      <c r="A28" s="535"/>
      <c r="B28" s="559" t="s">
        <v>780</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749"/>
      <c r="Q28" s="1149" t="str">
        <f t="shared" si="11"/>
        <v>朝向</v>
      </c>
      <c r="R28" s="1566" t="s">
        <v>8</v>
      </c>
      <c r="S28" s="1567">
        <f>F28</f>
        <v>100</v>
      </c>
      <c r="T28" s="1566" t="s">
        <v>8</v>
      </c>
      <c r="U28" s="1567">
        <f>H28</f>
        <v>100</v>
      </c>
      <c r="V28" s="1566" t="s">
        <v>8</v>
      </c>
      <c r="W28" s="1567">
        <f>J28</f>
        <v>100</v>
      </c>
      <c r="X28" s="1568"/>
      <c r="Y28" s="3749"/>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749"/>
      <c r="Q29" s="1570">
        <f t="shared" si="11"/>
        <v>111</v>
      </c>
      <c r="R29" s="1571" t="s">
        <v>8</v>
      </c>
      <c r="S29" s="1572">
        <f t="shared" ref="S29:S47" si="12">F29</f>
        <v>100</v>
      </c>
      <c r="T29" s="1571" t="s">
        <v>8</v>
      </c>
      <c r="U29" s="1572">
        <f t="shared" ref="U29:U47" si="13">H29</f>
        <v>100</v>
      </c>
      <c r="V29" s="1571" t="s">
        <v>8</v>
      </c>
      <c r="W29" s="1572">
        <f t="shared" ref="W29:W47" si="14">J29</f>
        <v>100</v>
      </c>
      <c r="X29" s="1565"/>
      <c r="Y29" s="3749"/>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749"/>
      <c r="Q30" s="1570">
        <f t="shared" si="11"/>
        <v>111</v>
      </c>
      <c r="R30" s="1571" t="s">
        <v>8</v>
      </c>
      <c r="S30" s="1572">
        <f t="shared" si="12"/>
        <v>100</v>
      </c>
      <c r="T30" s="1571" t="s">
        <v>8</v>
      </c>
      <c r="U30" s="1572">
        <f t="shared" si="13"/>
        <v>100</v>
      </c>
      <c r="V30" s="1571" t="s">
        <v>8</v>
      </c>
      <c r="W30" s="1572">
        <f t="shared" si="14"/>
        <v>100</v>
      </c>
      <c r="X30" s="1565"/>
      <c r="Y30" s="3749"/>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749"/>
      <c r="Q31" s="1570">
        <f t="shared" si="11"/>
        <v>111</v>
      </c>
      <c r="R31" s="1571" t="s">
        <v>8</v>
      </c>
      <c r="S31" s="1572">
        <f t="shared" si="12"/>
        <v>100</v>
      </c>
      <c r="T31" s="1571" t="s">
        <v>8</v>
      </c>
      <c r="U31" s="1572">
        <f t="shared" si="13"/>
        <v>100</v>
      </c>
      <c r="V31" s="1571" t="s">
        <v>8</v>
      </c>
      <c r="W31" s="1572">
        <f t="shared" si="14"/>
        <v>100</v>
      </c>
      <c r="X31" s="1565"/>
      <c r="Y31" s="3749"/>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749"/>
      <c r="Q32" s="1570">
        <f t="shared" si="11"/>
        <v>111</v>
      </c>
      <c r="R32" s="1571" t="s">
        <v>8</v>
      </c>
      <c r="S32" s="1572">
        <f t="shared" si="12"/>
        <v>100</v>
      </c>
      <c r="T32" s="1571" t="s">
        <v>8</v>
      </c>
      <c r="U32" s="1572">
        <f t="shared" si="13"/>
        <v>100</v>
      </c>
      <c r="V32" s="1571" t="s">
        <v>8</v>
      </c>
      <c r="W32" s="1572">
        <f t="shared" si="14"/>
        <v>100</v>
      </c>
      <c r="X32" s="1565"/>
      <c r="Y32" s="3749"/>
      <c r="Z32" s="1573">
        <f t="shared" si="15"/>
        <v>111</v>
      </c>
      <c r="AA32" s="1574">
        <f t="shared" si="3"/>
        <v>1</v>
      </c>
      <c r="AB32" s="1574">
        <f t="shared" si="4"/>
        <v>1</v>
      </c>
      <c r="AC32" s="1574">
        <f t="shared" si="5"/>
        <v>1</v>
      </c>
    </row>
    <row r="33" spans="1:29" ht="15">
      <c r="A33" s="2931" t="s">
        <v>2761</v>
      </c>
      <c r="B33" s="171" t="s">
        <v>781</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750" t="s">
        <v>551</v>
      </c>
      <c r="Q33" s="1570" t="str">
        <f t="shared" si="11"/>
        <v>建筑类型</v>
      </c>
      <c r="R33" s="1571" t="s">
        <v>8</v>
      </c>
      <c r="S33" s="1572">
        <f t="shared" si="12"/>
        <v>100</v>
      </c>
      <c r="T33" s="1571" t="s">
        <v>8</v>
      </c>
      <c r="U33" s="1572">
        <f t="shared" si="13"/>
        <v>100</v>
      </c>
      <c r="V33" s="1571" t="s">
        <v>8</v>
      </c>
      <c r="W33" s="1572">
        <f t="shared" si="14"/>
        <v>100</v>
      </c>
      <c r="X33" s="1565"/>
      <c r="Y33" s="3751" t="s">
        <v>551</v>
      </c>
      <c r="Z33" s="1573" t="str">
        <f t="shared" si="15"/>
        <v>建筑类型</v>
      </c>
      <c r="AA33" s="1574">
        <f t="shared" si="3"/>
        <v>1</v>
      </c>
      <c r="AB33" s="1574">
        <f t="shared" si="4"/>
        <v>1</v>
      </c>
      <c r="AC33" s="1574">
        <f t="shared" si="5"/>
        <v>1</v>
      </c>
    </row>
    <row r="34" spans="1:29" s="1337" customFormat="1" ht="15">
      <c r="A34" s="602"/>
      <c r="B34" s="526" t="s">
        <v>727</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751"/>
      <c r="Q34" s="1603" t="str">
        <f t="shared" si="11"/>
        <v>项目建筑规模</v>
      </c>
      <c r="R34" s="1575" t="s">
        <v>8</v>
      </c>
      <c r="S34" s="1576" t="e">
        <f t="shared" si="12"/>
        <v>#N/A</v>
      </c>
      <c r="T34" s="1575" t="s">
        <v>8</v>
      </c>
      <c r="U34" s="1576" t="e">
        <f t="shared" si="13"/>
        <v>#N/A</v>
      </c>
      <c r="V34" s="1575" t="s">
        <v>8</v>
      </c>
      <c r="W34" s="1576" t="e">
        <f t="shared" si="14"/>
        <v>#N/A</v>
      </c>
      <c r="X34" s="1577"/>
      <c r="Y34" s="3751"/>
      <c r="Z34" s="1578" t="str">
        <f t="shared" si="15"/>
        <v>项目建筑规模</v>
      </c>
      <c r="AA34" s="1574" t="e">
        <f t="shared" si="3"/>
        <v>#N/A</v>
      </c>
      <c r="AB34" s="1574" t="e">
        <f t="shared" si="4"/>
        <v>#N/A</v>
      </c>
      <c r="AC34" s="1574"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751"/>
      <c r="Q35" s="1570" t="str">
        <f t="shared" si="11"/>
        <v>建筑结构</v>
      </c>
      <c r="R35" s="1571" t="s">
        <v>8</v>
      </c>
      <c r="S35" s="1572">
        <f t="shared" si="12"/>
        <v>100</v>
      </c>
      <c r="T35" s="1571" t="s">
        <v>8</v>
      </c>
      <c r="U35" s="1572">
        <f t="shared" si="13"/>
        <v>100</v>
      </c>
      <c r="V35" s="1571" t="s">
        <v>8</v>
      </c>
      <c r="W35" s="1572">
        <f t="shared" si="14"/>
        <v>100</v>
      </c>
      <c r="X35" s="1565"/>
      <c r="Y35" s="3751"/>
      <c r="Z35" s="1573" t="str">
        <f t="shared" si="15"/>
        <v>建筑结构</v>
      </c>
      <c r="AA35" s="1574">
        <f t="shared" si="3"/>
        <v>1</v>
      </c>
      <c r="AB35" s="1574">
        <f t="shared" si="4"/>
        <v>1</v>
      </c>
      <c r="AC35" s="1574">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751"/>
      <c r="Q36" s="1570" t="str">
        <f t="shared" si="11"/>
        <v>公共部分装修</v>
      </c>
      <c r="R36" s="1571" t="s">
        <v>8</v>
      </c>
      <c r="S36" s="1572">
        <f t="shared" si="12"/>
        <v>100</v>
      </c>
      <c r="T36" s="1571" t="s">
        <v>8</v>
      </c>
      <c r="U36" s="1572">
        <f t="shared" si="13"/>
        <v>100</v>
      </c>
      <c r="V36" s="1571" t="s">
        <v>8</v>
      </c>
      <c r="W36" s="1572">
        <f t="shared" si="14"/>
        <v>100</v>
      </c>
      <c r="X36" s="1565"/>
      <c r="Y36" s="3751"/>
      <c r="Z36" s="1573" t="str">
        <f t="shared" si="15"/>
        <v>公共部分装修</v>
      </c>
      <c r="AA36" s="1574">
        <f t="shared" si="3"/>
        <v>1</v>
      </c>
      <c r="AB36" s="1574">
        <f t="shared" si="4"/>
        <v>1</v>
      </c>
      <c r="AC36" s="1574">
        <f t="shared" si="5"/>
        <v>1</v>
      </c>
    </row>
    <row r="37" spans="1:29" ht="15">
      <c r="A37" s="593"/>
      <c r="B37" s="526" t="s">
        <v>765</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751"/>
      <c r="Q37" s="1570" t="str">
        <f t="shared" si="11"/>
        <v>成新度</v>
      </c>
      <c r="R37" s="1571" t="s">
        <v>8</v>
      </c>
      <c r="S37" s="1572" t="e">
        <f t="shared" si="12"/>
        <v>#N/A</v>
      </c>
      <c r="T37" s="1571" t="s">
        <v>8</v>
      </c>
      <c r="U37" s="1572" t="e">
        <f t="shared" si="13"/>
        <v>#N/A</v>
      </c>
      <c r="V37" s="1571" t="s">
        <v>8</v>
      </c>
      <c r="W37" s="1572" t="e">
        <f t="shared" si="14"/>
        <v>#N/A</v>
      </c>
      <c r="X37" s="1565"/>
      <c r="Y37" s="3751"/>
      <c r="Z37" s="1573" t="str">
        <f t="shared" si="15"/>
        <v>成新度</v>
      </c>
      <c r="AA37" s="1574" t="e">
        <f t="shared" si="3"/>
        <v>#N/A</v>
      </c>
      <c r="AB37" s="1574" t="e">
        <f t="shared" si="4"/>
        <v>#N/A</v>
      </c>
      <c r="AC37" s="1574" t="e">
        <f t="shared" si="5"/>
        <v>#N/A</v>
      </c>
    </row>
    <row r="38" spans="1:29" s="1218"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751"/>
      <c r="Q38" s="1149" t="str">
        <f t="shared" si="11"/>
        <v>写字楼等级</v>
      </c>
      <c r="R38" s="1566" t="s">
        <v>8</v>
      </c>
      <c r="S38" s="1567">
        <f t="shared" si="12"/>
        <v>100</v>
      </c>
      <c r="T38" s="1566" t="s">
        <v>8</v>
      </c>
      <c r="U38" s="1567">
        <f t="shared" si="13"/>
        <v>100</v>
      </c>
      <c r="V38" s="1566" t="s">
        <v>8</v>
      </c>
      <c r="W38" s="1567">
        <f t="shared" si="14"/>
        <v>100</v>
      </c>
      <c r="X38" s="1568"/>
      <c r="Y38" s="3751"/>
      <c r="Z38" s="1148" t="str">
        <f t="shared" si="15"/>
        <v>写字楼等级</v>
      </c>
      <c r="AA38" s="1569">
        <f t="shared" si="3"/>
        <v>1</v>
      </c>
      <c r="AB38" s="1569">
        <f t="shared" si="4"/>
        <v>1</v>
      </c>
      <c r="AC38" s="1569">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751" t="s">
        <v>551</v>
      </c>
      <c r="Q39" s="1570" t="str">
        <f t="shared" si="11"/>
        <v>物业管理</v>
      </c>
      <c r="R39" s="1571" t="s">
        <v>8</v>
      </c>
      <c r="S39" s="1572">
        <f t="shared" si="12"/>
        <v>100</v>
      </c>
      <c r="T39" s="1571" t="s">
        <v>8</v>
      </c>
      <c r="U39" s="1572">
        <f t="shared" si="13"/>
        <v>100</v>
      </c>
      <c r="V39" s="1571" t="s">
        <v>8</v>
      </c>
      <c r="W39" s="1572">
        <f t="shared" si="14"/>
        <v>100</v>
      </c>
      <c r="X39" s="1565"/>
      <c r="Y39" s="3751" t="s">
        <v>551</v>
      </c>
      <c r="Z39" s="1573" t="str">
        <f t="shared" si="15"/>
        <v>物业管理</v>
      </c>
      <c r="AA39" s="1574">
        <f t="shared" si="3"/>
        <v>1</v>
      </c>
      <c r="AB39" s="1574">
        <f t="shared" si="4"/>
        <v>1</v>
      </c>
      <c r="AC39" s="1574">
        <f t="shared" si="5"/>
        <v>1</v>
      </c>
    </row>
    <row r="40" spans="1:29" ht="15">
      <c r="A40" s="593"/>
      <c r="B40" s="1894" t="s">
        <v>2571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751"/>
      <c r="Q40" s="1570" t="str">
        <f t="shared" si="11"/>
        <v>市政基础设施</v>
      </c>
      <c r="R40" s="1571" t="s">
        <v>8</v>
      </c>
      <c r="S40" s="1572">
        <f t="shared" si="12"/>
        <v>100</v>
      </c>
      <c r="T40" s="1571" t="s">
        <v>8</v>
      </c>
      <c r="U40" s="1572">
        <f t="shared" si="13"/>
        <v>100</v>
      </c>
      <c r="V40" s="1571" t="s">
        <v>8</v>
      </c>
      <c r="W40" s="1572">
        <f t="shared" si="14"/>
        <v>100</v>
      </c>
      <c r="X40" s="1565"/>
      <c r="Y40" s="3751"/>
      <c r="Z40" s="1573" t="str">
        <f t="shared" si="15"/>
        <v>市政基础设施</v>
      </c>
      <c r="AA40" s="1574">
        <f t="shared" si="3"/>
        <v>1</v>
      </c>
      <c r="AB40" s="1574">
        <f t="shared" si="4"/>
        <v>1</v>
      </c>
      <c r="AC40" s="1574">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751"/>
      <c r="Q41" s="1570" t="str">
        <f t="shared" si="11"/>
        <v>层高</v>
      </c>
      <c r="R41" s="1571" t="s">
        <v>8</v>
      </c>
      <c r="S41" s="1572">
        <f t="shared" si="12"/>
        <v>100</v>
      </c>
      <c r="T41" s="1571" t="s">
        <v>8</v>
      </c>
      <c r="U41" s="1572">
        <f t="shared" si="13"/>
        <v>100</v>
      </c>
      <c r="V41" s="1571" t="s">
        <v>8</v>
      </c>
      <c r="W41" s="1572">
        <f t="shared" si="14"/>
        <v>100</v>
      </c>
      <c r="X41" s="1565"/>
      <c r="Y41" s="3751"/>
      <c r="Z41" s="1573" t="str">
        <f t="shared" si="15"/>
        <v>层高</v>
      </c>
      <c r="AA41" s="1574">
        <f t="shared" si="3"/>
        <v>1</v>
      </c>
      <c r="AB41" s="1574">
        <f t="shared" si="4"/>
        <v>1</v>
      </c>
      <c r="AC41" s="1574">
        <f t="shared" si="5"/>
        <v>1</v>
      </c>
    </row>
    <row r="42" spans="1:29" s="1337" customFormat="1" ht="15">
      <c r="A42" s="602"/>
      <c r="B42" s="902"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751"/>
      <c r="Q42" s="1603" t="str">
        <f t="shared" si="11"/>
        <v>单套建筑面积</v>
      </c>
      <c r="R42" s="1575" t="s">
        <v>8</v>
      </c>
      <c r="S42" s="1576">
        <f t="shared" si="12"/>
        <v>100</v>
      </c>
      <c r="T42" s="1575" t="s">
        <v>8</v>
      </c>
      <c r="U42" s="1576">
        <f t="shared" si="13"/>
        <v>100</v>
      </c>
      <c r="V42" s="1575" t="s">
        <v>8</v>
      </c>
      <c r="W42" s="1576">
        <f t="shared" si="14"/>
        <v>100</v>
      </c>
      <c r="X42" s="1577"/>
      <c r="Y42" s="3751"/>
      <c r="Z42" s="1578" t="str">
        <f t="shared" si="15"/>
        <v>单套建筑面积</v>
      </c>
      <c r="AA42" s="1574">
        <f t="shared" si="3"/>
        <v>1</v>
      </c>
      <c r="AB42" s="1574">
        <f t="shared" si="4"/>
        <v>1</v>
      </c>
      <c r="AC42" s="1574">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751"/>
      <c r="Q43" s="1570" t="str">
        <f t="shared" si="11"/>
        <v>内部装修</v>
      </c>
      <c r="R43" s="1571" t="s">
        <v>8</v>
      </c>
      <c r="S43" s="1572">
        <f t="shared" si="12"/>
        <v>100</v>
      </c>
      <c r="T43" s="1571" t="s">
        <v>8</v>
      </c>
      <c r="U43" s="1572">
        <f t="shared" si="13"/>
        <v>100</v>
      </c>
      <c r="V43" s="1571" t="s">
        <v>8</v>
      </c>
      <c r="W43" s="1572">
        <f t="shared" si="14"/>
        <v>100</v>
      </c>
      <c r="X43" s="1565"/>
      <c r="Y43" s="3751"/>
      <c r="Z43" s="1573" t="str">
        <f t="shared" si="15"/>
        <v>内部装修</v>
      </c>
      <c r="AA43" s="1574">
        <f t="shared" si="3"/>
        <v>1</v>
      </c>
      <c r="AB43" s="1574">
        <f t="shared" si="4"/>
        <v>1</v>
      </c>
      <c r="AC43" s="1574">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751"/>
      <c r="Q44" s="1570" t="str">
        <f t="shared" si="11"/>
        <v>内部装修维护情况</v>
      </c>
      <c r="R44" s="1571" t="s">
        <v>8</v>
      </c>
      <c r="S44" s="1572">
        <f t="shared" si="12"/>
        <v>100</v>
      </c>
      <c r="T44" s="1571" t="s">
        <v>8</v>
      </c>
      <c r="U44" s="1572">
        <f t="shared" si="13"/>
        <v>100</v>
      </c>
      <c r="V44" s="1571" t="s">
        <v>8</v>
      </c>
      <c r="W44" s="1572">
        <f t="shared" si="14"/>
        <v>100</v>
      </c>
      <c r="X44" s="1565"/>
      <c r="Y44" s="3751"/>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751"/>
      <c r="Q45" s="1149">
        <f t="shared" si="11"/>
        <v>111</v>
      </c>
      <c r="R45" s="1566" t="s">
        <v>8</v>
      </c>
      <c r="S45" s="1567">
        <f t="shared" si="12"/>
        <v>100</v>
      </c>
      <c r="T45" s="1566" t="s">
        <v>8</v>
      </c>
      <c r="U45" s="1567">
        <f t="shared" si="13"/>
        <v>100</v>
      </c>
      <c r="V45" s="1566" t="s">
        <v>8</v>
      </c>
      <c r="W45" s="1567">
        <f t="shared" si="14"/>
        <v>100</v>
      </c>
      <c r="X45" s="1568"/>
      <c r="Y45" s="3751"/>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751"/>
      <c r="Q46" s="1570">
        <f t="shared" si="11"/>
        <v>111</v>
      </c>
      <c r="R46" s="1571" t="s">
        <v>8</v>
      </c>
      <c r="S46" s="1572">
        <f t="shared" si="12"/>
        <v>100</v>
      </c>
      <c r="T46" s="1571" t="s">
        <v>8</v>
      </c>
      <c r="U46" s="1572">
        <f t="shared" si="13"/>
        <v>100</v>
      </c>
      <c r="V46" s="1571" t="s">
        <v>8</v>
      </c>
      <c r="W46" s="1572">
        <f t="shared" si="14"/>
        <v>100</v>
      </c>
      <c r="X46" s="1565"/>
      <c r="Y46" s="3751"/>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850"/>
      <c r="Q47" s="1570">
        <f t="shared" si="11"/>
        <v>111</v>
      </c>
      <c r="R47" s="1571" t="s">
        <v>8</v>
      </c>
      <c r="S47" s="1572">
        <f t="shared" si="12"/>
        <v>100</v>
      </c>
      <c r="T47" s="1571" t="s">
        <v>8</v>
      </c>
      <c r="U47" s="1572">
        <f t="shared" si="13"/>
        <v>100</v>
      </c>
      <c r="V47" s="1571" t="s">
        <v>8</v>
      </c>
      <c r="W47" s="1572">
        <f t="shared" si="14"/>
        <v>100</v>
      </c>
      <c r="X47" s="1565"/>
      <c r="Y47" s="3850"/>
      <c r="Z47" s="1573">
        <f t="shared" si="15"/>
        <v>111</v>
      </c>
      <c r="AA47" s="1574">
        <f t="shared" si="3"/>
        <v>1</v>
      </c>
      <c r="AB47" s="1574">
        <f t="shared" si="4"/>
        <v>1</v>
      </c>
      <c r="AC47" s="1574">
        <f t="shared" si="5"/>
        <v>1</v>
      </c>
    </row>
    <row r="48" spans="1:29" ht="15">
      <c r="A48" s="606" t="s">
        <v>737</v>
      </c>
      <c r="B48" s="885"/>
      <c r="C48" s="2650" t="s">
        <v>1</v>
      </c>
      <c r="D48" s="2651"/>
      <c r="E48" s="2652"/>
      <c r="F48" s="2653"/>
      <c r="G48" s="2654"/>
      <c r="H48" s="2655"/>
      <c r="I48" s="2652"/>
      <c r="J48" s="2655"/>
      <c r="K48" s="1609"/>
      <c r="L48" s="2143"/>
      <c r="M48" s="2133"/>
      <c r="N48" s="2133"/>
      <c r="O48" s="2133"/>
      <c r="P48" s="3771" t="str">
        <f>A48</f>
        <v>成交单价（元/平方米）</v>
      </c>
      <c r="Q48" s="3746"/>
      <c r="R48" s="3849">
        <f>E48</f>
        <v>0</v>
      </c>
      <c r="S48" s="3849"/>
      <c r="T48" s="3849">
        <f>G48</f>
        <v>0</v>
      </c>
      <c r="U48" s="3849"/>
      <c r="V48" s="3849">
        <f>I48</f>
        <v>0</v>
      </c>
      <c r="W48" s="3849"/>
      <c r="X48" s="1557"/>
      <c r="Y48" s="1579"/>
      <c r="Z48" s="1557"/>
      <c r="AA48" s="1557"/>
      <c r="AB48" s="1557"/>
      <c r="AC48" s="1557"/>
    </row>
    <row r="49" spans="1:29" ht="15.75" thickBot="1">
      <c r="A49" s="614" t="s">
        <v>2766</v>
      </c>
      <c r="B49" s="886"/>
      <c r="C49" s="2656" t="e">
        <f>R50</f>
        <v>#DIV/0!</v>
      </c>
      <c r="D49" s="2657"/>
      <c r="E49" s="2658" t="e">
        <f>R49</f>
        <v>#DIV/0!</v>
      </c>
      <c r="F49" s="2658"/>
      <c r="G49" s="2656" t="e">
        <f>T49</f>
        <v>#DIV/0!</v>
      </c>
      <c r="H49" s="2657"/>
      <c r="I49" s="2658" t="e">
        <f>V49</f>
        <v>#DIV/0!</v>
      </c>
      <c r="J49" s="2657"/>
      <c r="K49" s="1610"/>
      <c r="L49" s="2143"/>
      <c r="M49" s="2133"/>
      <c r="N49" s="2133"/>
      <c r="O49" s="2133"/>
      <c r="P49" s="3771" t="str">
        <f>A49</f>
        <v>比较价格（元/平方米）</v>
      </c>
      <c r="Q49" s="3746"/>
      <c r="R49" s="3849" t="e">
        <f>IF(F1="售价",ROUND(PRODUCT(R48,AA7:AA47),0),ROUND(PRODUCT(R48,AA7:AA47),1))</f>
        <v>#DIV/0!</v>
      </c>
      <c r="S49" s="3849"/>
      <c r="T49" s="3849" t="e">
        <f>IF(F1="售价",ROUND(PRODUCT(T48,AB7:AB47),0),ROUND(PRODUCT(T48,AB7:AB47),1))</f>
        <v>#DIV/0!</v>
      </c>
      <c r="U49" s="3849"/>
      <c r="V49" s="3849" t="e">
        <f>IF(F1="售价",ROUND(PRODUCT(V48,AC7:AC47),0),ROUND(PRODUCT(V48,AC7:AC47),1))</f>
        <v>#DIV/0!</v>
      </c>
      <c r="W49" s="3849"/>
      <c r="X49" s="1557"/>
      <c r="Y49" s="1557"/>
      <c r="Z49" s="1557"/>
      <c r="AA49" s="1557"/>
      <c r="AB49" s="1557"/>
      <c r="AC49" s="1557"/>
    </row>
    <row r="50" spans="1:29" ht="15.75" thickBot="1">
      <c r="A50" s="620" t="s">
        <v>2933</v>
      </c>
      <c r="B50" s="621"/>
      <c r="C50" s="2659" t="e">
        <f>R50</f>
        <v>#DIV/0!</v>
      </c>
      <c r="D50" s="2659"/>
      <c r="E50" s="2659"/>
      <c r="F50" s="2659"/>
      <c r="G50" s="2659"/>
      <c r="H50" s="2659"/>
      <c r="I50" s="2659"/>
      <c r="J50" s="2659"/>
      <c r="K50" s="1611"/>
      <c r="L50" s="2143"/>
      <c r="M50" s="2133"/>
      <c r="N50" s="2133"/>
      <c r="O50" s="2133"/>
      <c r="P50" s="3854" t="str">
        <f>A50</f>
        <v>估价对象XX用房的比较价格（楼面单价，元/平方米）</v>
      </c>
      <c r="Q50" s="3771"/>
      <c r="R50" s="3848" t="e">
        <f>IF(F1="售价",ROUND(AVERAGE(R49:V49),0),ROUND(AVERAGE(R49:V49),1))</f>
        <v>#DIV/0!</v>
      </c>
      <c r="S50" s="3848"/>
      <c r="T50" s="3848"/>
      <c r="U50" s="3848"/>
      <c r="V50" s="3848"/>
      <c r="W50" s="3848"/>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575</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530</v>
      </c>
      <c r="B59" s="645"/>
      <c r="C59" s="2826" t="str">
        <f>YEAR(C7)&amp;"-"&amp;MONTH(C7)</f>
        <v>2018-3</v>
      </c>
      <c r="D59" s="2828">
        <f>EDATE(C59,-1)</f>
        <v>43132</v>
      </c>
      <c r="E59" s="2828">
        <f t="shared" ref="E59:O59" si="16">EDATE(D59,-1)</f>
        <v>43101</v>
      </c>
      <c r="F59" s="2828">
        <f t="shared" si="16"/>
        <v>43070</v>
      </c>
      <c r="G59" s="2828">
        <f t="shared" si="16"/>
        <v>43040</v>
      </c>
      <c r="H59" s="2828">
        <f t="shared" si="16"/>
        <v>43009</v>
      </c>
      <c r="I59" s="2828">
        <f t="shared" si="16"/>
        <v>42979</v>
      </c>
      <c r="J59" s="2828">
        <f t="shared" si="16"/>
        <v>42948</v>
      </c>
      <c r="K59" s="2828">
        <f t="shared" si="16"/>
        <v>42917</v>
      </c>
      <c r="L59" s="2828">
        <f t="shared" si="16"/>
        <v>42887</v>
      </c>
      <c r="M59" s="2828">
        <f t="shared" si="16"/>
        <v>42856</v>
      </c>
      <c r="N59" s="2828">
        <f t="shared" si="16"/>
        <v>42826</v>
      </c>
      <c r="O59" s="2828">
        <f t="shared" si="16"/>
        <v>42795</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576</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532</v>
      </c>
      <c r="B62" s="647"/>
      <c r="C62" s="659" t="s">
        <v>577</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578</v>
      </c>
      <c r="B64" s="664" t="s">
        <v>535</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540</v>
      </c>
      <c r="B77" s="664" t="s">
        <v>586</v>
      </c>
      <c r="C77" s="702" t="s">
        <v>580</v>
      </c>
      <c r="D77" s="702" t="s">
        <v>581</v>
      </c>
      <c r="E77" s="702" t="s">
        <v>582</v>
      </c>
      <c r="F77" s="702" t="s">
        <v>583</v>
      </c>
      <c r="G77" s="702" t="s">
        <v>584</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587</v>
      </c>
      <c r="C79" s="707" t="s">
        <v>580</v>
      </c>
      <c r="D79" s="707" t="s">
        <v>581</v>
      </c>
      <c r="E79" s="707" t="s">
        <v>582</v>
      </c>
      <c r="F79" s="707" t="s">
        <v>583</v>
      </c>
      <c r="G79" s="707" t="s">
        <v>584</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2563</v>
      </c>
      <c r="C81" s="707" t="s">
        <v>580</v>
      </c>
      <c r="D81" s="707" t="s">
        <v>581</v>
      </c>
      <c r="E81" s="707" t="s">
        <v>582</v>
      </c>
      <c r="F81" s="707" t="s">
        <v>583</v>
      </c>
      <c r="G81" s="707" t="s">
        <v>584</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2564</v>
      </c>
      <c r="C83" s="2621" t="s">
        <v>2565</v>
      </c>
      <c r="D83" s="2621" t="s">
        <v>2566</v>
      </c>
      <c r="E83" s="2621" t="s">
        <v>2567</v>
      </c>
      <c r="F83" s="2621" t="s">
        <v>2568</v>
      </c>
      <c r="G83" s="2621" t="s">
        <v>2569</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785</v>
      </c>
      <c r="C85" s="707" t="s">
        <v>580</v>
      </c>
      <c r="D85" s="707" t="s">
        <v>581</v>
      </c>
      <c r="E85" s="707" t="s">
        <v>582</v>
      </c>
      <c r="F85" s="707" t="s">
        <v>583</v>
      </c>
      <c r="G85" s="707" t="s">
        <v>584</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786</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552</v>
      </c>
      <c r="B101" s="664" t="s">
        <v>748</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750</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752</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787</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754</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2562</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788</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776</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756</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502" t="s">
        <v>789</v>
      </c>
      <c r="C1" s="503" t="s">
        <v>721</v>
      </c>
      <c r="D1" s="848"/>
      <c r="E1" s="505"/>
      <c r="F1" s="2831"/>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520</v>
      </c>
      <c r="B3" s="509" t="e">
        <f>C43</f>
        <v>#DIV/0!</v>
      </c>
      <c r="C3" s="851" t="s">
        <v>723</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522</v>
      </c>
      <c r="B4" s="512"/>
      <c r="C4" s="3752" t="s">
        <v>523</v>
      </c>
      <c r="D4" s="3753"/>
      <c r="E4" s="3779" t="s">
        <v>524</v>
      </c>
      <c r="F4" s="3780"/>
      <c r="G4" s="3752" t="s">
        <v>525</v>
      </c>
      <c r="H4" s="3753"/>
      <c r="I4" s="3752" t="s">
        <v>526</v>
      </c>
      <c r="J4" s="3753"/>
      <c r="K4" s="513" t="s">
        <v>527</v>
      </c>
      <c r="L4" s="2132"/>
      <c r="M4" s="2133"/>
      <c r="N4" s="2133"/>
      <c r="O4" s="2133"/>
      <c r="P4" s="3754" t="s">
        <v>528</v>
      </c>
      <c r="Q4" s="3755"/>
      <c r="R4" s="3740" t="s">
        <v>524</v>
      </c>
      <c r="S4" s="3741"/>
      <c r="T4" s="3740" t="s">
        <v>525</v>
      </c>
      <c r="U4" s="3741"/>
      <c r="V4" s="3760" t="s">
        <v>526</v>
      </c>
      <c r="W4" s="3760"/>
      <c r="X4" s="1565"/>
      <c r="Y4" s="3740" t="s">
        <v>528</v>
      </c>
      <c r="Z4" s="3741"/>
      <c r="AA4" s="3735" t="s">
        <v>524</v>
      </c>
      <c r="AB4" s="3736" t="s">
        <v>525</v>
      </c>
      <c r="AC4" s="3735" t="s">
        <v>526</v>
      </c>
    </row>
    <row r="5" spans="1:29" ht="15">
      <c r="A5" s="514"/>
      <c r="B5" s="515"/>
      <c r="C5" s="3765" t="s">
        <v>2927</v>
      </c>
      <c r="D5" s="3764"/>
      <c r="E5" s="3781" t="s">
        <v>2928</v>
      </c>
      <c r="F5" s="3782"/>
      <c r="G5" s="3765" t="s">
        <v>2929</v>
      </c>
      <c r="H5" s="3764"/>
      <c r="I5" s="3765" t="s">
        <v>2930</v>
      </c>
      <c r="J5" s="3764"/>
      <c r="K5" s="513"/>
      <c r="L5" s="2132"/>
      <c r="M5" s="2133"/>
      <c r="N5" s="2133"/>
      <c r="O5" s="2133"/>
      <c r="P5" s="3756"/>
      <c r="Q5" s="3757"/>
      <c r="R5" s="3742"/>
      <c r="S5" s="3743"/>
      <c r="T5" s="3742"/>
      <c r="U5" s="3743"/>
      <c r="V5" s="3760"/>
      <c r="W5" s="3760"/>
      <c r="X5" s="1565"/>
      <c r="Y5" s="3742"/>
      <c r="Z5" s="3743"/>
      <c r="AA5" s="3736"/>
      <c r="AB5" s="3736"/>
      <c r="AC5" s="3736"/>
    </row>
    <row r="6" spans="1:29" ht="15.75" thickBot="1">
      <c r="A6" s="516"/>
      <c r="B6" s="517"/>
      <c r="C6" s="3783" t="s">
        <v>2931</v>
      </c>
      <c r="D6" s="3762"/>
      <c r="E6" s="3784" t="s">
        <v>2931</v>
      </c>
      <c r="F6" s="3785"/>
      <c r="G6" s="3783" t="s">
        <v>2931</v>
      </c>
      <c r="H6" s="3762"/>
      <c r="I6" s="3783" t="s">
        <v>2931</v>
      </c>
      <c r="J6" s="3762"/>
      <c r="K6" s="513" t="s">
        <v>529</v>
      </c>
      <c r="L6" s="2132"/>
      <c r="M6" s="2133"/>
      <c r="N6" s="2133"/>
      <c r="O6" s="2133"/>
      <c r="P6" s="3758"/>
      <c r="Q6" s="3759"/>
      <c r="R6" s="3742"/>
      <c r="S6" s="3743"/>
      <c r="T6" s="3744"/>
      <c r="U6" s="3745"/>
      <c r="V6" s="3760"/>
      <c r="W6" s="3760"/>
      <c r="X6" s="1565"/>
      <c r="Y6" s="3744"/>
      <c r="Z6" s="3745"/>
      <c r="AA6" s="3737"/>
      <c r="AB6" s="3737"/>
      <c r="AC6" s="3737"/>
    </row>
    <row r="7" spans="1:29" s="1218" customFormat="1" ht="15.75" thickBot="1">
      <c r="A7" s="2936"/>
      <c r="B7" s="2943" t="s">
        <v>530</v>
      </c>
      <c r="C7" s="518">
        <f>'数据-取费表'!B2</f>
        <v>43171</v>
      </c>
      <c r="D7" s="519">
        <v>100</v>
      </c>
      <c r="E7" s="520"/>
      <c r="F7" s="521">
        <f>SUMIF(52:52,YEAR(E7)&amp;"-"&amp;MONTH(E7),53:53)</f>
        <v>0</v>
      </c>
      <c r="G7" s="520"/>
      <c r="H7" s="519">
        <f>SUMIF(52:52,YEAR(G7)&amp;"-"&amp;MONTH(G7),53:53)</f>
        <v>0</v>
      </c>
      <c r="I7" s="520"/>
      <c r="J7" s="519">
        <f>SUMIF(52:52,YEAR(I7)&amp;"-"&amp;MONTH(I7),53:53)</f>
        <v>0</v>
      </c>
      <c r="K7" s="523"/>
      <c r="L7" s="2134"/>
      <c r="M7" s="2135"/>
      <c r="N7" s="2135"/>
      <c r="O7" s="2135"/>
      <c r="P7" s="3738" t="s">
        <v>531</v>
      </c>
      <c r="Q7" s="3747"/>
      <c r="R7" s="1566" t="s">
        <v>8</v>
      </c>
      <c r="S7" s="1567">
        <f t="shared" ref="S7:S15" si="0">F7</f>
        <v>0</v>
      </c>
      <c r="T7" s="1566" t="s">
        <v>8</v>
      </c>
      <c r="U7" s="1567">
        <f t="shared" ref="U7:U15" si="1">H7</f>
        <v>0</v>
      </c>
      <c r="V7" s="1566" t="s">
        <v>8</v>
      </c>
      <c r="W7" s="1567">
        <f t="shared" ref="W7:W15" si="2">J7</f>
        <v>0</v>
      </c>
      <c r="X7" s="1568"/>
      <c r="Y7" s="3738" t="s">
        <v>531</v>
      </c>
      <c r="Z7" s="3739"/>
      <c r="AA7" s="1569" t="e">
        <f>D7/F7</f>
        <v>#DIV/0!</v>
      </c>
      <c r="AB7" s="1569" t="e">
        <f>D7/H7</f>
        <v>#DIV/0!</v>
      </c>
      <c r="AC7" s="1569" t="e">
        <f>D7/J7</f>
        <v>#DIV/0!</v>
      </c>
    </row>
    <row r="8" spans="1:29" s="1218"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738" t="s">
        <v>534</v>
      </c>
      <c r="Q8" s="3739"/>
      <c r="R8" s="1566" t="s">
        <v>8</v>
      </c>
      <c r="S8" s="1567">
        <f t="shared" si="0"/>
        <v>0</v>
      </c>
      <c r="T8" s="1566" t="s">
        <v>8</v>
      </c>
      <c r="U8" s="1567">
        <f t="shared" si="1"/>
        <v>0</v>
      </c>
      <c r="V8" s="1566" t="s">
        <v>8</v>
      </c>
      <c r="W8" s="1567">
        <f t="shared" si="2"/>
        <v>0</v>
      </c>
      <c r="X8" s="1568"/>
      <c r="Y8" s="3738" t="s">
        <v>534</v>
      </c>
      <c r="Z8" s="3739"/>
      <c r="AA8" s="1569" t="e">
        <f t="shared" ref="AA8:AA40" si="3">D8/F8</f>
        <v>#DIV/0!</v>
      </c>
      <c r="AB8" s="1569" t="e">
        <f t="shared" ref="AB8:AB40" si="4">D8/H8</f>
        <v>#DIV/0!</v>
      </c>
      <c r="AC8" s="1569" t="e">
        <f t="shared" ref="AC8:AC40" si="5">D8/J8</f>
        <v>#DIV/0!</v>
      </c>
    </row>
    <row r="9" spans="1:29" s="1218" customFormat="1" ht="15">
      <c r="A9" s="2938"/>
      <c r="B9" s="2945" t="s">
        <v>2762</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746" t="s">
        <v>536</v>
      </c>
      <c r="Q9" s="1149" t="str">
        <f t="shared" ref="Q9:Q15" si="6">B9</f>
        <v>用途</v>
      </c>
      <c r="R9" s="1566" t="s">
        <v>8</v>
      </c>
      <c r="S9" s="1567">
        <f t="shared" si="0"/>
        <v>100</v>
      </c>
      <c r="T9" s="1566" t="s">
        <v>8</v>
      </c>
      <c r="U9" s="1567">
        <f t="shared" si="1"/>
        <v>100</v>
      </c>
      <c r="V9" s="1566" t="s">
        <v>8</v>
      </c>
      <c r="W9" s="1567">
        <f t="shared" si="2"/>
        <v>100</v>
      </c>
      <c r="X9" s="1568"/>
      <c r="Y9" s="3703" t="s">
        <v>537</v>
      </c>
      <c r="Z9" s="1148" t="str">
        <f t="shared" ref="Z9:Z15" si="7">Q9</f>
        <v>用途</v>
      </c>
      <c r="AA9" s="1569">
        <f t="shared" si="3"/>
        <v>1</v>
      </c>
      <c r="AB9" s="1569">
        <f t="shared" si="4"/>
        <v>1</v>
      </c>
      <c r="AC9" s="1569">
        <f t="shared" si="5"/>
        <v>1</v>
      </c>
    </row>
    <row r="10" spans="1:29" s="1336" customFormat="1" ht="27">
      <c r="A10" s="2939"/>
      <c r="B10" s="2944" t="s">
        <v>2763</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746"/>
      <c r="Q10" s="1149" t="str">
        <f t="shared" si="6"/>
        <v>土地使用年限（年）</v>
      </c>
      <c r="R10" s="1566" t="s">
        <v>8</v>
      </c>
      <c r="S10" s="1567">
        <f t="shared" si="0"/>
        <v>100</v>
      </c>
      <c r="T10" s="1566" t="s">
        <v>8</v>
      </c>
      <c r="U10" s="1567">
        <f t="shared" si="1"/>
        <v>100</v>
      </c>
      <c r="V10" s="1566" t="s">
        <v>8</v>
      </c>
      <c r="W10" s="1567">
        <f t="shared" si="2"/>
        <v>100</v>
      </c>
      <c r="X10" s="1568"/>
      <c r="Y10" s="3703"/>
      <c r="Z10" s="1148" t="str">
        <f t="shared" si="7"/>
        <v>土地使用年限（年）</v>
      </c>
      <c r="AA10" s="1569">
        <f t="shared" si="3"/>
        <v>1</v>
      </c>
      <c r="AB10" s="1569">
        <f t="shared" si="4"/>
        <v>1</v>
      </c>
      <c r="AC10" s="1569">
        <f t="shared" si="5"/>
        <v>1</v>
      </c>
    </row>
    <row r="11" spans="1:29" ht="15">
      <c r="A11" s="2940"/>
      <c r="B11" s="2944" t="s">
        <v>2764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746"/>
      <c r="Q11" s="1149" t="str">
        <f t="shared" si="6"/>
        <v>容积率</v>
      </c>
      <c r="R11" s="1566" t="s">
        <v>8</v>
      </c>
      <c r="S11" s="1567" t="e">
        <f t="shared" si="0"/>
        <v>#N/A</v>
      </c>
      <c r="T11" s="1566" t="s">
        <v>8</v>
      </c>
      <c r="U11" s="1567" t="e">
        <f t="shared" si="1"/>
        <v>#N/A</v>
      </c>
      <c r="V11" s="1566" t="s">
        <v>8</v>
      </c>
      <c r="W11" s="1567" t="e">
        <f t="shared" si="2"/>
        <v>#N/A</v>
      </c>
      <c r="X11" s="1568"/>
      <c r="Y11" s="3703"/>
      <c r="Z11" s="1148" t="str">
        <f t="shared" si="7"/>
        <v>容积率</v>
      </c>
      <c r="AA11" s="1569" t="e">
        <f t="shared" si="3"/>
        <v>#N/A</v>
      </c>
      <c r="AB11" s="1569" t="e">
        <f t="shared" si="4"/>
        <v>#N/A</v>
      </c>
      <c r="AC11" s="1569" t="e">
        <f t="shared" si="5"/>
        <v>#N/A</v>
      </c>
    </row>
    <row r="12" spans="1:29" s="1218" customFormat="1" ht="15">
      <c r="A12" s="2941"/>
      <c r="B12" s="2947">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746"/>
      <c r="Q12" s="1149">
        <f t="shared" si="6"/>
        <v>111</v>
      </c>
      <c r="R12" s="1566" t="s">
        <v>8</v>
      </c>
      <c r="S12" s="1567">
        <f t="shared" si="0"/>
        <v>100</v>
      </c>
      <c r="T12" s="1566" t="s">
        <v>8</v>
      </c>
      <c r="U12" s="1567">
        <f t="shared" si="1"/>
        <v>100</v>
      </c>
      <c r="V12" s="1566" t="s">
        <v>8</v>
      </c>
      <c r="W12" s="1567">
        <f t="shared" si="2"/>
        <v>100</v>
      </c>
      <c r="X12" s="1568"/>
      <c r="Y12" s="3703"/>
      <c r="Z12" s="1148">
        <f t="shared" si="7"/>
        <v>111</v>
      </c>
      <c r="AA12" s="1569">
        <f>D12/F12</f>
        <v>1</v>
      </c>
      <c r="AB12" s="1569">
        <f>D12/H12</f>
        <v>1</v>
      </c>
      <c r="AC12" s="1569">
        <f>D12/J12</f>
        <v>1</v>
      </c>
    </row>
    <row r="13" spans="1:29" ht="15">
      <c r="A13" s="2941"/>
      <c r="B13" s="2947">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746"/>
      <c r="Q13" s="1149">
        <f t="shared" si="6"/>
        <v>111</v>
      </c>
      <c r="R13" s="1566" t="s">
        <v>8</v>
      </c>
      <c r="S13" s="1567">
        <f t="shared" si="0"/>
        <v>100</v>
      </c>
      <c r="T13" s="1566" t="s">
        <v>8</v>
      </c>
      <c r="U13" s="1567">
        <f t="shared" si="1"/>
        <v>100</v>
      </c>
      <c r="V13" s="1566" t="s">
        <v>8</v>
      </c>
      <c r="W13" s="1567">
        <f t="shared" si="2"/>
        <v>100</v>
      </c>
      <c r="X13" s="1568"/>
      <c r="Y13" s="3703"/>
      <c r="Z13" s="1148">
        <f t="shared" si="7"/>
        <v>111</v>
      </c>
      <c r="AA13" s="1569">
        <f t="shared" si="3"/>
        <v>1</v>
      </c>
      <c r="AB13" s="1569">
        <f t="shared" si="4"/>
        <v>1</v>
      </c>
      <c r="AC13" s="1569">
        <f t="shared" si="5"/>
        <v>1</v>
      </c>
    </row>
    <row r="14" spans="1:29" ht="15.75" thickBot="1">
      <c r="A14" s="2942"/>
      <c r="B14" s="2948">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746"/>
      <c r="Q14" s="1149">
        <f t="shared" si="6"/>
        <v>111</v>
      </c>
      <c r="R14" s="1566" t="s">
        <v>8</v>
      </c>
      <c r="S14" s="1567">
        <f t="shared" si="0"/>
        <v>100</v>
      </c>
      <c r="T14" s="1566" t="s">
        <v>8</v>
      </c>
      <c r="U14" s="1567">
        <f t="shared" si="1"/>
        <v>100</v>
      </c>
      <c r="V14" s="1566" t="s">
        <v>8</v>
      </c>
      <c r="W14" s="1567">
        <f t="shared" si="2"/>
        <v>100</v>
      </c>
      <c r="X14" s="1568"/>
      <c r="Y14" s="3703"/>
      <c r="Z14" s="1148">
        <f t="shared" si="7"/>
        <v>111</v>
      </c>
      <c r="AA14" s="1569">
        <f t="shared" si="3"/>
        <v>1</v>
      </c>
      <c r="AB14" s="1569">
        <f t="shared" si="4"/>
        <v>1</v>
      </c>
      <c r="AC14" s="1569">
        <f t="shared" si="5"/>
        <v>1</v>
      </c>
    </row>
    <row r="15" spans="1:29" ht="15">
      <c r="A15" s="2934" t="s">
        <v>2760</v>
      </c>
      <c r="B15" s="165" t="s">
        <v>790</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748" t="s">
        <v>541</v>
      </c>
      <c r="Q15" s="1570" t="str">
        <f t="shared" si="6"/>
        <v>产业集聚程度</v>
      </c>
      <c r="R15" s="1571" t="s">
        <v>8</v>
      </c>
      <c r="S15" s="1572">
        <f t="shared" si="0"/>
        <v>100</v>
      </c>
      <c r="T15" s="1571" t="s">
        <v>8</v>
      </c>
      <c r="U15" s="1572">
        <f t="shared" si="1"/>
        <v>100</v>
      </c>
      <c r="V15" s="1571" t="s">
        <v>8</v>
      </c>
      <c r="W15" s="1572">
        <f t="shared" si="2"/>
        <v>100</v>
      </c>
      <c r="X15" s="1565"/>
      <c r="Y15" s="3748" t="s">
        <v>541</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749"/>
      <c r="Q16" s="1570"/>
      <c r="R16" s="1571"/>
      <c r="S16" s="1572"/>
      <c r="T16" s="1571"/>
      <c r="U16" s="1572"/>
      <c r="V16" s="1571"/>
      <c r="W16" s="1572"/>
      <c r="X16" s="1565"/>
      <c r="Y16" s="3749"/>
      <c r="Z16" s="1573"/>
      <c r="AA16" s="1574">
        <v>1</v>
      </c>
      <c r="AB16" s="1574">
        <v>1</v>
      </c>
      <c r="AC16" s="1574">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749"/>
      <c r="Q17" s="1570" t="str">
        <f>B17</f>
        <v>交通便捷度</v>
      </c>
      <c r="R17" s="1571" t="s">
        <v>8</v>
      </c>
      <c r="S17" s="1572">
        <f>F17</f>
        <v>100</v>
      </c>
      <c r="T17" s="1571" t="s">
        <v>8</v>
      </c>
      <c r="U17" s="1572">
        <f>H17</f>
        <v>100</v>
      </c>
      <c r="V17" s="1571" t="s">
        <v>8</v>
      </c>
      <c r="W17" s="1572">
        <f>J17</f>
        <v>100</v>
      </c>
      <c r="X17" s="1565"/>
      <c r="Y17" s="374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749"/>
      <c r="Q18" s="1570"/>
      <c r="R18" s="1571"/>
      <c r="S18" s="1572"/>
      <c r="T18" s="1571"/>
      <c r="U18" s="1572"/>
      <c r="V18" s="1571"/>
      <c r="W18" s="1572"/>
      <c r="X18" s="1565"/>
      <c r="Y18" s="3749"/>
      <c r="Z18" s="1573"/>
      <c r="AA18" s="1574">
        <v>1</v>
      </c>
      <c r="AB18" s="1574">
        <v>1</v>
      </c>
      <c r="AC18" s="1574">
        <v>1</v>
      </c>
    </row>
    <row r="19" spans="1:29" ht="15">
      <c r="A19" s="531"/>
      <c r="B19" s="2626" t="s">
        <v>2552</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749"/>
      <c r="Q19" s="1570" t="str">
        <f>B19</f>
        <v>公共配套设施</v>
      </c>
      <c r="R19" s="1571" t="s">
        <v>8</v>
      </c>
      <c r="S19" s="1572">
        <f>F19</f>
        <v>100</v>
      </c>
      <c r="T19" s="1571" t="s">
        <v>8</v>
      </c>
      <c r="U19" s="1572">
        <f>H19</f>
        <v>100</v>
      </c>
      <c r="V19" s="1571" t="s">
        <v>8</v>
      </c>
      <c r="W19" s="1572">
        <f>J19</f>
        <v>100</v>
      </c>
      <c r="X19" s="1565"/>
      <c r="Y19" s="3749"/>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749"/>
      <c r="Q20" s="1570"/>
      <c r="R20" s="1571"/>
      <c r="S20" s="1572"/>
      <c r="T20" s="1571"/>
      <c r="U20" s="1572"/>
      <c r="V20" s="1571"/>
      <c r="W20" s="1572"/>
      <c r="X20" s="1565"/>
      <c r="Y20" s="3749"/>
      <c r="Z20" s="1573"/>
      <c r="AA20" s="1574">
        <v>1</v>
      </c>
      <c r="AB20" s="1574">
        <v>1</v>
      </c>
      <c r="AC20" s="1574">
        <v>1</v>
      </c>
    </row>
    <row r="21" spans="1:29" ht="15">
      <c r="A21" s="531"/>
      <c r="B21" s="2614" t="s">
        <v>2564</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749"/>
      <c r="Q21" s="2602" t="str">
        <f>B21</f>
        <v>基础设施水平</v>
      </c>
      <c r="R21" s="1571" t="s">
        <v>8</v>
      </c>
      <c r="S21" s="1572">
        <f>F21</f>
        <v>100</v>
      </c>
      <c r="T21" s="1571" t="s">
        <v>8</v>
      </c>
      <c r="U21" s="1572">
        <f>H21</f>
        <v>100</v>
      </c>
      <c r="V21" s="1571" t="s">
        <v>8</v>
      </c>
      <c r="W21" s="1572">
        <f>J21</f>
        <v>100</v>
      </c>
      <c r="X21" s="2604"/>
      <c r="Y21" s="3749"/>
      <c r="Z21" s="2603"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5"/>
      <c r="L22" s="2141"/>
      <c r="M22" s="2133"/>
      <c r="N22" s="2133"/>
      <c r="O22" s="2140"/>
      <c r="P22" s="3749"/>
      <c r="Q22" s="2602"/>
      <c r="R22" s="1571"/>
      <c r="S22" s="1572"/>
      <c r="T22" s="1571"/>
      <c r="U22" s="1572"/>
      <c r="V22" s="1571"/>
      <c r="W22" s="1572"/>
      <c r="X22" s="2604"/>
      <c r="Y22" s="3749"/>
      <c r="Z22" s="2603"/>
      <c r="AA22" s="1574">
        <v>1</v>
      </c>
      <c r="AB22" s="1574">
        <v>1</v>
      </c>
      <c r="AC22" s="1574">
        <v>1</v>
      </c>
    </row>
    <row r="23" spans="1:29" ht="15">
      <c r="A23" s="531"/>
      <c r="B23" s="870" t="s">
        <v>779</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749"/>
      <c r="Q23" s="1570" t="str">
        <f>B23</f>
        <v>环境质量</v>
      </c>
      <c r="R23" s="1571" t="s">
        <v>8</v>
      </c>
      <c r="S23" s="1572">
        <f>F23</f>
        <v>100</v>
      </c>
      <c r="T23" s="1571" t="s">
        <v>8</v>
      </c>
      <c r="U23" s="1572">
        <f>H23</f>
        <v>100</v>
      </c>
      <c r="V23" s="1571" t="s">
        <v>8</v>
      </c>
      <c r="W23" s="1572">
        <f>J23</f>
        <v>100</v>
      </c>
      <c r="X23" s="1565"/>
      <c r="Y23" s="3749"/>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749"/>
      <c r="Q24" s="1570"/>
      <c r="R24" s="1571"/>
      <c r="S24" s="1572"/>
      <c r="T24" s="1571"/>
      <c r="U24" s="1572"/>
      <c r="V24" s="1571"/>
      <c r="W24" s="1572"/>
      <c r="X24" s="1565"/>
      <c r="Y24" s="3749"/>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749"/>
      <c r="Q25" s="1570">
        <f>B25</f>
        <v>111</v>
      </c>
      <c r="R25" s="1571" t="s">
        <v>8</v>
      </c>
      <c r="S25" s="1572">
        <f>F25</f>
        <v>100</v>
      </c>
      <c r="T25" s="1571" t="s">
        <v>8</v>
      </c>
      <c r="U25" s="1572">
        <f>H25</f>
        <v>100</v>
      </c>
      <c r="V25" s="1571" t="s">
        <v>8</v>
      </c>
      <c r="W25" s="1572">
        <f>J25</f>
        <v>100</v>
      </c>
      <c r="X25" s="1565"/>
      <c r="Y25" s="3749"/>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749"/>
      <c r="Q26" s="1570">
        <f t="shared" ref="Q26:Q40" si="11">B26</f>
        <v>111</v>
      </c>
      <c r="R26" s="1571" t="s">
        <v>8</v>
      </c>
      <c r="S26" s="1572">
        <f>F26</f>
        <v>100</v>
      </c>
      <c r="T26" s="1571" t="s">
        <v>8</v>
      </c>
      <c r="U26" s="1572">
        <f>H26</f>
        <v>100</v>
      </c>
      <c r="V26" s="1571" t="s">
        <v>8</v>
      </c>
      <c r="W26" s="1572">
        <f>J26</f>
        <v>100</v>
      </c>
      <c r="X26" s="1565"/>
      <c r="Y26" s="3749"/>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749"/>
      <c r="Q27" s="1149">
        <f t="shared" si="11"/>
        <v>111</v>
      </c>
      <c r="R27" s="1566" t="s">
        <v>8</v>
      </c>
      <c r="S27" s="1567">
        <f>F27</f>
        <v>100</v>
      </c>
      <c r="T27" s="1566" t="s">
        <v>8</v>
      </c>
      <c r="U27" s="1567">
        <f>H27</f>
        <v>100</v>
      </c>
      <c r="V27" s="1566" t="s">
        <v>8</v>
      </c>
      <c r="W27" s="1567">
        <f>J27</f>
        <v>100</v>
      </c>
      <c r="X27" s="1568"/>
      <c r="Y27" s="3749"/>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749"/>
      <c r="Q28" s="1570">
        <f t="shared" si="11"/>
        <v>111</v>
      </c>
      <c r="R28" s="1571" t="s">
        <v>8</v>
      </c>
      <c r="S28" s="1572">
        <f t="shared" ref="S28:S40" si="12">F28</f>
        <v>100</v>
      </c>
      <c r="T28" s="1571" t="s">
        <v>8</v>
      </c>
      <c r="U28" s="1572">
        <f t="shared" ref="U28:U40" si="13">H28</f>
        <v>100</v>
      </c>
      <c r="V28" s="1571" t="s">
        <v>8</v>
      </c>
      <c r="W28" s="1572">
        <f t="shared" ref="W28:W40" si="14">J28</f>
        <v>100</v>
      </c>
      <c r="X28" s="1565"/>
      <c r="Y28" s="3749"/>
      <c r="Z28" s="1573">
        <f t="shared" ref="Z28:Z40" si="15">Q28</f>
        <v>111</v>
      </c>
      <c r="AA28" s="1574">
        <f t="shared" si="3"/>
        <v>1</v>
      </c>
      <c r="AB28" s="1574">
        <f t="shared" si="4"/>
        <v>1</v>
      </c>
      <c r="AC28" s="1574">
        <f t="shared" si="5"/>
        <v>1</v>
      </c>
    </row>
    <row r="29" spans="1:29" ht="15">
      <c r="A29" s="2931" t="s">
        <v>2761</v>
      </c>
      <c r="B29" s="171" t="s">
        <v>781</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750" t="s">
        <v>551</v>
      </c>
      <c r="Q29" s="1570" t="str">
        <f t="shared" si="11"/>
        <v>建筑类型</v>
      </c>
      <c r="R29" s="1571" t="s">
        <v>8</v>
      </c>
      <c r="S29" s="1572">
        <f t="shared" si="12"/>
        <v>100</v>
      </c>
      <c r="T29" s="1571" t="s">
        <v>8</v>
      </c>
      <c r="U29" s="1572">
        <f t="shared" si="13"/>
        <v>100</v>
      </c>
      <c r="V29" s="1571" t="s">
        <v>8</v>
      </c>
      <c r="W29" s="1572">
        <f t="shared" si="14"/>
        <v>100</v>
      </c>
      <c r="X29" s="1565"/>
      <c r="Y29" s="3751" t="s">
        <v>551</v>
      </c>
      <c r="Z29" s="1573" t="str">
        <f t="shared" si="15"/>
        <v>建筑类型</v>
      </c>
      <c r="AA29" s="1574">
        <f t="shared" si="3"/>
        <v>1</v>
      </c>
      <c r="AB29" s="1574">
        <f t="shared" si="4"/>
        <v>1</v>
      </c>
      <c r="AC29" s="1574">
        <f t="shared" si="5"/>
        <v>1</v>
      </c>
    </row>
    <row r="30" spans="1:29" s="1337" customFormat="1" ht="15">
      <c r="A30" s="602"/>
      <c r="B30" s="526" t="s">
        <v>727</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751"/>
      <c r="Q30" s="1603" t="str">
        <f t="shared" si="11"/>
        <v>项目建筑规模</v>
      </c>
      <c r="R30" s="1575" t="s">
        <v>8</v>
      </c>
      <c r="S30" s="1576" t="e">
        <f t="shared" si="12"/>
        <v>#N/A</v>
      </c>
      <c r="T30" s="1575" t="s">
        <v>8</v>
      </c>
      <c r="U30" s="1576" t="e">
        <f t="shared" si="13"/>
        <v>#N/A</v>
      </c>
      <c r="V30" s="1575" t="s">
        <v>8</v>
      </c>
      <c r="W30" s="1576" t="e">
        <f t="shared" si="14"/>
        <v>#N/A</v>
      </c>
      <c r="X30" s="1577"/>
      <c r="Y30" s="3751"/>
      <c r="Z30" s="1578" t="str">
        <f t="shared" si="15"/>
        <v>项目建筑规模</v>
      </c>
      <c r="AA30" s="1574" t="e">
        <f t="shared" si="3"/>
        <v>#N/A</v>
      </c>
      <c r="AB30" s="1574" t="e">
        <f t="shared" si="4"/>
        <v>#N/A</v>
      </c>
      <c r="AC30" s="1574"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751"/>
      <c r="Q31" s="1570" t="str">
        <f t="shared" si="11"/>
        <v>建筑结构</v>
      </c>
      <c r="R31" s="1571" t="s">
        <v>8</v>
      </c>
      <c r="S31" s="1572">
        <f t="shared" si="12"/>
        <v>100</v>
      </c>
      <c r="T31" s="1571" t="s">
        <v>8</v>
      </c>
      <c r="U31" s="1572">
        <f t="shared" si="13"/>
        <v>100</v>
      </c>
      <c r="V31" s="1571" t="s">
        <v>8</v>
      </c>
      <c r="W31" s="1572">
        <f t="shared" si="14"/>
        <v>100</v>
      </c>
      <c r="X31" s="1565"/>
      <c r="Y31" s="3751"/>
      <c r="Z31" s="1573" t="str">
        <f t="shared" si="15"/>
        <v>建筑结构</v>
      </c>
      <c r="AA31" s="1574">
        <f t="shared" si="3"/>
        <v>1</v>
      </c>
      <c r="AB31" s="1574">
        <f t="shared" si="4"/>
        <v>1</v>
      </c>
      <c r="AC31" s="1574">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751"/>
      <c r="Q32" s="1570" t="str">
        <f t="shared" si="11"/>
        <v>公共部分装修</v>
      </c>
      <c r="R32" s="1571" t="s">
        <v>8</v>
      </c>
      <c r="S32" s="1572">
        <f t="shared" si="12"/>
        <v>100</v>
      </c>
      <c r="T32" s="1571" t="s">
        <v>8</v>
      </c>
      <c r="U32" s="1572">
        <f t="shared" si="13"/>
        <v>100</v>
      </c>
      <c r="V32" s="1571" t="s">
        <v>8</v>
      </c>
      <c r="W32" s="1572">
        <f t="shared" si="14"/>
        <v>100</v>
      </c>
      <c r="X32" s="1565"/>
      <c r="Y32" s="3751"/>
      <c r="Z32" s="1573" t="str">
        <f t="shared" si="15"/>
        <v>公共部分装修</v>
      </c>
      <c r="AA32" s="1574">
        <f t="shared" si="3"/>
        <v>1</v>
      </c>
      <c r="AB32" s="1574">
        <f t="shared" si="4"/>
        <v>1</v>
      </c>
      <c r="AC32" s="1574">
        <f t="shared" si="5"/>
        <v>1</v>
      </c>
    </row>
    <row r="33" spans="1:29" ht="15">
      <c r="A33" s="593"/>
      <c r="B33" s="526" t="s">
        <v>765</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751"/>
      <c r="Q33" s="1570" t="str">
        <f t="shared" si="11"/>
        <v>成新度</v>
      </c>
      <c r="R33" s="1571" t="s">
        <v>8</v>
      </c>
      <c r="S33" s="1572" t="e">
        <f t="shared" si="12"/>
        <v>#N/A</v>
      </c>
      <c r="T33" s="1571" t="s">
        <v>8</v>
      </c>
      <c r="U33" s="1572" t="e">
        <f t="shared" si="13"/>
        <v>#N/A</v>
      </c>
      <c r="V33" s="1571" t="s">
        <v>8</v>
      </c>
      <c r="W33" s="1572" t="e">
        <f t="shared" si="14"/>
        <v>#N/A</v>
      </c>
      <c r="X33" s="1565"/>
      <c r="Y33" s="3751"/>
      <c r="Z33" s="1573" t="str">
        <f t="shared" si="15"/>
        <v>成新度</v>
      </c>
      <c r="AA33" s="1574" t="e">
        <f t="shared" si="3"/>
        <v>#N/A</v>
      </c>
      <c r="AB33" s="1574" t="e">
        <f t="shared" si="4"/>
        <v>#N/A</v>
      </c>
      <c r="AC33" s="1574" t="e">
        <f t="shared" si="5"/>
        <v>#N/A</v>
      </c>
    </row>
    <row r="34" spans="1:29" s="1218"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751"/>
      <c r="Q34" s="1149" t="str">
        <f t="shared" si="11"/>
        <v>物业管理</v>
      </c>
      <c r="R34" s="1566" t="s">
        <v>8</v>
      </c>
      <c r="S34" s="1567">
        <f t="shared" si="12"/>
        <v>100</v>
      </c>
      <c r="T34" s="1566" t="s">
        <v>8</v>
      </c>
      <c r="U34" s="1567">
        <f t="shared" si="13"/>
        <v>100</v>
      </c>
      <c r="V34" s="1566" t="s">
        <v>8</v>
      </c>
      <c r="W34" s="1567">
        <f t="shared" si="14"/>
        <v>100</v>
      </c>
      <c r="X34" s="1568"/>
      <c r="Y34" s="3751"/>
      <c r="Z34" s="1148" t="str">
        <f t="shared" si="15"/>
        <v>物业管理</v>
      </c>
      <c r="AA34" s="1569">
        <f t="shared" si="3"/>
        <v>1</v>
      </c>
      <c r="AB34" s="1569">
        <f t="shared" si="4"/>
        <v>1</v>
      </c>
      <c r="AC34" s="1569">
        <f t="shared" si="5"/>
        <v>1</v>
      </c>
    </row>
    <row r="35" spans="1:29" ht="15">
      <c r="A35" s="593"/>
      <c r="B35" s="1894" t="s">
        <v>2571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751" t="s">
        <v>551</v>
      </c>
      <c r="Q35" s="1570" t="str">
        <f t="shared" si="11"/>
        <v>市政基础设施</v>
      </c>
      <c r="R35" s="1571" t="s">
        <v>8</v>
      </c>
      <c r="S35" s="1572">
        <f t="shared" si="12"/>
        <v>100</v>
      </c>
      <c r="T35" s="1571" t="s">
        <v>8</v>
      </c>
      <c r="U35" s="1572">
        <f t="shared" si="13"/>
        <v>100</v>
      </c>
      <c r="V35" s="1571" t="s">
        <v>8</v>
      </c>
      <c r="W35" s="1572">
        <f t="shared" si="14"/>
        <v>100</v>
      </c>
      <c r="X35" s="1565"/>
      <c r="Y35" s="3751" t="s">
        <v>551</v>
      </c>
      <c r="Z35" s="1573" t="str">
        <f t="shared" si="15"/>
        <v>市政基础设施</v>
      </c>
      <c r="AA35" s="1574">
        <f t="shared" si="3"/>
        <v>1</v>
      </c>
      <c r="AB35" s="1574">
        <f t="shared" si="4"/>
        <v>1</v>
      </c>
      <c r="AC35" s="1574">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751"/>
      <c r="Q36" s="1570" t="str">
        <f t="shared" si="11"/>
        <v>内部装修</v>
      </c>
      <c r="R36" s="1571" t="s">
        <v>8</v>
      </c>
      <c r="S36" s="1572">
        <f t="shared" si="12"/>
        <v>100</v>
      </c>
      <c r="T36" s="1571" t="s">
        <v>8</v>
      </c>
      <c r="U36" s="1572">
        <f t="shared" si="13"/>
        <v>100</v>
      </c>
      <c r="V36" s="1571" t="s">
        <v>8</v>
      </c>
      <c r="W36" s="1572">
        <f t="shared" si="14"/>
        <v>100</v>
      </c>
      <c r="X36" s="1565"/>
      <c r="Y36" s="3751"/>
      <c r="Z36" s="1573" t="str">
        <f t="shared" si="15"/>
        <v>内部装修</v>
      </c>
      <c r="AA36" s="1574">
        <f t="shared" si="3"/>
        <v>1</v>
      </c>
      <c r="AB36" s="1574">
        <f t="shared" si="4"/>
        <v>1</v>
      </c>
      <c r="AC36" s="1574">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751"/>
      <c r="Q37" s="1570" t="str">
        <f t="shared" si="11"/>
        <v>内部装修状况</v>
      </c>
      <c r="R37" s="1571" t="s">
        <v>8</v>
      </c>
      <c r="S37" s="1572">
        <f t="shared" si="12"/>
        <v>100</v>
      </c>
      <c r="T37" s="1571" t="s">
        <v>8</v>
      </c>
      <c r="U37" s="1572">
        <f t="shared" si="13"/>
        <v>100</v>
      </c>
      <c r="V37" s="1571" t="s">
        <v>8</v>
      </c>
      <c r="W37" s="1572">
        <f t="shared" si="14"/>
        <v>100</v>
      </c>
      <c r="X37" s="1565"/>
      <c r="Y37" s="3751"/>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751"/>
      <c r="Q38" s="1603">
        <f t="shared" si="11"/>
        <v>111</v>
      </c>
      <c r="R38" s="1575" t="s">
        <v>8</v>
      </c>
      <c r="S38" s="1576">
        <f t="shared" si="12"/>
        <v>100</v>
      </c>
      <c r="T38" s="1575" t="s">
        <v>8</v>
      </c>
      <c r="U38" s="1576">
        <f t="shared" si="13"/>
        <v>100</v>
      </c>
      <c r="V38" s="1575" t="s">
        <v>8</v>
      </c>
      <c r="W38" s="1576">
        <f t="shared" si="14"/>
        <v>100</v>
      </c>
      <c r="X38" s="1577"/>
      <c r="Y38" s="3751"/>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751"/>
      <c r="Q39" s="1570">
        <f t="shared" si="11"/>
        <v>111</v>
      </c>
      <c r="R39" s="1571" t="s">
        <v>8</v>
      </c>
      <c r="S39" s="1572">
        <f t="shared" si="12"/>
        <v>100</v>
      </c>
      <c r="T39" s="1571" t="s">
        <v>8</v>
      </c>
      <c r="U39" s="1572">
        <f t="shared" si="13"/>
        <v>100</v>
      </c>
      <c r="V39" s="1571" t="s">
        <v>8</v>
      </c>
      <c r="W39" s="1572">
        <f t="shared" si="14"/>
        <v>100</v>
      </c>
      <c r="X39" s="1565"/>
      <c r="Y39" s="3751"/>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850"/>
      <c r="Q40" s="1570">
        <f t="shared" si="11"/>
        <v>111</v>
      </c>
      <c r="R40" s="1571" t="s">
        <v>8</v>
      </c>
      <c r="S40" s="1572">
        <f t="shared" si="12"/>
        <v>100</v>
      </c>
      <c r="T40" s="1571" t="s">
        <v>8</v>
      </c>
      <c r="U40" s="1572">
        <f t="shared" si="13"/>
        <v>100</v>
      </c>
      <c r="V40" s="1571" t="s">
        <v>8</v>
      </c>
      <c r="W40" s="1572">
        <f t="shared" si="14"/>
        <v>100</v>
      </c>
      <c r="X40" s="1565"/>
      <c r="Y40" s="3850"/>
      <c r="Z40" s="1573">
        <f t="shared" si="15"/>
        <v>111</v>
      </c>
      <c r="AA40" s="1574">
        <f t="shared" si="3"/>
        <v>1</v>
      </c>
      <c r="AB40" s="1574">
        <f t="shared" si="4"/>
        <v>1</v>
      </c>
      <c r="AC40" s="1574">
        <f t="shared" si="5"/>
        <v>1</v>
      </c>
    </row>
    <row r="41" spans="1:29" ht="15">
      <c r="A41" s="606" t="s">
        <v>737</v>
      </c>
      <c r="B41" s="885"/>
      <c r="C41" s="2650" t="s">
        <v>1</v>
      </c>
      <c r="D41" s="2651"/>
      <c r="E41" s="2652"/>
      <c r="F41" s="2653"/>
      <c r="G41" s="2654"/>
      <c r="H41" s="2655"/>
      <c r="I41" s="2652"/>
      <c r="J41" s="2655"/>
      <c r="K41" s="1609"/>
      <c r="L41" s="2143"/>
      <c r="M41" s="2144"/>
      <c r="N41" s="2133"/>
      <c r="O41" s="2144"/>
      <c r="P41" s="3746" t="str">
        <f>A41</f>
        <v>成交单价（元/平方米）</v>
      </c>
      <c r="Q41" s="3746"/>
      <c r="R41" s="3849">
        <f>E41</f>
        <v>0</v>
      </c>
      <c r="S41" s="3849"/>
      <c r="T41" s="3849">
        <f>G41</f>
        <v>0</v>
      </c>
      <c r="U41" s="3849"/>
      <c r="V41" s="3849">
        <f>I41</f>
        <v>0</v>
      </c>
      <c r="W41" s="3849"/>
      <c r="X41" s="1557"/>
      <c r="Y41" s="1579"/>
      <c r="Z41" s="1557"/>
      <c r="AA41" s="1557"/>
      <c r="AB41" s="1557"/>
      <c r="AC41" s="1557"/>
    </row>
    <row r="42" spans="1:29" ht="15.75" thickBot="1">
      <c r="A42" s="614" t="s">
        <v>2766</v>
      </c>
      <c r="B42" s="886"/>
      <c r="C42" s="2656" t="e">
        <f>R43</f>
        <v>#DIV/0!</v>
      </c>
      <c r="D42" s="2657"/>
      <c r="E42" s="2658" t="e">
        <f>R42</f>
        <v>#DIV/0!</v>
      </c>
      <c r="F42" s="2658"/>
      <c r="G42" s="2656" t="e">
        <f>T42</f>
        <v>#DIV/0!</v>
      </c>
      <c r="H42" s="2657"/>
      <c r="I42" s="2658" t="e">
        <f>V42</f>
        <v>#DIV/0!</v>
      </c>
      <c r="J42" s="2657"/>
      <c r="K42" s="1610"/>
      <c r="L42" s="2143"/>
      <c r="M42" s="2144"/>
      <c r="N42" s="2133"/>
      <c r="O42" s="2144"/>
      <c r="P42" s="3746" t="str">
        <f>A42</f>
        <v>比较价格（元/平方米）</v>
      </c>
      <c r="Q42" s="3746"/>
      <c r="R42" s="3849" t="e">
        <f>IF(F1="售价",ROUND(PRODUCT(R41,AA7:AA40),0),ROUND(PRODUCT(R41,AA7:AA40),1))</f>
        <v>#DIV/0!</v>
      </c>
      <c r="S42" s="3849"/>
      <c r="T42" s="3849" t="e">
        <f>IF(F1="售价",ROUND(PRODUCT(T41,AB7:AB40),0),ROUND(PRODUCT(T41,AB7:AB40),1))</f>
        <v>#DIV/0!</v>
      </c>
      <c r="U42" s="3849"/>
      <c r="V42" s="3849" t="e">
        <f>IF(F1="售价",ROUND(PRODUCT(V41,AC7:AC40),0),ROUND(PRODUCT(V41,AC7:AC40),1))</f>
        <v>#DIV/0!</v>
      </c>
      <c r="W42" s="3849"/>
      <c r="X42" s="1557"/>
      <c r="Y42" s="1557"/>
      <c r="Z42" s="1557"/>
      <c r="AA42" s="1557"/>
      <c r="AB42" s="1557"/>
      <c r="AC42" s="1557"/>
    </row>
    <row r="43" spans="1:29" ht="15.75" thickBot="1">
      <c r="A43" s="620" t="s">
        <v>2933</v>
      </c>
      <c r="B43" s="621"/>
      <c r="C43" s="2659" t="e">
        <f>R43</f>
        <v>#DIV/0!</v>
      </c>
      <c r="D43" s="2659"/>
      <c r="E43" s="2659"/>
      <c r="F43" s="2659"/>
      <c r="G43" s="2659"/>
      <c r="H43" s="2659"/>
      <c r="I43" s="2659"/>
      <c r="J43" s="2659"/>
      <c r="K43" s="1611"/>
      <c r="L43" s="2143"/>
      <c r="M43" s="2144"/>
      <c r="N43" s="2144"/>
      <c r="O43" s="2144"/>
      <c r="P43" s="3770" t="str">
        <f>A43</f>
        <v>估价对象XX用房的比较价格（楼面单价，元/平方米）</v>
      </c>
      <c r="Q43" s="3771"/>
      <c r="R43" s="3848" t="e">
        <f>IF(F1="售价",ROUND(AVERAGE(R42:V42),0),ROUND(AVERAGE(R42:V42),1))</f>
        <v>#DIV/0!</v>
      </c>
      <c r="S43" s="3848"/>
      <c r="T43" s="3848"/>
      <c r="U43" s="3848"/>
      <c r="V43" s="3848"/>
      <c r="W43" s="3848"/>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575</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530</v>
      </c>
      <c r="B52" s="645"/>
      <c r="C52" s="2826" t="str">
        <f>YEAR(C7)&amp;"-"&amp;MONTH(C7)</f>
        <v>2018-3</v>
      </c>
      <c r="D52" s="2828">
        <f>EDATE(C52,-1)</f>
        <v>43132</v>
      </c>
      <c r="E52" s="2828">
        <f t="shared" ref="E52:O52" si="16">EDATE(D52,-1)</f>
        <v>43101</v>
      </c>
      <c r="F52" s="2828">
        <f t="shared" si="16"/>
        <v>43070</v>
      </c>
      <c r="G52" s="2828">
        <f t="shared" si="16"/>
        <v>43040</v>
      </c>
      <c r="H52" s="2828">
        <f t="shared" si="16"/>
        <v>43009</v>
      </c>
      <c r="I52" s="2828">
        <f t="shared" si="16"/>
        <v>42979</v>
      </c>
      <c r="J52" s="2828">
        <f t="shared" si="16"/>
        <v>42948</v>
      </c>
      <c r="K52" s="2828">
        <f t="shared" si="16"/>
        <v>42917</v>
      </c>
      <c r="L52" s="2828">
        <f t="shared" si="16"/>
        <v>42887</v>
      </c>
      <c r="M52" s="2828">
        <f t="shared" si="16"/>
        <v>42856</v>
      </c>
      <c r="N52" s="2828">
        <f t="shared" si="16"/>
        <v>42826</v>
      </c>
      <c r="O52" s="2828">
        <f t="shared" si="16"/>
        <v>42795</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576</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532</v>
      </c>
      <c r="B55" s="647"/>
      <c r="C55" s="659" t="s">
        <v>577</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578</v>
      </c>
      <c r="B57" s="664" t="s">
        <v>535</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540</v>
      </c>
      <c r="B70" s="664" t="s">
        <v>586</v>
      </c>
      <c r="C70" s="702" t="s">
        <v>580</v>
      </c>
      <c r="D70" s="702" t="s">
        <v>581</v>
      </c>
      <c r="E70" s="702" t="s">
        <v>582</v>
      </c>
      <c r="F70" s="702" t="s">
        <v>583</v>
      </c>
      <c r="G70" s="702" t="s">
        <v>584</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587</v>
      </c>
      <c r="C72" s="707" t="s">
        <v>580</v>
      </c>
      <c r="D72" s="707" t="s">
        <v>581</v>
      </c>
      <c r="E72" s="707" t="s">
        <v>582</v>
      </c>
      <c r="F72" s="707" t="s">
        <v>583</v>
      </c>
      <c r="G72" s="707" t="s">
        <v>584</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2563</v>
      </c>
      <c r="C74" s="707" t="s">
        <v>580</v>
      </c>
      <c r="D74" s="707" t="s">
        <v>581</v>
      </c>
      <c r="E74" s="707" t="s">
        <v>582</v>
      </c>
      <c r="F74" s="707" t="s">
        <v>583</v>
      </c>
      <c r="G74" s="707" t="s">
        <v>584</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2564</v>
      </c>
      <c r="C76" s="2621" t="s">
        <v>2565</v>
      </c>
      <c r="D76" s="2621" t="s">
        <v>2566</v>
      </c>
      <c r="E76" s="2621" t="s">
        <v>2567</v>
      </c>
      <c r="F76" s="2621" t="s">
        <v>2568</v>
      </c>
      <c r="G76" s="2621" t="s">
        <v>2569</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785</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552</v>
      </c>
      <c r="B88" s="664" t="s">
        <v>748</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750</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752</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754</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2562</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756</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5" t="s">
        <v>792</v>
      </c>
      <c r="C106" s="707" t="s">
        <v>580</v>
      </c>
      <c r="D106" s="707" t="s">
        <v>581</v>
      </c>
      <c r="E106" s="707" t="s">
        <v>582</v>
      </c>
      <c r="F106" s="707" t="s">
        <v>583</v>
      </c>
      <c r="G106" s="707" t="s">
        <v>584</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921"/>
      <c r="C1" s="503" t="s">
        <v>793</v>
      </c>
      <c r="D1" s="848"/>
      <c r="E1" s="505"/>
      <c r="F1" s="2831"/>
      <c r="G1" s="1599" t="s">
        <v>794</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795</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796</v>
      </c>
      <c r="B3" s="509" t="e">
        <f>IF(B37="元/平方米",C39,ROUND(B2*10000/D3,0))</f>
        <v>#DIV/0!</v>
      </c>
      <c r="C3" s="851" t="s">
        <v>797</v>
      </c>
      <c r="D3" s="850">
        <f>SUMIF('数据-汇总表'!$C19:$C33,D1,'数据-汇总表'!$E19:$E33)</f>
        <v>0</v>
      </c>
      <c r="E3" s="1847" t="s">
        <v>2080</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798</v>
      </c>
      <c r="B4" s="512"/>
      <c r="C4" s="3752" t="s">
        <v>799</v>
      </c>
      <c r="D4" s="3753"/>
      <c r="E4" s="3752" t="s">
        <v>800</v>
      </c>
      <c r="F4" s="3753"/>
      <c r="G4" s="3752" t="s">
        <v>801</v>
      </c>
      <c r="H4" s="3753"/>
      <c r="I4" s="3752" t="s">
        <v>802</v>
      </c>
      <c r="J4" s="3753"/>
      <c r="K4" s="513" t="s">
        <v>803</v>
      </c>
      <c r="L4" s="2132"/>
      <c r="M4" s="2133"/>
      <c r="N4" s="2133"/>
      <c r="O4" s="2133"/>
      <c r="P4" s="3754" t="s">
        <v>804</v>
      </c>
      <c r="Q4" s="3755"/>
      <c r="R4" s="3740" t="s">
        <v>800</v>
      </c>
      <c r="S4" s="3741"/>
      <c r="T4" s="3740" t="s">
        <v>801</v>
      </c>
      <c r="U4" s="3741"/>
      <c r="V4" s="3760" t="s">
        <v>802</v>
      </c>
      <c r="W4" s="3760"/>
      <c r="X4" s="1565"/>
      <c r="Y4" s="3740" t="s">
        <v>804</v>
      </c>
      <c r="Z4" s="3741"/>
      <c r="AA4" s="3735" t="s">
        <v>800</v>
      </c>
      <c r="AB4" s="3736" t="s">
        <v>801</v>
      </c>
      <c r="AC4" s="3735" t="s">
        <v>802</v>
      </c>
    </row>
    <row r="5" spans="1:29" ht="15">
      <c r="A5" s="514"/>
      <c r="B5" s="515"/>
      <c r="C5" s="3765" t="s">
        <v>2927</v>
      </c>
      <c r="D5" s="3764"/>
      <c r="E5" s="3765" t="s">
        <v>2928</v>
      </c>
      <c r="F5" s="3764"/>
      <c r="G5" s="3765" t="s">
        <v>2929</v>
      </c>
      <c r="H5" s="3764"/>
      <c r="I5" s="3765" t="s">
        <v>2930</v>
      </c>
      <c r="J5" s="3764"/>
      <c r="K5" s="513"/>
      <c r="L5" s="2132"/>
      <c r="M5" s="2133"/>
      <c r="N5" s="2133"/>
      <c r="O5" s="2133"/>
      <c r="P5" s="3756"/>
      <c r="Q5" s="3757"/>
      <c r="R5" s="3742"/>
      <c r="S5" s="3743"/>
      <c r="T5" s="3742"/>
      <c r="U5" s="3743"/>
      <c r="V5" s="3760"/>
      <c r="W5" s="3760"/>
      <c r="X5" s="1565"/>
      <c r="Y5" s="3742"/>
      <c r="Z5" s="3743"/>
      <c r="AA5" s="3736"/>
      <c r="AB5" s="3736"/>
      <c r="AC5" s="3736"/>
    </row>
    <row r="6" spans="1:29" ht="15.75" thickBot="1">
      <c r="A6" s="516"/>
      <c r="B6" s="517"/>
      <c r="C6" s="3783" t="s">
        <v>2931</v>
      </c>
      <c r="D6" s="3762"/>
      <c r="E6" s="3766" t="s">
        <v>2931</v>
      </c>
      <c r="F6" s="3767"/>
      <c r="G6" s="3783" t="s">
        <v>2931</v>
      </c>
      <c r="H6" s="3762"/>
      <c r="I6" s="3783" t="s">
        <v>2931</v>
      </c>
      <c r="J6" s="3762"/>
      <c r="K6" s="513" t="s">
        <v>529</v>
      </c>
      <c r="L6" s="2132"/>
      <c r="M6" s="2133"/>
      <c r="N6" s="2133"/>
      <c r="O6" s="2133"/>
      <c r="P6" s="3758"/>
      <c r="Q6" s="3759"/>
      <c r="R6" s="3742"/>
      <c r="S6" s="3743"/>
      <c r="T6" s="3744"/>
      <c r="U6" s="3745"/>
      <c r="V6" s="3760"/>
      <c r="W6" s="3760"/>
      <c r="X6" s="1565"/>
      <c r="Y6" s="3744"/>
      <c r="Z6" s="3745"/>
      <c r="AA6" s="3737"/>
      <c r="AB6" s="3737"/>
      <c r="AC6" s="3737"/>
    </row>
    <row r="7" spans="1:29" s="1218" customFormat="1" ht="15.75" thickBot="1">
      <c r="A7" s="2936"/>
      <c r="B7" s="2943" t="s">
        <v>530</v>
      </c>
      <c r="C7" s="518">
        <f>'数据-取费表'!B2</f>
        <v>43171</v>
      </c>
      <c r="D7" s="519">
        <v>100</v>
      </c>
      <c r="E7" s="520"/>
      <c r="F7" s="521">
        <f>SUMIF(48:48,YEAR(E7)&amp;"-"&amp;MONTH(E7),49:49)</f>
        <v>0</v>
      </c>
      <c r="G7" s="522"/>
      <c r="H7" s="519">
        <f>SUMIF(48:48,YEAR(G7)&amp;"-"&amp;MONTH(G7),49:49)</f>
        <v>0</v>
      </c>
      <c r="I7" s="522"/>
      <c r="J7" s="519">
        <f>SUMIF(48:48,YEAR(I7)&amp;"-"&amp;MONTH(I7),49:49)</f>
        <v>0</v>
      </c>
      <c r="K7" s="523"/>
      <c r="L7" s="2134"/>
      <c r="M7" s="2135"/>
      <c r="N7" s="2135"/>
      <c r="O7" s="2135"/>
      <c r="P7" s="3738" t="s">
        <v>531</v>
      </c>
      <c r="Q7" s="3747"/>
      <c r="R7" s="1566" t="s">
        <v>8</v>
      </c>
      <c r="S7" s="1567">
        <f t="shared" ref="S7:S14" si="0">F7</f>
        <v>0</v>
      </c>
      <c r="T7" s="1566" t="s">
        <v>8</v>
      </c>
      <c r="U7" s="1567">
        <f t="shared" ref="U7:U14" si="1">H7</f>
        <v>0</v>
      </c>
      <c r="V7" s="1566" t="s">
        <v>8</v>
      </c>
      <c r="W7" s="1567">
        <f t="shared" ref="W7:W14" si="2">J7</f>
        <v>0</v>
      </c>
      <c r="X7" s="1568"/>
      <c r="Y7" s="3738" t="s">
        <v>531</v>
      </c>
      <c r="Z7" s="3739"/>
      <c r="AA7" s="1569" t="e">
        <f>D7/F7</f>
        <v>#DIV/0!</v>
      </c>
      <c r="AB7" s="1569" t="e">
        <f>D7/H7</f>
        <v>#DIV/0!</v>
      </c>
      <c r="AC7" s="1569" t="e">
        <f>D7/J7</f>
        <v>#DIV/0!</v>
      </c>
    </row>
    <row r="8" spans="1:29" s="1218"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738" t="s">
        <v>534</v>
      </c>
      <c r="Q8" s="3739"/>
      <c r="R8" s="1566" t="s">
        <v>8</v>
      </c>
      <c r="S8" s="1567">
        <f t="shared" si="0"/>
        <v>0</v>
      </c>
      <c r="T8" s="1566" t="s">
        <v>8</v>
      </c>
      <c r="U8" s="1567">
        <f t="shared" si="1"/>
        <v>0</v>
      </c>
      <c r="V8" s="1566" t="s">
        <v>8</v>
      </c>
      <c r="W8" s="1567">
        <f t="shared" si="2"/>
        <v>0</v>
      </c>
      <c r="X8" s="1568"/>
      <c r="Y8" s="3738" t="s">
        <v>534</v>
      </c>
      <c r="Z8" s="3739"/>
      <c r="AA8" s="1569" t="e">
        <f t="shared" ref="AA8:AA36" si="3">D8/F8</f>
        <v>#DIV/0!</v>
      </c>
      <c r="AB8" s="1569" t="e">
        <f t="shared" ref="AB8:AB36" si="4">D8/H8</f>
        <v>#DIV/0!</v>
      </c>
      <c r="AC8" s="1569" t="e">
        <f t="shared" ref="AC8:AC36" si="5">D8/J8</f>
        <v>#DIV/0!</v>
      </c>
    </row>
    <row r="9" spans="1:29" s="1218" customFormat="1" ht="15">
      <c r="A9" s="2938"/>
      <c r="B9" s="2945" t="s">
        <v>2762</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746" t="s">
        <v>536</v>
      </c>
      <c r="Q9" s="1149" t="str">
        <f t="shared" ref="Q9:Q14" si="6">B9</f>
        <v>用途</v>
      </c>
      <c r="R9" s="1566" t="s">
        <v>8</v>
      </c>
      <c r="S9" s="1567">
        <f t="shared" si="0"/>
        <v>100</v>
      </c>
      <c r="T9" s="1566" t="s">
        <v>8</v>
      </c>
      <c r="U9" s="1567">
        <f t="shared" si="1"/>
        <v>100</v>
      </c>
      <c r="V9" s="1566" t="s">
        <v>8</v>
      </c>
      <c r="W9" s="1567">
        <f t="shared" si="2"/>
        <v>100</v>
      </c>
      <c r="X9" s="1568"/>
      <c r="Y9" s="3703" t="s">
        <v>537</v>
      </c>
      <c r="Z9" s="1148" t="str">
        <f t="shared" ref="Z9:Z14" si="7">Q9</f>
        <v>用途</v>
      </c>
      <c r="AA9" s="1569">
        <f t="shared" si="3"/>
        <v>1</v>
      </c>
      <c r="AB9" s="1569">
        <f t="shared" si="4"/>
        <v>1</v>
      </c>
      <c r="AC9" s="1569">
        <f t="shared" si="5"/>
        <v>1</v>
      </c>
    </row>
    <row r="10" spans="1:29" s="1336" customFormat="1" ht="27">
      <c r="A10" s="2939"/>
      <c r="B10" s="2944" t="s">
        <v>2763</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746"/>
      <c r="Q10" s="1149" t="str">
        <f t="shared" si="6"/>
        <v>土地使用年限（年）</v>
      </c>
      <c r="R10" s="1566" t="s">
        <v>8</v>
      </c>
      <c r="S10" s="1567">
        <f t="shared" si="0"/>
        <v>100</v>
      </c>
      <c r="T10" s="1566" t="s">
        <v>8</v>
      </c>
      <c r="U10" s="1567">
        <f t="shared" si="1"/>
        <v>100</v>
      </c>
      <c r="V10" s="1566" t="s">
        <v>8</v>
      </c>
      <c r="W10" s="1567">
        <f t="shared" si="2"/>
        <v>100</v>
      </c>
      <c r="X10" s="1568"/>
      <c r="Y10" s="3703"/>
      <c r="Z10" s="1148" t="str">
        <f t="shared" si="7"/>
        <v>土地使用年限（年）</v>
      </c>
      <c r="AA10" s="1569">
        <f t="shared" si="3"/>
        <v>1</v>
      </c>
      <c r="AB10" s="1569">
        <f t="shared" si="4"/>
        <v>1</v>
      </c>
      <c r="AC10" s="1569">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746"/>
      <c r="Q11" s="1149">
        <f t="shared" si="6"/>
        <v>111</v>
      </c>
      <c r="R11" s="1566" t="s">
        <v>8</v>
      </c>
      <c r="S11" s="1567">
        <f t="shared" si="0"/>
        <v>100</v>
      </c>
      <c r="T11" s="1566" t="s">
        <v>8</v>
      </c>
      <c r="U11" s="1567">
        <f t="shared" si="1"/>
        <v>100</v>
      </c>
      <c r="V11" s="1566" t="s">
        <v>8</v>
      </c>
      <c r="W11" s="1567">
        <f t="shared" si="2"/>
        <v>100</v>
      </c>
      <c r="X11" s="1568"/>
      <c r="Y11" s="3703"/>
      <c r="Z11" s="1148">
        <f t="shared" si="7"/>
        <v>111</v>
      </c>
      <c r="AA11" s="1569">
        <f t="shared" si="3"/>
        <v>1</v>
      </c>
      <c r="AB11" s="1569">
        <f t="shared" si="4"/>
        <v>1</v>
      </c>
      <c r="AC11" s="1569">
        <f t="shared" si="5"/>
        <v>1</v>
      </c>
    </row>
    <row r="12" spans="1:29" s="1218"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746"/>
      <c r="Q12" s="1149">
        <f t="shared" si="6"/>
        <v>111</v>
      </c>
      <c r="R12" s="1566" t="s">
        <v>8</v>
      </c>
      <c r="S12" s="1567">
        <f t="shared" si="0"/>
        <v>100</v>
      </c>
      <c r="T12" s="1566" t="s">
        <v>8</v>
      </c>
      <c r="U12" s="1567">
        <f t="shared" si="1"/>
        <v>100</v>
      </c>
      <c r="V12" s="1566" t="s">
        <v>8</v>
      </c>
      <c r="W12" s="1567">
        <f t="shared" si="2"/>
        <v>100</v>
      </c>
      <c r="X12" s="1568"/>
      <c r="Y12" s="3703"/>
      <c r="Z12" s="1148">
        <f t="shared" si="7"/>
        <v>111</v>
      </c>
      <c r="AA12" s="1569">
        <f>D12/F12</f>
        <v>1</v>
      </c>
      <c r="AB12" s="1569">
        <f>D12/H12</f>
        <v>1</v>
      </c>
      <c r="AC12" s="1569">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746"/>
      <c r="Q13" s="1149">
        <f t="shared" si="6"/>
        <v>111</v>
      </c>
      <c r="R13" s="1566" t="s">
        <v>8</v>
      </c>
      <c r="S13" s="1567">
        <f t="shared" si="0"/>
        <v>100</v>
      </c>
      <c r="T13" s="1566" t="s">
        <v>8</v>
      </c>
      <c r="U13" s="1567">
        <f t="shared" si="1"/>
        <v>100</v>
      </c>
      <c r="V13" s="1566" t="s">
        <v>8</v>
      </c>
      <c r="W13" s="1567">
        <f t="shared" si="2"/>
        <v>100</v>
      </c>
      <c r="X13" s="1568"/>
      <c r="Y13" s="3703"/>
      <c r="Z13" s="1148">
        <f t="shared" si="7"/>
        <v>111</v>
      </c>
      <c r="AA13" s="1569">
        <f t="shared" si="3"/>
        <v>1</v>
      </c>
      <c r="AB13" s="1569">
        <f t="shared" si="4"/>
        <v>1</v>
      </c>
      <c r="AC13" s="1569">
        <f t="shared" si="5"/>
        <v>1</v>
      </c>
    </row>
    <row r="14" spans="1:29" ht="15">
      <c r="A14" s="2934" t="s">
        <v>2760</v>
      </c>
      <c r="B14" s="546" t="s">
        <v>544</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748" t="s">
        <v>541</v>
      </c>
      <c r="Q14" s="1570" t="str">
        <f t="shared" si="6"/>
        <v>交通便捷度</v>
      </c>
      <c r="R14" s="1571" t="s">
        <v>8</v>
      </c>
      <c r="S14" s="1572">
        <f t="shared" si="0"/>
        <v>100</v>
      </c>
      <c r="T14" s="1571" t="s">
        <v>8</v>
      </c>
      <c r="U14" s="1572">
        <f t="shared" si="1"/>
        <v>100</v>
      </c>
      <c r="V14" s="1571" t="s">
        <v>8</v>
      </c>
      <c r="W14" s="1572">
        <f t="shared" si="2"/>
        <v>100</v>
      </c>
      <c r="X14" s="1565"/>
      <c r="Y14" s="3748" t="s">
        <v>541</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749"/>
      <c r="Q15" s="1570"/>
      <c r="R15" s="1571"/>
      <c r="S15" s="1572"/>
      <c r="T15" s="1571"/>
      <c r="U15" s="1572"/>
      <c r="V15" s="1571"/>
      <c r="W15" s="1572"/>
      <c r="X15" s="1565"/>
      <c r="Y15" s="3749"/>
      <c r="Z15" s="1573"/>
      <c r="AA15" s="1574">
        <v>1</v>
      </c>
      <c r="AB15" s="1574">
        <v>1</v>
      </c>
      <c r="AC15" s="1574">
        <v>1</v>
      </c>
    </row>
    <row r="16" spans="1:29" ht="15">
      <c r="A16" s="514"/>
      <c r="B16" s="2626" t="s">
        <v>2552</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749"/>
      <c r="Q16" s="1570" t="str">
        <f>B16</f>
        <v>公共配套设施</v>
      </c>
      <c r="R16" s="1571" t="s">
        <v>8</v>
      </c>
      <c r="S16" s="1572">
        <f>F16</f>
        <v>100</v>
      </c>
      <c r="T16" s="1571" t="s">
        <v>8</v>
      </c>
      <c r="U16" s="1572">
        <f>H16</f>
        <v>100</v>
      </c>
      <c r="V16" s="1571" t="s">
        <v>8</v>
      </c>
      <c r="W16" s="1572">
        <f>J16</f>
        <v>100</v>
      </c>
      <c r="X16" s="1565"/>
      <c r="Y16" s="3749"/>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749"/>
      <c r="Q17" s="1570"/>
      <c r="R17" s="1571"/>
      <c r="S17" s="1572"/>
      <c r="T17" s="1571"/>
      <c r="U17" s="1572"/>
      <c r="V17" s="1571"/>
      <c r="W17" s="1572"/>
      <c r="X17" s="1565"/>
      <c r="Y17" s="3749"/>
      <c r="Z17" s="1573"/>
      <c r="AA17" s="1574">
        <v>1</v>
      </c>
      <c r="AB17" s="1574">
        <v>1</v>
      </c>
      <c r="AC17" s="1574">
        <v>1</v>
      </c>
    </row>
    <row r="18" spans="1:29" ht="15">
      <c r="A18" s="514"/>
      <c r="B18" s="2614" t="s">
        <v>2564</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749"/>
      <c r="Q18" s="2602" t="str">
        <f>B18</f>
        <v>基础设施水平</v>
      </c>
      <c r="R18" s="1571" t="s">
        <v>8</v>
      </c>
      <c r="S18" s="1572">
        <f>F18</f>
        <v>100</v>
      </c>
      <c r="T18" s="1571" t="s">
        <v>8</v>
      </c>
      <c r="U18" s="1572">
        <f>H18</f>
        <v>100</v>
      </c>
      <c r="V18" s="1571" t="s">
        <v>8</v>
      </c>
      <c r="W18" s="1572">
        <f>J18</f>
        <v>100</v>
      </c>
      <c r="X18" s="2604"/>
      <c r="Y18" s="3749"/>
      <c r="Z18" s="2603"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5"/>
      <c r="L19" s="2141"/>
      <c r="M19" s="2133"/>
      <c r="N19" s="2133"/>
      <c r="O19" s="2140"/>
      <c r="P19" s="3749"/>
      <c r="Q19" s="2602"/>
      <c r="R19" s="1571"/>
      <c r="S19" s="1572"/>
      <c r="T19" s="1571"/>
      <c r="U19" s="1572"/>
      <c r="V19" s="1571"/>
      <c r="W19" s="1572"/>
      <c r="X19" s="2604"/>
      <c r="Y19" s="3749"/>
      <c r="Z19" s="2603"/>
      <c r="AA19" s="1574">
        <v>1</v>
      </c>
      <c r="AB19" s="1574">
        <v>1</v>
      </c>
      <c r="AC19" s="1574">
        <v>1</v>
      </c>
    </row>
    <row r="20" spans="1:29" ht="15">
      <c r="A20" s="514"/>
      <c r="B20" s="559" t="s">
        <v>805</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749"/>
      <c r="Q20" s="1570" t="str">
        <f>B20</f>
        <v>自然及人文环境</v>
      </c>
      <c r="R20" s="1571" t="s">
        <v>8</v>
      </c>
      <c r="S20" s="1572">
        <f>F20</f>
        <v>100</v>
      </c>
      <c r="T20" s="1571" t="s">
        <v>8</v>
      </c>
      <c r="U20" s="1572">
        <f>H20</f>
        <v>100</v>
      </c>
      <c r="V20" s="1571" t="s">
        <v>8</v>
      </c>
      <c r="W20" s="1572">
        <f>J20</f>
        <v>100</v>
      </c>
      <c r="X20" s="1565"/>
      <c r="Y20" s="3749"/>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749"/>
      <c r="Q21" s="1570"/>
      <c r="R21" s="1571"/>
      <c r="S21" s="1572"/>
      <c r="T21" s="1571"/>
      <c r="U21" s="1572"/>
      <c r="V21" s="1571"/>
      <c r="W21" s="1572"/>
      <c r="X21" s="1565"/>
      <c r="Y21" s="3749"/>
      <c r="Z21" s="1573"/>
      <c r="AA21" s="1574">
        <v>1</v>
      </c>
      <c r="AB21" s="1574">
        <v>1</v>
      </c>
      <c r="AC21" s="1574">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749"/>
      <c r="Q22" s="1570" t="str">
        <f>B22</f>
        <v>楼层</v>
      </c>
      <c r="R22" s="1571" t="s">
        <v>8</v>
      </c>
      <c r="S22" s="1572">
        <f>F22</f>
        <v>100</v>
      </c>
      <c r="T22" s="1571" t="s">
        <v>8</v>
      </c>
      <c r="U22" s="1572">
        <f>H22</f>
        <v>100</v>
      </c>
      <c r="V22" s="1571" t="s">
        <v>8</v>
      </c>
      <c r="W22" s="1572">
        <f>J22</f>
        <v>100</v>
      </c>
      <c r="X22" s="1565"/>
      <c r="Y22" s="3749"/>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749"/>
      <c r="Q23" s="1570">
        <f>B23</f>
        <v>111</v>
      </c>
      <c r="R23" s="1571" t="s">
        <v>8</v>
      </c>
      <c r="S23" s="1572">
        <f>F23</f>
        <v>100</v>
      </c>
      <c r="T23" s="1571" t="s">
        <v>8</v>
      </c>
      <c r="U23" s="1572">
        <f>H23</f>
        <v>100</v>
      </c>
      <c r="V23" s="1571" t="s">
        <v>8</v>
      </c>
      <c r="W23" s="1572">
        <f>J23</f>
        <v>100</v>
      </c>
      <c r="X23" s="1565"/>
      <c r="Y23" s="3749"/>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749"/>
      <c r="Q24" s="1570">
        <f t="shared" ref="Q24:Q36" si="11">B24</f>
        <v>111</v>
      </c>
      <c r="R24" s="1571" t="s">
        <v>8</v>
      </c>
      <c r="S24" s="1572">
        <f>F24</f>
        <v>100</v>
      </c>
      <c r="T24" s="1571" t="s">
        <v>8</v>
      </c>
      <c r="U24" s="1572">
        <f>H24</f>
        <v>100</v>
      </c>
      <c r="V24" s="1571" t="s">
        <v>8</v>
      </c>
      <c r="W24" s="1572">
        <f>J24</f>
        <v>100</v>
      </c>
      <c r="X24" s="1565"/>
      <c r="Y24" s="3749"/>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749"/>
      <c r="Q25" s="1149">
        <f t="shared" si="11"/>
        <v>111</v>
      </c>
      <c r="R25" s="1566" t="s">
        <v>8</v>
      </c>
      <c r="S25" s="1567">
        <f>F25</f>
        <v>100</v>
      </c>
      <c r="T25" s="1566" t="s">
        <v>8</v>
      </c>
      <c r="U25" s="1567">
        <f>H25</f>
        <v>100</v>
      </c>
      <c r="V25" s="1566" t="s">
        <v>8</v>
      </c>
      <c r="W25" s="1567">
        <f>J25</f>
        <v>100</v>
      </c>
      <c r="X25" s="1568"/>
      <c r="Y25" s="3749"/>
      <c r="Z25" s="1148">
        <f>Q25</f>
        <v>111</v>
      </c>
      <c r="AA25" s="1574">
        <f>D25/F25</f>
        <v>1</v>
      </c>
      <c r="AB25" s="1574">
        <f>D25/H25</f>
        <v>1</v>
      </c>
      <c r="AC25" s="1574">
        <f>D25/J25</f>
        <v>1</v>
      </c>
    </row>
    <row r="26" spans="1:29" ht="15">
      <c r="A26" s="2931" t="s">
        <v>2761</v>
      </c>
      <c r="B26" s="169" t="s">
        <v>807</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750" t="s">
        <v>551</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751" t="s">
        <v>551</v>
      </c>
      <c r="Z26" s="1573" t="str">
        <f t="shared" ref="Z26:Z36" si="15">Q26</f>
        <v>配套类型</v>
      </c>
      <c r="AA26" s="1574">
        <f t="shared" si="3"/>
        <v>1</v>
      </c>
      <c r="AB26" s="1574">
        <f t="shared" si="4"/>
        <v>1</v>
      </c>
      <c r="AC26" s="1574">
        <f t="shared" si="5"/>
        <v>1</v>
      </c>
    </row>
    <row r="27" spans="1:29" s="1337" customFormat="1" ht="15">
      <c r="A27" s="927"/>
      <c r="B27" s="581" t="s">
        <v>808</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751"/>
      <c r="Q27" s="1603" t="str">
        <f t="shared" si="11"/>
        <v>项目停车位配比</v>
      </c>
      <c r="R27" s="1575" t="s">
        <v>8</v>
      </c>
      <c r="S27" s="1576">
        <f t="shared" si="12"/>
        <v>100</v>
      </c>
      <c r="T27" s="1575" t="s">
        <v>8</v>
      </c>
      <c r="U27" s="1576">
        <f t="shared" si="13"/>
        <v>100</v>
      </c>
      <c r="V27" s="1575" t="s">
        <v>8</v>
      </c>
      <c r="W27" s="1576">
        <f t="shared" si="14"/>
        <v>100</v>
      </c>
      <c r="X27" s="1577"/>
      <c r="Y27" s="3751"/>
      <c r="Z27" s="1578" t="str">
        <f t="shared" si="15"/>
        <v>项目停车位配比</v>
      </c>
      <c r="AA27" s="1574">
        <f t="shared" si="3"/>
        <v>1</v>
      </c>
      <c r="AB27" s="1574">
        <f t="shared" si="4"/>
        <v>1</v>
      </c>
      <c r="AC27" s="1574">
        <f t="shared" si="5"/>
        <v>1</v>
      </c>
    </row>
    <row r="28" spans="1:29" ht="15">
      <c r="A28" s="929"/>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751"/>
      <c r="Q28" s="1570" t="str">
        <f t="shared" si="11"/>
        <v>公共部分装修</v>
      </c>
      <c r="R28" s="1571" t="s">
        <v>8</v>
      </c>
      <c r="S28" s="1572">
        <f t="shared" si="12"/>
        <v>100</v>
      </c>
      <c r="T28" s="1571" t="s">
        <v>8</v>
      </c>
      <c r="U28" s="1572">
        <f t="shared" si="13"/>
        <v>100</v>
      </c>
      <c r="V28" s="1571" t="s">
        <v>8</v>
      </c>
      <c r="W28" s="1572">
        <f t="shared" si="14"/>
        <v>100</v>
      </c>
      <c r="X28" s="1565"/>
      <c r="Y28" s="3751"/>
      <c r="Z28" s="1573" t="str">
        <f t="shared" si="15"/>
        <v>公共部分装修</v>
      </c>
      <c r="AA28" s="1574">
        <f t="shared" si="3"/>
        <v>1</v>
      </c>
      <c r="AB28" s="1574">
        <f t="shared" si="4"/>
        <v>1</v>
      </c>
      <c r="AC28" s="1574">
        <f t="shared" si="5"/>
        <v>1</v>
      </c>
    </row>
    <row r="29" spans="1:29" ht="15">
      <c r="A29" s="929"/>
      <c r="B29" s="581" t="s">
        <v>810</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751"/>
      <c r="Q29" s="1570" t="str">
        <f t="shared" si="11"/>
        <v>成新率</v>
      </c>
      <c r="R29" s="1571" t="s">
        <v>8</v>
      </c>
      <c r="S29" s="1572" t="e">
        <f t="shared" si="12"/>
        <v>#N/A</v>
      </c>
      <c r="T29" s="1571" t="s">
        <v>8</v>
      </c>
      <c r="U29" s="1572" t="e">
        <f t="shared" si="13"/>
        <v>#N/A</v>
      </c>
      <c r="V29" s="1571" t="s">
        <v>8</v>
      </c>
      <c r="W29" s="1572" t="e">
        <f t="shared" si="14"/>
        <v>#N/A</v>
      </c>
      <c r="X29" s="1565"/>
      <c r="Y29" s="3751"/>
      <c r="Z29" s="1573" t="str">
        <f t="shared" si="15"/>
        <v>成新率</v>
      </c>
      <c r="AA29" s="1574" t="e">
        <f t="shared" si="3"/>
        <v>#N/A</v>
      </c>
      <c r="AB29" s="1574" t="e">
        <f t="shared" si="4"/>
        <v>#N/A</v>
      </c>
      <c r="AC29" s="1574" t="e">
        <f t="shared" si="5"/>
        <v>#N/A</v>
      </c>
    </row>
    <row r="30" spans="1:29" ht="15">
      <c r="A30" s="929"/>
      <c r="B30" s="581" t="s">
        <v>811</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751"/>
      <c r="Q30" s="1570" t="str">
        <f t="shared" si="11"/>
        <v>物业等级</v>
      </c>
      <c r="R30" s="1571" t="s">
        <v>8</v>
      </c>
      <c r="S30" s="1572">
        <f t="shared" si="12"/>
        <v>100</v>
      </c>
      <c r="T30" s="1571" t="s">
        <v>8</v>
      </c>
      <c r="U30" s="1572">
        <f t="shared" si="13"/>
        <v>100</v>
      </c>
      <c r="V30" s="1571" t="s">
        <v>8</v>
      </c>
      <c r="W30" s="1572">
        <f t="shared" si="14"/>
        <v>100</v>
      </c>
      <c r="X30" s="1565"/>
      <c r="Y30" s="3751"/>
      <c r="Z30" s="1573" t="str">
        <f t="shared" si="15"/>
        <v>物业等级</v>
      </c>
      <c r="AA30" s="1574">
        <f t="shared" si="3"/>
        <v>1</v>
      </c>
      <c r="AB30" s="1574">
        <f t="shared" si="4"/>
        <v>1</v>
      </c>
      <c r="AC30" s="1574">
        <f t="shared" si="5"/>
        <v>1</v>
      </c>
    </row>
    <row r="31" spans="1:29" s="1218" customFormat="1" ht="15">
      <c r="A31" s="931"/>
      <c r="B31" s="581" t="s">
        <v>812</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751"/>
      <c r="Q31" s="1149" t="str">
        <f t="shared" si="11"/>
        <v>停车位面积</v>
      </c>
      <c r="R31" s="1566" t="s">
        <v>8</v>
      </c>
      <c r="S31" s="1567" t="e">
        <f t="shared" si="12"/>
        <v>#N/A</v>
      </c>
      <c r="T31" s="1566" t="s">
        <v>8</v>
      </c>
      <c r="U31" s="1567" t="e">
        <f t="shared" si="13"/>
        <v>#N/A</v>
      </c>
      <c r="V31" s="1566" t="s">
        <v>8</v>
      </c>
      <c r="W31" s="1567" t="e">
        <f t="shared" si="14"/>
        <v>#N/A</v>
      </c>
      <c r="X31" s="1568"/>
      <c r="Y31" s="3751"/>
      <c r="Z31" s="1148" t="str">
        <f t="shared" si="15"/>
        <v>停车位面积</v>
      </c>
      <c r="AA31" s="1569" t="e">
        <f t="shared" si="3"/>
        <v>#N/A</v>
      </c>
      <c r="AB31" s="1569" t="e">
        <f t="shared" si="4"/>
        <v>#N/A</v>
      </c>
      <c r="AC31" s="1569" t="e">
        <f t="shared" si="5"/>
        <v>#N/A</v>
      </c>
    </row>
    <row r="32" spans="1:29" ht="15">
      <c r="A32" s="929"/>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751" t="s">
        <v>551</v>
      </c>
      <c r="Q32" s="1570" t="str">
        <f t="shared" si="11"/>
        <v>车位类型</v>
      </c>
      <c r="R32" s="1571" t="s">
        <v>8</v>
      </c>
      <c r="S32" s="1572">
        <f t="shared" si="12"/>
        <v>100</v>
      </c>
      <c r="T32" s="1571" t="s">
        <v>8</v>
      </c>
      <c r="U32" s="1572">
        <f t="shared" si="13"/>
        <v>100</v>
      </c>
      <c r="V32" s="1571" t="s">
        <v>8</v>
      </c>
      <c r="W32" s="1572">
        <f t="shared" si="14"/>
        <v>100</v>
      </c>
      <c r="X32" s="1565"/>
      <c r="Y32" s="3751" t="s">
        <v>551</v>
      </c>
      <c r="Z32" s="1573" t="str">
        <f t="shared" si="15"/>
        <v>车位类型</v>
      </c>
      <c r="AA32" s="1574">
        <f t="shared" si="3"/>
        <v>1</v>
      </c>
      <c r="AB32" s="1574">
        <f t="shared" si="4"/>
        <v>1</v>
      </c>
      <c r="AC32" s="1574">
        <f t="shared" si="5"/>
        <v>1</v>
      </c>
    </row>
    <row r="33" spans="1:29" ht="15">
      <c r="A33" s="929"/>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751"/>
      <c r="Q33" s="1570" t="str">
        <f t="shared" si="11"/>
        <v>是否直接入户</v>
      </c>
      <c r="R33" s="1571" t="s">
        <v>8</v>
      </c>
      <c r="S33" s="1572">
        <f t="shared" si="12"/>
        <v>100</v>
      </c>
      <c r="T33" s="1571" t="s">
        <v>8</v>
      </c>
      <c r="U33" s="1572">
        <f t="shared" si="13"/>
        <v>100</v>
      </c>
      <c r="V33" s="1571" t="s">
        <v>8</v>
      </c>
      <c r="W33" s="1572">
        <f t="shared" si="14"/>
        <v>100</v>
      </c>
      <c r="X33" s="1565"/>
      <c r="Y33" s="3751"/>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751"/>
      <c r="Q34" s="1570">
        <f t="shared" si="11"/>
        <v>111</v>
      </c>
      <c r="R34" s="1571" t="s">
        <v>8</v>
      </c>
      <c r="S34" s="1572">
        <f t="shared" si="12"/>
        <v>100</v>
      </c>
      <c r="T34" s="1571" t="s">
        <v>8</v>
      </c>
      <c r="U34" s="1572">
        <f t="shared" si="13"/>
        <v>100</v>
      </c>
      <c r="V34" s="1571" t="s">
        <v>8</v>
      </c>
      <c r="W34" s="1572">
        <f t="shared" si="14"/>
        <v>100</v>
      </c>
      <c r="X34" s="1565"/>
      <c r="Y34" s="3751"/>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751"/>
      <c r="Q35" s="1603">
        <f t="shared" si="11"/>
        <v>111</v>
      </c>
      <c r="R35" s="1575" t="s">
        <v>8</v>
      </c>
      <c r="S35" s="1576">
        <f t="shared" si="12"/>
        <v>100</v>
      </c>
      <c r="T35" s="1575" t="s">
        <v>8</v>
      </c>
      <c r="U35" s="1576">
        <f t="shared" si="13"/>
        <v>100</v>
      </c>
      <c r="V35" s="1575" t="s">
        <v>8</v>
      </c>
      <c r="W35" s="1576">
        <f t="shared" si="14"/>
        <v>100</v>
      </c>
      <c r="X35" s="1577"/>
      <c r="Y35" s="3751"/>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751"/>
      <c r="Q36" s="1570">
        <f t="shared" si="11"/>
        <v>111</v>
      </c>
      <c r="R36" s="1571" t="s">
        <v>8</v>
      </c>
      <c r="S36" s="1572">
        <f t="shared" si="12"/>
        <v>100</v>
      </c>
      <c r="T36" s="1571" t="s">
        <v>8</v>
      </c>
      <c r="U36" s="1572">
        <f t="shared" si="13"/>
        <v>100</v>
      </c>
      <c r="V36" s="1571" t="s">
        <v>8</v>
      </c>
      <c r="W36" s="1572">
        <f t="shared" si="14"/>
        <v>100</v>
      </c>
      <c r="X36" s="1565"/>
      <c r="Y36" s="3751"/>
      <c r="Z36" s="1573">
        <f t="shared" si="15"/>
        <v>111</v>
      </c>
      <c r="AA36" s="1574">
        <f t="shared" si="3"/>
        <v>1</v>
      </c>
      <c r="AB36" s="1574">
        <f t="shared" si="4"/>
        <v>1</v>
      </c>
      <c r="AC36" s="1574">
        <f t="shared" si="5"/>
        <v>1</v>
      </c>
    </row>
    <row r="37" spans="1:29" ht="15">
      <c r="A37" s="1845" t="s">
        <v>2081</v>
      </c>
      <c r="B37" s="1846" t="s">
        <v>2082</v>
      </c>
      <c r="C37" s="2650" t="s">
        <v>1</v>
      </c>
      <c r="D37" s="2651"/>
      <c r="E37" s="2652"/>
      <c r="F37" s="2653"/>
      <c r="G37" s="2654"/>
      <c r="H37" s="2655"/>
      <c r="I37" s="2652"/>
      <c r="J37" s="2655"/>
      <c r="K37" s="1609"/>
      <c r="L37" s="2143"/>
      <c r="M37" s="2144"/>
      <c r="N37" s="2133"/>
      <c r="O37" s="2144"/>
      <c r="P37" s="3746" t="str">
        <f>A37</f>
        <v>成交单价</v>
      </c>
      <c r="Q37" s="3746"/>
      <c r="R37" s="3849">
        <f>E37</f>
        <v>0</v>
      </c>
      <c r="S37" s="3849"/>
      <c r="T37" s="3849">
        <f>G37</f>
        <v>0</v>
      </c>
      <c r="U37" s="3849"/>
      <c r="V37" s="3849">
        <f>I37</f>
        <v>0</v>
      </c>
      <c r="W37" s="3849"/>
      <c r="X37" s="1557"/>
      <c r="Y37" s="1579"/>
      <c r="Z37" s="1557"/>
      <c r="AA37" s="1557"/>
      <c r="AB37" s="1557"/>
      <c r="AC37" s="1557"/>
    </row>
    <row r="38" spans="1:29" ht="15.75" thickBot="1">
      <c r="A38" s="614" t="s">
        <v>2766</v>
      </c>
      <c r="B38" s="886"/>
      <c r="C38" s="2656" t="e">
        <f>R39</f>
        <v>#DIV/0!</v>
      </c>
      <c r="D38" s="2657"/>
      <c r="E38" s="2658" t="e">
        <f>R38</f>
        <v>#DIV/0!</v>
      </c>
      <c r="F38" s="2658"/>
      <c r="G38" s="2656" t="e">
        <f>T38</f>
        <v>#DIV/0!</v>
      </c>
      <c r="H38" s="2657"/>
      <c r="I38" s="2658" t="e">
        <f>V38</f>
        <v>#DIV/0!</v>
      </c>
      <c r="J38" s="2657"/>
      <c r="K38" s="1610"/>
      <c r="L38" s="2143"/>
      <c r="M38" s="2144"/>
      <c r="N38" s="2144"/>
      <c r="O38" s="2144"/>
      <c r="P38" s="3746" t="str">
        <f>A38</f>
        <v>比较价格（元/平方米）</v>
      </c>
      <c r="Q38" s="3746"/>
      <c r="R38" s="3849" t="e">
        <f>IF(F1="售价",ROUND(PRODUCT(R37,AA7:AA36),0),ROUND(PRODUCT(R37,AA7:AA36),1))</f>
        <v>#DIV/0!</v>
      </c>
      <c r="S38" s="3849"/>
      <c r="T38" s="3849" t="e">
        <f>IF(F1="售价",ROUND(PRODUCT(T37,AB7:AB36),0),ROUND(PRODUCT(T37,AB7:AB36),1))</f>
        <v>#DIV/0!</v>
      </c>
      <c r="U38" s="3849"/>
      <c r="V38" s="3849" t="e">
        <f>IF(F1="售价",ROUND(PRODUCT(V37,AC7:AC36),0),ROUND(PRODUCT(V37,AC7:AC36),1))</f>
        <v>#DIV/0!</v>
      </c>
      <c r="W38" s="3849"/>
      <c r="X38" s="1557"/>
      <c r="Y38" s="1557"/>
      <c r="Z38" s="1557"/>
      <c r="AA38" s="1557"/>
      <c r="AB38" s="1557"/>
      <c r="AC38" s="1557"/>
    </row>
    <row r="39" spans="1:29" ht="15.75" thickBot="1">
      <c r="A39" s="620" t="s">
        <v>2933</v>
      </c>
      <c r="B39" s="621"/>
      <c r="C39" s="2659" t="e">
        <f>R39</f>
        <v>#DIV/0!</v>
      </c>
      <c r="D39" s="2659"/>
      <c r="E39" s="2659"/>
      <c r="F39" s="2659"/>
      <c r="G39" s="2659"/>
      <c r="H39" s="2659"/>
      <c r="I39" s="2659"/>
      <c r="J39" s="2659"/>
      <c r="K39" s="1611"/>
      <c r="L39" s="2143"/>
      <c r="M39" s="2144"/>
      <c r="N39" s="2144"/>
      <c r="O39" s="2144"/>
      <c r="P39" s="3770" t="str">
        <f>A39</f>
        <v>估价对象XX用房的比较价格（楼面单价，元/平方米）</v>
      </c>
      <c r="Q39" s="3771"/>
      <c r="R39" s="3848" t="e">
        <f>IF(F1="售价",ROUND(AVERAGE(R38:V38),0),ROUND(AVERAGE(R38:V38),1))</f>
        <v>#DIV/0!</v>
      </c>
      <c r="S39" s="3848"/>
      <c r="T39" s="3848"/>
      <c r="U39" s="3848"/>
      <c r="V39" s="3848"/>
      <c r="W39" s="3848"/>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575</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530</v>
      </c>
      <c r="B48" s="645"/>
      <c r="C48" s="2826" t="str">
        <f>YEAR(C7)&amp;"-"&amp;MONTH(C7)</f>
        <v>2018-3</v>
      </c>
      <c r="D48" s="2828">
        <f>EDATE(C48,-1)</f>
        <v>43132</v>
      </c>
      <c r="E48" s="2828">
        <f t="shared" ref="E48:O48" si="16">EDATE(D48,-1)</f>
        <v>43101</v>
      </c>
      <c r="F48" s="2828">
        <f t="shared" si="16"/>
        <v>43070</v>
      </c>
      <c r="G48" s="2828">
        <f t="shared" si="16"/>
        <v>43040</v>
      </c>
      <c r="H48" s="2828">
        <f t="shared" si="16"/>
        <v>43009</v>
      </c>
      <c r="I48" s="2828">
        <f t="shared" si="16"/>
        <v>42979</v>
      </c>
      <c r="J48" s="2828">
        <f t="shared" si="16"/>
        <v>42948</v>
      </c>
      <c r="K48" s="2828">
        <f t="shared" si="16"/>
        <v>42917</v>
      </c>
      <c r="L48" s="2828">
        <f t="shared" si="16"/>
        <v>42887</v>
      </c>
      <c r="M48" s="2828">
        <f t="shared" si="16"/>
        <v>42856</v>
      </c>
      <c r="N48" s="2828">
        <f t="shared" si="16"/>
        <v>42826</v>
      </c>
      <c r="O48" s="2828">
        <f t="shared" si="16"/>
        <v>42795</v>
      </c>
      <c r="P48" s="2159"/>
      <c r="Q48" s="2160"/>
      <c r="R48" s="2160"/>
      <c r="S48" s="2160"/>
      <c r="T48" s="2160"/>
      <c r="U48" s="2160"/>
      <c r="V48" s="2160"/>
      <c r="W48" s="2160"/>
      <c r="X48" s="2160"/>
      <c r="Y48" s="2160"/>
      <c r="Z48" s="2160"/>
      <c r="AA48" s="2160"/>
      <c r="AB48" s="2160"/>
      <c r="AC48" s="2160"/>
    </row>
    <row r="49" spans="1:29" s="1218" customFormat="1" ht="15">
      <c r="A49" s="646"/>
      <c r="B49" s="647"/>
      <c r="C49" s="2827">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576</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532</v>
      </c>
      <c r="B51" s="647"/>
      <c r="C51" s="659" t="s">
        <v>577</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578</v>
      </c>
      <c r="B53" s="664" t="s">
        <v>535</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2563</v>
      </c>
      <c r="C65" s="707" t="s">
        <v>580</v>
      </c>
      <c r="D65" s="707" t="s">
        <v>581</v>
      </c>
      <c r="E65" s="707" t="s">
        <v>582</v>
      </c>
      <c r="F65" s="707" t="s">
        <v>583</v>
      </c>
      <c r="G65" s="707" t="s">
        <v>584</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2564</v>
      </c>
      <c r="C67" s="2621" t="s">
        <v>2565</v>
      </c>
      <c r="D67" s="2621" t="s">
        <v>2566</v>
      </c>
      <c r="E67" s="2621" t="s">
        <v>2567</v>
      </c>
      <c r="F67" s="2621" t="s">
        <v>2568</v>
      </c>
      <c r="G67" s="2621" t="s">
        <v>2569</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707" t="s">
        <v>580</v>
      </c>
      <c r="D69" s="707" t="s">
        <v>581</v>
      </c>
      <c r="E69" s="707" t="s">
        <v>582</v>
      </c>
      <c r="F69" s="707" t="s">
        <v>583</v>
      </c>
      <c r="G69" s="707" t="s">
        <v>584</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746</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552</v>
      </c>
      <c r="B79" s="664" t="s">
        <v>815</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816</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752</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818</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820</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821</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921"/>
      <c r="C1" s="503" t="s">
        <v>793</v>
      </c>
      <c r="D1" s="848"/>
      <c r="E1" s="505"/>
      <c r="F1" s="2831"/>
      <c r="G1" s="1599" t="s">
        <v>794</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795</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796</v>
      </c>
      <c r="B3" s="509" t="e">
        <f>C37</f>
        <v>#DIV/0!</v>
      </c>
      <c r="C3" s="851" t="s">
        <v>797</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798</v>
      </c>
      <c r="B4" s="512"/>
      <c r="C4" s="3752" t="s">
        <v>799</v>
      </c>
      <c r="D4" s="3753"/>
      <c r="E4" s="3779" t="s">
        <v>800</v>
      </c>
      <c r="F4" s="3780"/>
      <c r="G4" s="3752" t="s">
        <v>801</v>
      </c>
      <c r="H4" s="3753"/>
      <c r="I4" s="3752" t="s">
        <v>802</v>
      </c>
      <c r="J4" s="3753"/>
      <c r="K4" s="513" t="s">
        <v>803</v>
      </c>
      <c r="L4" s="2132"/>
      <c r="M4" s="2133"/>
      <c r="N4" s="2133"/>
      <c r="O4" s="2133"/>
      <c r="P4" s="3754" t="s">
        <v>804</v>
      </c>
      <c r="Q4" s="3755"/>
      <c r="R4" s="3740" t="s">
        <v>800</v>
      </c>
      <c r="S4" s="3741"/>
      <c r="T4" s="3740" t="s">
        <v>801</v>
      </c>
      <c r="U4" s="3741"/>
      <c r="V4" s="3760" t="s">
        <v>802</v>
      </c>
      <c r="W4" s="3760"/>
      <c r="X4" s="1565"/>
      <c r="Y4" s="3740" t="s">
        <v>804</v>
      </c>
      <c r="Z4" s="3741"/>
      <c r="AA4" s="3735" t="s">
        <v>800</v>
      </c>
      <c r="AB4" s="3736" t="s">
        <v>801</v>
      </c>
      <c r="AC4" s="3735" t="s">
        <v>802</v>
      </c>
    </row>
    <row r="5" spans="1:29" ht="15">
      <c r="A5" s="514"/>
      <c r="B5" s="515"/>
      <c r="C5" s="3765" t="s">
        <v>2927</v>
      </c>
      <c r="D5" s="3764"/>
      <c r="E5" s="3781" t="s">
        <v>2928</v>
      </c>
      <c r="F5" s="3782"/>
      <c r="G5" s="3765" t="s">
        <v>2929</v>
      </c>
      <c r="H5" s="3764"/>
      <c r="I5" s="3765" t="s">
        <v>2930</v>
      </c>
      <c r="J5" s="3764"/>
      <c r="K5" s="513"/>
      <c r="L5" s="2132"/>
      <c r="M5" s="2133"/>
      <c r="N5" s="2133"/>
      <c r="O5" s="2133"/>
      <c r="P5" s="3756"/>
      <c r="Q5" s="3757"/>
      <c r="R5" s="3742"/>
      <c r="S5" s="3743"/>
      <c r="T5" s="3742"/>
      <c r="U5" s="3743"/>
      <c r="V5" s="3760"/>
      <c r="W5" s="3760"/>
      <c r="X5" s="1565"/>
      <c r="Y5" s="3742"/>
      <c r="Z5" s="3743"/>
      <c r="AA5" s="3736"/>
      <c r="AB5" s="3736"/>
      <c r="AC5" s="3736"/>
    </row>
    <row r="6" spans="1:29" ht="15.75" thickBot="1">
      <c r="A6" s="516"/>
      <c r="B6" s="517"/>
      <c r="C6" s="3783" t="s">
        <v>2931</v>
      </c>
      <c r="D6" s="3762"/>
      <c r="E6" s="3784" t="s">
        <v>2931</v>
      </c>
      <c r="F6" s="3785"/>
      <c r="G6" s="3783" t="s">
        <v>2931</v>
      </c>
      <c r="H6" s="3762"/>
      <c r="I6" s="3783" t="s">
        <v>2931</v>
      </c>
      <c r="J6" s="3762"/>
      <c r="K6" s="513" t="s">
        <v>529</v>
      </c>
      <c r="L6" s="2132"/>
      <c r="M6" s="2133"/>
      <c r="N6" s="2133"/>
      <c r="O6" s="2133"/>
      <c r="P6" s="3758"/>
      <c r="Q6" s="3759"/>
      <c r="R6" s="3742"/>
      <c r="S6" s="3743"/>
      <c r="T6" s="3744"/>
      <c r="U6" s="3745"/>
      <c r="V6" s="3760"/>
      <c r="W6" s="3760"/>
      <c r="X6" s="1565"/>
      <c r="Y6" s="3744"/>
      <c r="Z6" s="3745"/>
      <c r="AA6" s="3737"/>
      <c r="AB6" s="3737"/>
      <c r="AC6" s="3737"/>
    </row>
    <row r="7" spans="1:29" s="1218" customFormat="1" ht="15.75" thickBot="1">
      <c r="A7" s="2936"/>
      <c r="B7" s="2943" t="s">
        <v>530</v>
      </c>
      <c r="C7" s="518">
        <f>'数据-取费表'!B2</f>
        <v>43171</v>
      </c>
      <c r="D7" s="519">
        <v>100</v>
      </c>
      <c r="E7" s="520"/>
      <c r="F7" s="521">
        <f>SUMIF(46:46,YEAR(E7)&amp;"-"&amp;MONTH(E7),47:47)</f>
        <v>0</v>
      </c>
      <c r="G7" s="522"/>
      <c r="H7" s="519">
        <f>SUMIF(46:46,YEAR(G7)&amp;"-"&amp;MONTH(G7),47:47)</f>
        <v>0</v>
      </c>
      <c r="I7" s="522"/>
      <c r="J7" s="519">
        <f>SUMIF(46:46,YEAR(I7)&amp;"-"&amp;MONTH(I7),47:47)</f>
        <v>0</v>
      </c>
      <c r="K7" s="523"/>
      <c r="L7" s="2134"/>
      <c r="M7" s="2135"/>
      <c r="N7" s="2135"/>
      <c r="O7" s="2135"/>
      <c r="P7" s="3738" t="s">
        <v>531</v>
      </c>
      <c r="Q7" s="3747"/>
      <c r="R7" s="1566" t="s">
        <v>8</v>
      </c>
      <c r="S7" s="1567">
        <f t="shared" ref="S7:S14" si="0">F7</f>
        <v>0</v>
      </c>
      <c r="T7" s="1566" t="s">
        <v>8</v>
      </c>
      <c r="U7" s="1567">
        <f t="shared" ref="U7:U14" si="1">H7</f>
        <v>0</v>
      </c>
      <c r="V7" s="1566" t="s">
        <v>8</v>
      </c>
      <c r="W7" s="1567">
        <f t="shared" ref="W7:W14" si="2">J7</f>
        <v>0</v>
      </c>
      <c r="X7" s="1568"/>
      <c r="Y7" s="3738" t="s">
        <v>531</v>
      </c>
      <c r="Z7" s="3739"/>
      <c r="AA7" s="1569" t="e">
        <f>D7/F7</f>
        <v>#DIV/0!</v>
      </c>
      <c r="AB7" s="1569" t="e">
        <f>D7/H7</f>
        <v>#DIV/0!</v>
      </c>
      <c r="AC7" s="1569" t="e">
        <f>D7/J7</f>
        <v>#DIV/0!</v>
      </c>
    </row>
    <row r="8" spans="1:29" s="1218"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738" t="s">
        <v>534</v>
      </c>
      <c r="Q8" s="3739"/>
      <c r="R8" s="1566" t="s">
        <v>8</v>
      </c>
      <c r="S8" s="1567">
        <f t="shared" si="0"/>
        <v>0</v>
      </c>
      <c r="T8" s="1566" t="s">
        <v>8</v>
      </c>
      <c r="U8" s="1567">
        <f t="shared" si="1"/>
        <v>0</v>
      </c>
      <c r="V8" s="1566" t="s">
        <v>8</v>
      </c>
      <c r="W8" s="1567">
        <f t="shared" si="2"/>
        <v>0</v>
      </c>
      <c r="X8" s="1568"/>
      <c r="Y8" s="3738" t="s">
        <v>534</v>
      </c>
      <c r="Z8" s="3739"/>
      <c r="AA8" s="1569" t="e">
        <f t="shared" ref="AA8:AA34" si="3">D8/F8</f>
        <v>#DIV/0!</v>
      </c>
      <c r="AB8" s="1569" t="e">
        <f t="shared" ref="AB8:AB34" si="4">D8/H8</f>
        <v>#DIV/0!</v>
      </c>
      <c r="AC8" s="1569" t="e">
        <f t="shared" ref="AC8:AC34" si="5">D8/J8</f>
        <v>#DIV/0!</v>
      </c>
    </row>
    <row r="9" spans="1:29" s="1218" customFormat="1" ht="15">
      <c r="A9" s="2938"/>
      <c r="B9" s="2945" t="s">
        <v>2762</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746" t="s">
        <v>536</v>
      </c>
      <c r="Q9" s="1149" t="str">
        <f t="shared" ref="Q9:Q14" si="6">B9</f>
        <v>用途</v>
      </c>
      <c r="R9" s="1566" t="s">
        <v>8</v>
      </c>
      <c r="S9" s="1567">
        <f t="shared" si="0"/>
        <v>100</v>
      </c>
      <c r="T9" s="1566" t="s">
        <v>8</v>
      </c>
      <c r="U9" s="1567">
        <f t="shared" si="1"/>
        <v>100</v>
      </c>
      <c r="V9" s="1566" t="s">
        <v>8</v>
      </c>
      <c r="W9" s="1567">
        <f t="shared" si="2"/>
        <v>100</v>
      </c>
      <c r="X9" s="1568"/>
      <c r="Y9" s="3703" t="s">
        <v>537</v>
      </c>
      <c r="Z9" s="1148" t="str">
        <f t="shared" ref="Z9:Z14" si="7">Q9</f>
        <v>用途</v>
      </c>
      <c r="AA9" s="1569">
        <f t="shared" si="3"/>
        <v>1</v>
      </c>
      <c r="AB9" s="1569">
        <f t="shared" si="4"/>
        <v>1</v>
      </c>
      <c r="AC9" s="1569">
        <f t="shared" si="5"/>
        <v>1</v>
      </c>
    </row>
    <row r="10" spans="1:29" s="1336" customFormat="1" ht="27">
      <c r="A10" s="2939"/>
      <c r="B10" s="2944" t="s">
        <v>2763</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746"/>
      <c r="Q10" s="1149" t="str">
        <f t="shared" si="6"/>
        <v>土地使用年限（年）</v>
      </c>
      <c r="R10" s="1566" t="s">
        <v>8</v>
      </c>
      <c r="S10" s="1567">
        <f t="shared" si="0"/>
        <v>100</v>
      </c>
      <c r="T10" s="1566" t="s">
        <v>8</v>
      </c>
      <c r="U10" s="1567">
        <f t="shared" si="1"/>
        <v>100</v>
      </c>
      <c r="V10" s="1566" t="s">
        <v>8</v>
      </c>
      <c r="W10" s="1567">
        <f t="shared" si="2"/>
        <v>100</v>
      </c>
      <c r="X10" s="1568"/>
      <c r="Y10" s="3703"/>
      <c r="Z10" s="1148" t="str">
        <f t="shared" si="7"/>
        <v>土地使用年限（年）</v>
      </c>
      <c r="AA10" s="1569">
        <f t="shared" si="3"/>
        <v>1</v>
      </c>
      <c r="AB10" s="1569">
        <f t="shared" si="4"/>
        <v>1</v>
      </c>
      <c r="AC10" s="1569">
        <f t="shared" si="5"/>
        <v>1</v>
      </c>
    </row>
    <row r="11" spans="1:29" ht="15">
      <c r="A11" s="2941"/>
      <c r="B11" s="2947">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746"/>
      <c r="Q11" s="1149">
        <f t="shared" si="6"/>
        <v>111</v>
      </c>
      <c r="R11" s="1566" t="s">
        <v>8</v>
      </c>
      <c r="S11" s="1567">
        <f t="shared" si="0"/>
        <v>100</v>
      </c>
      <c r="T11" s="1566" t="s">
        <v>8</v>
      </c>
      <c r="U11" s="1567">
        <f t="shared" si="1"/>
        <v>100</v>
      </c>
      <c r="V11" s="1566" t="s">
        <v>8</v>
      </c>
      <c r="W11" s="1567">
        <f t="shared" si="2"/>
        <v>100</v>
      </c>
      <c r="X11" s="1568"/>
      <c r="Y11" s="3703"/>
      <c r="Z11" s="1148">
        <f t="shared" si="7"/>
        <v>111</v>
      </c>
      <c r="AA11" s="1569">
        <f t="shared" si="3"/>
        <v>1</v>
      </c>
      <c r="AB11" s="1569">
        <f t="shared" si="4"/>
        <v>1</v>
      </c>
      <c r="AC11" s="1569">
        <f t="shared" si="5"/>
        <v>1</v>
      </c>
    </row>
    <row r="12" spans="1:29" s="1218" customFormat="1" ht="15">
      <c r="A12" s="2941"/>
      <c r="B12" s="2947">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746"/>
      <c r="Q12" s="1149">
        <f t="shared" si="6"/>
        <v>111</v>
      </c>
      <c r="R12" s="1566" t="s">
        <v>8</v>
      </c>
      <c r="S12" s="1567">
        <f t="shared" si="0"/>
        <v>100</v>
      </c>
      <c r="T12" s="1566" t="s">
        <v>8</v>
      </c>
      <c r="U12" s="1567">
        <f t="shared" si="1"/>
        <v>100</v>
      </c>
      <c r="V12" s="1566" t="s">
        <v>8</v>
      </c>
      <c r="W12" s="1567">
        <f t="shared" si="2"/>
        <v>100</v>
      </c>
      <c r="X12" s="1568"/>
      <c r="Y12" s="3703"/>
      <c r="Z12" s="1148">
        <f t="shared" si="7"/>
        <v>111</v>
      </c>
      <c r="AA12" s="1569">
        <f>D12/F12</f>
        <v>1</v>
      </c>
      <c r="AB12" s="1569">
        <f>D12/H12</f>
        <v>1</v>
      </c>
      <c r="AC12" s="1569">
        <f>D12/J12</f>
        <v>1</v>
      </c>
    </row>
    <row r="13" spans="1:29" ht="15.75" thickBot="1">
      <c r="A13" s="2942"/>
      <c r="B13" s="2948">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746"/>
      <c r="Q13" s="1149">
        <f t="shared" si="6"/>
        <v>111</v>
      </c>
      <c r="R13" s="1566" t="s">
        <v>8</v>
      </c>
      <c r="S13" s="1567">
        <f t="shared" si="0"/>
        <v>100</v>
      </c>
      <c r="T13" s="1566" t="s">
        <v>8</v>
      </c>
      <c r="U13" s="1567">
        <f t="shared" si="1"/>
        <v>100</v>
      </c>
      <c r="V13" s="1566" t="s">
        <v>8</v>
      </c>
      <c r="W13" s="1567">
        <f t="shared" si="2"/>
        <v>100</v>
      </c>
      <c r="X13" s="1568"/>
      <c r="Y13" s="3703"/>
      <c r="Z13" s="1148">
        <f t="shared" si="7"/>
        <v>111</v>
      </c>
      <c r="AA13" s="1569">
        <f t="shared" si="3"/>
        <v>1</v>
      </c>
      <c r="AB13" s="1569">
        <f t="shared" si="4"/>
        <v>1</v>
      </c>
      <c r="AC13" s="1569">
        <f t="shared" si="5"/>
        <v>1</v>
      </c>
    </row>
    <row r="14" spans="1:29" ht="15">
      <c r="A14" s="2934" t="s">
        <v>2760</v>
      </c>
      <c r="B14" s="165" t="s">
        <v>544</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748" t="s">
        <v>541</v>
      </c>
      <c r="Q14" s="1570" t="str">
        <f t="shared" si="6"/>
        <v>交通便捷度</v>
      </c>
      <c r="R14" s="1571" t="s">
        <v>8</v>
      </c>
      <c r="S14" s="1572">
        <f t="shared" si="0"/>
        <v>100</v>
      </c>
      <c r="T14" s="1571" t="s">
        <v>8</v>
      </c>
      <c r="U14" s="1572">
        <f t="shared" si="1"/>
        <v>100</v>
      </c>
      <c r="V14" s="1571" t="s">
        <v>8</v>
      </c>
      <c r="W14" s="1572">
        <f t="shared" si="2"/>
        <v>100</v>
      </c>
      <c r="X14" s="1565"/>
      <c r="Y14" s="3748" t="s">
        <v>541</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749"/>
      <c r="Q15" s="1570"/>
      <c r="R15" s="1571"/>
      <c r="S15" s="1572"/>
      <c r="T15" s="1571"/>
      <c r="U15" s="1572"/>
      <c r="V15" s="1571"/>
      <c r="W15" s="1572"/>
      <c r="X15" s="1565"/>
      <c r="Y15" s="3749"/>
      <c r="Z15" s="1573"/>
      <c r="AA15" s="1574">
        <v>1</v>
      </c>
      <c r="AB15" s="1574">
        <v>1</v>
      </c>
      <c r="AC15" s="1574">
        <v>1</v>
      </c>
    </row>
    <row r="16" spans="1:29" ht="15">
      <c r="A16" s="531"/>
      <c r="B16" s="2626" t="s">
        <v>2552</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749"/>
      <c r="Q16" s="1570" t="str">
        <f>B16</f>
        <v>公共配套设施</v>
      </c>
      <c r="R16" s="1571" t="s">
        <v>8</v>
      </c>
      <c r="S16" s="1572">
        <f>F16</f>
        <v>100</v>
      </c>
      <c r="T16" s="1571" t="s">
        <v>8</v>
      </c>
      <c r="U16" s="1572">
        <f>H16</f>
        <v>100</v>
      </c>
      <c r="V16" s="1571" t="s">
        <v>8</v>
      </c>
      <c r="W16" s="1572">
        <f>J16</f>
        <v>100</v>
      </c>
      <c r="X16" s="1565"/>
      <c r="Y16" s="3749"/>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749"/>
      <c r="Q17" s="1570"/>
      <c r="R17" s="1571"/>
      <c r="S17" s="1572"/>
      <c r="T17" s="1571"/>
      <c r="U17" s="1572"/>
      <c r="V17" s="1571"/>
      <c r="W17" s="1572"/>
      <c r="X17" s="1565"/>
      <c r="Y17" s="3749"/>
      <c r="Z17" s="1573"/>
      <c r="AA17" s="1574">
        <v>1</v>
      </c>
      <c r="AB17" s="1574">
        <v>1</v>
      </c>
      <c r="AC17" s="1574">
        <v>1</v>
      </c>
    </row>
    <row r="18" spans="1:29" ht="15">
      <c r="A18" s="531"/>
      <c r="B18" s="2614" t="s">
        <v>2564</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749"/>
      <c r="Q18" s="2602" t="str">
        <f>B18</f>
        <v>基础设施水平</v>
      </c>
      <c r="R18" s="1571" t="s">
        <v>8</v>
      </c>
      <c r="S18" s="1572">
        <f>F18</f>
        <v>100</v>
      </c>
      <c r="T18" s="1571" t="s">
        <v>8</v>
      </c>
      <c r="U18" s="1572">
        <f>H18</f>
        <v>100</v>
      </c>
      <c r="V18" s="1571" t="s">
        <v>8</v>
      </c>
      <c r="W18" s="1572">
        <f>J18</f>
        <v>100</v>
      </c>
      <c r="X18" s="2604"/>
      <c r="Y18" s="3749"/>
      <c r="Z18" s="2603"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5"/>
      <c r="L19" s="2141"/>
      <c r="M19" s="2133"/>
      <c r="N19" s="2133"/>
      <c r="O19" s="2140"/>
      <c r="P19" s="3749"/>
      <c r="Q19" s="2602"/>
      <c r="R19" s="1571"/>
      <c r="S19" s="1572"/>
      <c r="T19" s="1571"/>
      <c r="U19" s="1572"/>
      <c r="V19" s="1571"/>
      <c r="W19" s="1572"/>
      <c r="X19" s="2604"/>
      <c r="Y19" s="3749"/>
      <c r="Z19" s="2603"/>
      <c r="AA19" s="1574">
        <v>1</v>
      </c>
      <c r="AB19" s="1574">
        <v>1</v>
      </c>
      <c r="AC19" s="1574">
        <v>1</v>
      </c>
    </row>
    <row r="20" spans="1:29" ht="15">
      <c r="A20" s="531"/>
      <c r="B20" s="870" t="s">
        <v>805</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749"/>
      <c r="Q20" s="1570" t="str">
        <f>B20</f>
        <v>自然及人文环境</v>
      </c>
      <c r="R20" s="1571" t="s">
        <v>8</v>
      </c>
      <c r="S20" s="1572">
        <f>F20</f>
        <v>100</v>
      </c>
      <c r="T20" s="1571" t="s">
        <v>8</v>
      </c>
      <c r="U20" s="1572">
        <f>H20</f>
        <v>100</v>
      </c>
      <c r="V20" s="1571" t="s">
        <v>8</v>
      </c>
      <c r="W20" s="1572">
        <f>J20</f>
        <v>100</v>
      </c>
      <c r="X20" s="1565"/>
      <c r="Y20" s="3749"/>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749"/>
      <c r="Q21" s="1570"/>
      <c r="R21" s="1571"/>
      <c r="S21" s="1572"/>
      <c r="T21" s="1571"/>
      <c r="U21" s="1572"/>
      <c r="V21" s="1571"/>
      <c r="W21" s="1572"/>
      <c r="X21" s="1565"/>
      <c r="Y21" s="3749"/>
      <c r="Z21" s="1573"/>
      <c r="AA21" s="1574">
        <v>1</v>
      </c>
      <c r="AB21" s="1574">
        <v>1</v>
      </c>
      <c r="AC21" s="1574">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749"/>
      <c r="Q22" s="1570" t="str">
        <f>B22</f>
        <v>楼层</v>
      </c>
      <c r="R22" s="1571" t="s">
        <v>8</v>
      </c>
      <c r="S22" s="1572">
        <f>F22</f>
        <v>100</v>
      </c>
      <c r="T22" s="1571" t="s">
        <v>8</v>
      </c>
      <c r="U22" s="1572">
        <f>H22</f>
        <v>100</v>
      </c>
      <c r="V22" s="1571" t="s">
        <v>8</v>
      </c>
      <c r="W22" s="1572">
        <f>J22</f>
        <v>100</v>
      </c>
      <c r="X22" s="1565"/>
      <c r="Y22" s="3749"/>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749"/>
      <c r="Q23" s="1570">
        <f>B23</f>
        <v>111</v>
      </c>
      <c r="R23" s="1571" t="s">
        <v>8</v>
      </c>
      <c r="S23" s="1572">
        <f>F23</f>
        <v>100</v>
      </c>
      <c r="T23" s="1571" t="s">
        <v>8</v>
      </c>
      <c r="U23" s="1572">
        <f>H23</f>
        <v>100</v>
      </c>
      <c r="V23" s="1571" t="s">
        <v>8</v>
      </c>
      <c r="W23" s="1572">
        <f>J23</f>
        <v>100</v>
      </c>
      <c r="X23" s="1565"/>
      <c r="Y23" s="3749"/>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749"/>
      <c r="Q24" s="1570">
        <f t="shared" ref="Q24:Q34" si="11">B24</f>
        <v>111</v>
      </c>
      <c r="R24" s="1571" t="s">
        <v>8</v>
      </c>
      <c r="S24" s="1572">
        <f>F24</f>
        <v>100</v>
      </c>
      <c r="T24" s="1571" t="s">
        <v>8</v>
      </c>
      <c r="U24" s="1572">
        <f>H24</f>
        <v>100</v>
      </c>
      <c r="V24" s="1571" t="s">
        <v>8</v>
      </c>
      <c r="W24" s="1572">
        <f>J24</f>
        <v>100</v>
      </c>
      <c r="X24" s="1565"/>
      <c r="Y24" s="3749"/>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749"/>
      <c r="Q25" s="1149">
        <f t="shared" si="11"/>
        <v>111</v>
      </c>
      <c r="R25" s="1566" t="s">
        <v>8</v>
      </c>
      <c r="S25" s="1567">
        <f>F25</f>
        <v>100</v>
      </c>
      <c r="T25" s="1566" t="s">
        <v>8</v>
      </c>
      <c r="U25" s="1567">
        <f>H25</f>
        <v>100</v>
      </c>
      <c r="V25" s="1566" t="s">
        <v>8</v>
      </c>
      <c r="W25" s="1567">
        <f>J25</f>
        <v>100</v>
      </c>
      <c r="X25" s="1568"/>
      <c r="Y25" s="3749"/>
      <c r="Z25" s="1148">
        <f>Q25</f>
        <v>111</v>
      </c>
      <c r="AA25" s="1574">
        <f>D25/F25</f>
        <v>1</v>
      </c>
      <c r="AB25" s="1574">
        <f>D25/H25</f>
        <v>1</v>
      </c>
      <c r="AC25" s="1574">
        <f>D25/J25</f>
        <v>1</v>
      </c>
    </row>
    <row r="26" spans="1:29" ht="15">
      <c r="A26" s="2931" t="s">
        <v>2761</v>
      </c>
      <c r="B26" s="171" t="s">
        <v>809</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750" t="s">
        <v>822</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751" t="s">
        <v>822</v>
      </c>
      <c r="Z26" s="1573" t="str">
        <f t="shared" ref="Z26:Z34" si="15">Q26</f>
        <v>公共部分装修</v>
      </c>
      <c r="AA26" s="1574">
        <f t="shared" si="3"/>
        <v>1</v>
      </c>
      <c r="AB26" s="1574">
        <f t="shared" si="4"/>
        <v>1</v>
      </c>
      <c r="AC26" s="1574">
        <f t="shared" si="5"/>
        <v>1</v>
      </c>
    </row>
    <row r="27" spans="1:29" s="1337" customFormat="1" ht="15">
      <c r="A27" s="602"/>
      <c r="B27" s="526" t="s">
        <v>810</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751"/>
      <c r="Q27" s="1603" t="str">
        <f t="shared" si="11"/>
        <v>成新率</v>
      </c>
      <c r="R27" s="1575" t="s">
        <v>8</v>
      </c>
      <c r="S27" s="1576" t="e">
        <f t="shared" si="12"/>
        <v>#N/A</v>
      </c>
      <c r="T27" s="1575" t="s">
        <v>8</v>
      </c>
      <c r="U27" s="1576" t="e">
        <f t="shared" si="13"/>
        <v>#N/A</v>
      </c>
      <c r="V27" s="1575" t="s">
        <v>8</v>
      </c>
      <c r="W27" s="1576" t="e">
        <f t="shared" si="14"/>
        <v>#N/A</v>
      </c>
      <c r="X27" s="1577"/>
      <c r="Y27" s="3751"/>
      <c r="Z27" s="1578" t="str">
        <f t="shared" si="15"/>
        <v>成新率</v>
      </c>
      <c r="AA27" s="1574" t="e">
        <f t="shared" si="3"/>
        <v>#N/A</v>
      </c>
      <c r="AB27" s="1574" t="e">
        <f t="shared" si="4"/>
        <v>#N/A</v>
      </c>
      <c r="AC27" s="1574"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751"/>
      <c r="Q28" s="1570" t="str">
        <f t="shared" si="11"/>
        <v>物业等级</v>
      </c>
      <c r="R28" s="1571" t="s">
        <v>8</v>
      </c>
      <c r="S28" s="1572">
        <f t="shared" si="12"/>
        <v>100</v>
      </c>
      <c r="T28" s="1571" t="s">
        <v>8</v>
      </c>
      <c r="U28" s="1572">
        <f t="shared" si="13"/>
        <v>100</v>
      </c>
      <c r="V28" s="1571" t="s">
        <v>8</v>
      </c>
      <c r="W28" s="1572">
        <f t="shared" si="14"/>
        <v>100</v>
      </c>
      <c r="X28" s="1565"/>
      <c r="Y28" s="3751"/>
      <c r="Z28" s="1573" t="str">
        <f t="shared" si="15"/>
        <v>物业等级</v>
      </c>
      <c r="AA28" s="1574">
        <f t="shared" si="3"/>
        <v>1</v>
      </c>
      <c r="AB28" s="1574">
        <f t="shared" si="4"/>
        <v>1</v>
      </c>
      <c r="AC28" s="1574">
        <f t="shared" si="5"/>
        <v>1</v>
      </c>
    </row>
    <row r="29" spans="1:29" ht="15">
      <c r="A29" s="593"/>
      <c r="B29" s="526" t="s">
        <v>823</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751"/>
      <c r="Q29" s="1570" t="str">
        <f t="shared" si="11"/>
        <v>有无电梯</v>
      </c>
      <c r="R29" s="1571" t="s">
        <v>8</v>
      </c>
      <c r="S29" s="1572">
        <f t="shared" si="12"/>
        <v>100</v>
      </c>
      <c r="T29" s="1571" t="s">
        <v>8</v>
      </c>
      <c r="U29" s="1572">
        <f t="shared" si="13"/>
        <v>100</v>
      </c>
      <c r="V29" s="1571" t="s">
        <v>8</v>
      </c>
      <c r="W29" s="1572">
        <f t="shared" si="14"/>
        <v>100</v>
      </c>
      <c r="X29" s="1565"/>
      <c r="Y29" s="3751"/>
      <c r="Z29" s="1573" t="str">
        <f t="shared" si="15"/>
        <v>有无电梯</v>
      </c>
      <c r="AA29" s="1574">
        <f t="shared" si="3"/>
        <v>1</v>
      </c>
      <c r="AB29" s="1574">
        <f t="shared" si="4"/>
        <v>1</v>
      </c>
      <c r="AC29" s="1574">
        <f t="shared" si="5"/>
        <v>1</v>
      </c>
    </row>
    <row r="30" spans="1:29" ht="15">
      <c r="A30" s="593"/>
      <c r="B30" s="526" t="s">
        <v>824</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751"/>
      <c r="Q30" s="1570" t="str">
        <f t="shared" si="11"/>
        <v>建筑面积</v>
      </c>
      <c r="R30" s="1571" t="s">
        <v>8</v>
      </c>
      <c r="S30" s="1572" t="e">
        <f t="shared" si="12"/>
        <v>#N/A</v>
      </c>
      <c r="T30" s="1571" t="s">
        <v>8</v>
      </c>
      <c r="U30" s="1572" t="e">
        <f t="shared" si="13"/>
        <v>#N/A</v>
      </c>
      <c r="V30" s="1571" t="s">
        <v>8</v>
      </c>
      <c r="W30" s="1572" t="e">
        <f t="shared" si="14"/>
        <v>#N/A</v>
      </c>
      <c r="X30" s="1565"/>
      <c r="Y30" s="3751"/>
      <c r="Z30" s="1573" t="str">
        <f t="shared" si="15"/>
        <v>建筑面积</v>
      </c>
      <c r="AA30" s="1574" t="e">
        <f t="shared" si="3"/>
        <v>#N/A</v>
      </c>
      <c r="AB30" s="1574" t="e">
        <f t="shared" si="4"/>
        <v>#N/A</v>
      </c>
      <c r="AC30" s="1574" t="e">
        <f t="shared" si="5"/>
        <v>#N/A</v>
      </c>
    </row>
    <row r="31" spans="1:29" s="1218" customFormat="1" ht="15">
      <c r="A31" s="599"/>
      <c r="B31" s="526" t="s">
        <v>825</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751"/>
      <c r="Q31" s="1149" t="str">
        <f t="shared" si="11"/>
        <v>是否封闭</v>
      </c>
      <c r="R31" s="1566" t="s">
        <v>8</v>
      </c>
      <c r="S31" s="1567">
        <f t="shared" si="12"/>
        <v>100</v>
      </c>
      <c r="T31" s="1566" t="s">
        <v>8</v>
      </c>
      <c r="U31" s="1567">
        <f t="shared" si="13"/>
        <v>100</v>
      </c>
      <c r="V31" s="1566" t="s">
        <v>8</v>
      </c>
      <c r="W31" s="1567">
        <f t="shared" si="14"/>
        <v>100</v>
      </c>
      <c r="X31" s="1568"/>
      <c r="Y31" s="3751"/>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751" t="s">
        <v>551</v>
      </c>
      <c r="Q32" s="1570">
        <f t="shared" si="11"/>
        <v>111</v>
      </c>
      <c r="R32" s="1571" t="s">
        <v>8</v>
      </c>
      <c r="S32" s="1572">
        <f t="shared" si="12"/>
        <v>100</v>
      </c>
      <c r="T32" s="1571" t="s">
        <v>8</v>
      </c>
      <c r="U32" s="1572">
        <f t="shared" si="13"/>
        <v>100</v>
      </c>
      <c r="V32" s="1571" t="s">
        <v>8</v>
      </c>
      <c r="W32" s="1572">
        <f t="shared" si="14"/>
        <v>100</v>
      </c>
      <c r="X32" s="1565"/>
      <c r="Y32" s="3751" t="s">
        <v>551</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751"/>
      <c r="Q33" s="1570">
        <f t="shared" si="11"/>
        <v>111</v>
      </c>
      <c r="R33" s="1571" t="s">
        <v>8</v>
      </c>
      <c r="S33" s="1572">
        <f t="shared" si="12"/>
        <v>100</v>
      </c>
      <c r="T33" s="1571" t="s">
        <v>8</v>
      </c>
      <c r="U33" s="1572">
        <f t="shared" si="13"/>
        <v>100</v>
      </c>
      <c r="V33" s="1571" t="s">
        <v>8</v>
      </c>
      <c r="W33" s="1572">
        <f t="shared" si="14"/>
        <v>100</v>
      </c>
      <c r="X33" s="1565"/>
      <c r="Y33" s="3751"/>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751"/>
      <c r="Q34" s="1570">
        <f t="shared" si="11"/>
        <v>111</v>
      </c>
      <c r="R34" s="1571" t="s">
        <v>8</v>
      </c>
      <c r="S34" s="1572">
        <f t="shared" si="12"/>
        <v>100</v>
      </c>
      <c r="T34" s="1571" t="s">
        <v>8</v>
      </c>
      <c r="U34" s="1572">
        <f t="shared" si="13"/>
        <v>100</v>
      </c>
      <c r="V34" s="1571" t="s">
        <v>8</v>
      </c>
      <c r="W34" s="1572">
        <f t="shared" si="14"/>
        <v>100</v>
      </c>
      <c r="X34" s="1565"/>
      <c r="Y34" s="3751"/>
      <c r="Z34" s="1573">
        <f t="shared" si="15"/>
        <v>111</v>
      </c>
      <c r="AA34" s="1574">
        <f t="shared" si="3"/>
        <v>1</v>
      </c>
      <c r="AB34" s="1574">
        <f t="shared" si="4"/>
        <v>1</v>
      </c>
      <c r="AC34" s="1574">
        <f t="shared" si="5"/>
        <v>1</v>
      </c>
    </row>
    <row r="35" spans="1:29" ht="15">
      <c r="A35" s="606" t="s">
        <v>737</v>
      </c>
      <c r="B35" s="885"/>
      <c r="C35" s="2650" t="s">
        <v>1</v>
      </c>
      <c r="D35" s="2651"/>
      <c r="E35" s="2652"/>
      <c r="F35" s="2653"/>
      <c r="G35" s="2654"/>
      <c r="H35" s="2655"/>
      <c r="I35" s="2652"/>
      <c r="J35" s="2655"/>
      <c r="K35" s="1609"/>
      <c r="L35" s="2143"/>
      <c r="M35" s="2144"/>
      <c r="N35" s="2133"/>
      <c r="O35" s="2144"/>
      <c r="P35" s="3746" t="str">
        <f>A35</f>
        <v>成交单价（元/平方米）</v>
      </c>
      <c r="Q35" s="3746"/>
      <c r="R35" s="3849">
        <f>E35</f>
        <v>0</v>
      </c>
      <c r="S35" s="3849"/>
      <c r="T35" s="3849">
        <f>G35</f>
        <v>0</v>
      </c>
      <c r="U35" s="3849"/>
      <c r="V35" s="3849">
        <f>I35</f>
        <v>0</v>
      </c>
      <c r="W35" s="3849"/>
      <c r="X35" s="1557"/>
      <c r="Y35" s="1579"/>
      <c r="Z35" s="1557"/>
      <c r="AA35" s="1557"/>
      <c r="AB35" s="1557"/>
      <c r="AC35" s="1557"/>
    </row>
    <row r="36" spans="1:29" ht="15.75" thickBot="1">
      <c r="A36" s="614" t="s">
        <v>2766</v>
      </c>
      <c r="B36" s="886"/>
      <c r="C36" s="2656" t="e">
        <f>R37</f>
        <v>#DIV/0!</v>
      </c>
      <c r="D36" s="2657"/>
      <c r="E36" s="2658" t="e">
        <f>R36</f>
        <v>#DIV/0!</v>
      </c>
      <c r="F36" s="2658"/>
      <c r="G36" s="2656" t="e">
        <f>T36</f>
        <v>#DIV/0!</v>
      </c>
      <c r="H36" s="2657"/>
      <c r="I36" s="2658" t="e">
        <f>V36</f>
        <v>#DIV/0!</v>
      </c>
      <c r="J36" s="2657"/>
      <c r="K36" s="1610"/>
      <c r="L36" s="2143"/>
      <c r="M36" s="2144"/>
      <c r="N36" s="2133"/>
      <c r="O36" s="2144"/>
      <c r="P36" s="3746" t="str">
        <f>A36</f>
        <v>比较价格（元/平方米）</v>
      </c>
      <c r="Q36" s="3746"/>
      <c r="R36" s="3849" t="e">
        <f>IF(F1="售价",ROUND(PRODUCT(R35,AA7:AA34),0),ROUND(PRODUCT(R35,AA7:AA34),1))</f>
        <v>#DIV/0!</v>
      </c>
      <c r="S36" s="3849"/>
      <c r="T36" s="3849" t="e">
        <f>IF(F1="售价",ROUND(PRODUCT(T35,AB7:AB34),0),ROUND(PRODUCT(T35,AB7:AB34),1))</f>
        <v>#DIV/0!</v>
      </c>
      <c r="U36" s="3849"/>
      <c r="V36" s="3849" t="e">
        <f>IF(F1="售价",ROUND(PRODUCT(V35,AC7:AC34),0),ROUND(PRODUCT(V35,AC7:AC34),1))</f>
        <v>#DIV/0!</v>
      </c>
      <c r="W36" s="3849"/>
      <c r="X36" s="1557"/>
      <c r="Y36" s="1557"/>
      <c r="Z36" s="1557"/>
      <c r="AA36" s="1557"/>
      <c r="AB36" s="1557"/>
      <c r="AC36" s="1557"/>
    </row>
    <row r="37" spans="1:29" ht="15.75" thickBot="1">
      <c r="A37" s="620" t="s">
        <v>2933</v>
      </c>
      <c r="B37" s="621"/>
      <c r="C37" s="2659" t="e">
        <f>R37</f>
        <v>#DIV/0!</v>
      </c>
      <c r="D37" s="2659"/>
      <c r="E37" s="2659"/>
      <c r="F37" s="2659"/>
      <c r="G37" s="2659"/>
      <c r="H37" s="2659"/>
      <c r="I37" s="2659"/>
      <c r="J37" s="2659"/>
      <c r="K37" s="1611"/>
      <c r="L37" s="2143"/>
      <c r="M37" s="2144"/>
      <c r="N37" s="2144"/>
      <c r="O37" s="2144"/>
      <c r="P37" s="3770" t="str">
        <f>A37</f>
        <v>估价对象XX用房的比较价格（楼面单价，元/平方米）</v>
      </c>
      <c r="Q37" s="3771"/>
      <c r="R37" s="3848" t="e">
        <f>IF(F1="售价",ROUND(AVERAGE(R36:V36),0),ROUND(AVERAGE(R36:V36),1))</f>
        <v>#DIV/0!</v>
      </c>
      <c r="S37" s="3848"/>
      <c r="T37" s="3848"/>
      <c r="U37" s="3848"/>
      <c r="V37" s="3848"/>
      <c r="W37" s="3848"/>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575</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530</v>
      </c>
      <c r="B46" s="645"/>
      <c r="C46" s="2826" t="str">
        <f>YEAR(C7)&amp;"-"&amp;MONTH(C7)</f>
        <v>2018-3</v>
      </c>
      <c r="D46" s="2828">
        <f>EDATE(C46,-1)</f>
        <v>43132</v>
      </c>
      <c r="E46" s="2828">
        <f t="shared" ref="E46:O46" si="16">EDATE(D46,-1)</f>
        <v>43101</v>
      </c>
      <c r="F46" s="2828">
        <f t="shared" si="16"/>
        <v>43070</v>
      </c>
      <c r="G46" s="2828">
        <f t="shared" si="16"/>
        <v>43040</v>
      </c>
      <c r="H46" s="2828">
        <f t="shared" si="16"/>
        <v>43009</v>
      </c>
      <c r="I46" s="2828">
        <f t="shared" si="16"/>
        <v>42979</v>
      </c>
      <c r="J46" s="2828">
        <f t="shared" si="16"/>
        <v>42948</v>
      </c>
      <c r="K46" s="2828">
        <f t="shared" si="16"/>
        <v>42917</v>
      </c>
      <c r="L46" s="2828">
        <f t="shared" si="16"/>
        <v>42887</v>
      </c>
      <c r="M46" s="2828">
        <f t="shared" si="16"/>
        <v>42856</v>
      </c>
      <c r="N46" s="2828">
        <f t="shared" si="16"/>
        <v>42826</v>
      </c>
      <c r="O46" s="2828">
        <f t="shared" si="16"/>
        <v>42795</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576</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532</v>
      </c>
      <c r="B49" s="647"/>
      <c r="C49" s="659" t="s">
        <v>577</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578</v>
      </c>
      <c r="B51" s="664" t="s">
        <v>535</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2563</v>
      </c>
      <c r="C63" s="707" t="s">
        <v>580</v>
      </c>
      <c r="D63" s="707" t="s">
        <v>581</v>
      </c>
      <c r="E63" s="707" t="s">
        <v>582</v>
      </c>
      <c r="F63" s="707" t="s">
        <v>583</v>
      </c>
      <c r="G63" s="707" t="s">
        <v>584</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2564</v>
      </c>
      <c r="C65" s="2621" t="s">
        <v>2565</v>
      </c>
      <c r="D65" s="2621" t="s">
        <v>2566</v>
      </c>
      <c r="E65" s="2621" t="s">
        <v>2567</v>
      </c>
      <c r="F65" s="2621" t="s">
        <v>2568</v>
      </c>
      <c r="G65" s="2621" t="s">
        <v>2569</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745</v>
      </c>
      <c r="C67" s="707" t="s">
        <v>580</v>
      </c>
      <c r="D67" s="707" t="s">
        <v>581</v>
      </c>
      <c r="E67" s="707" t="s">
        <v>582</v>
      </c>
      <c r="F67" s="707" t="s">
        <v>583</v>
      </c>
      <c r="G67" s="707" t="s">
        <v>584</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746</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552</v>
      </c>
      <c r="B77" s="664" t="s">
        <v>752</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818</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826</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828</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受贵公司委托，我公司对出让国有建设用地使用权抵押价格进行了预评估。</v>
      </c>
    </row>
    <row r="5" spans="1:4" ht="18.75">
      <c r="A5" s="1793" t="s">
        <v>1907</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96912.82平方米。根据《建设工程规划许可证》[]、《出让合同》[]，估价对象规划建筑面积为287739平方米。</v>
      </c>
    </row>
    <row r="7" spans="1:4" ht="56.25">
      <c r="A7" s="1794" t="s">
        <v>2753</v>
      </c>
    </row>
    <row r="8" spans="1:4" ht="18.75">
      <c r="A8" s="1793" t="s">
        <v>1908</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2030</v>
      </c>
    </row>
    <row r="11" spans="1:4" ht="18.75">
      <c r="A11" s="1779" t="str">
        <f>TEXT(项目基本情况!D3,"yyyy年m月d日;;")&amp;IF(项目基本情况!B3=项目基本情况!D3,"（评估专业人员勘察现场之日）","")</f>
        <v>2018年3月12日（评估专业人员勘察现场之日）</v>
      </c>
    </row>
    <row r="12" spans="1:4" ht="18.75">
      <c r="A12" s="1796" t="s">
        <v>2029</v>
      </c>
    </row>
    <row r="13" spans="1:4" ht="18.75">
      <c r="A13" s="1790" t="s">
        <v>2941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2076</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根据《国有土地使用证》[]，估价对象（分摊）出让国有建设用地使用权面积为96912.82平方米。根据《建设工程规划许可证》[]、《出让合同》[]，估价对象规划建筑面积为287739平方米。</v>
      </c>
    </row>
    <row r="21" spans="1:1" ht="18.75">
      <c r="A21" s="1790" t="s">
        <v>2078</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10月14日、商业2050年10月14日地下车库2060年10月14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2079</v>
      </c>
    </row>
    <row r="25" spans="1:1" ht="75">
      <c r="A25" s="1790" t="str">
        <f>定义!C53</f>
        <v>本次估价的“出让国有建设用地使用权价格”是指在估价对象土地所有权为国家所有，使用权性质为出让，在公开市场条件下、于估价期日2018年3月12日，在规划利用条件下、设定土地开发程度为红线外“七通”、宗地内场地，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2031</v>
      </c>
    </row>
    <row r="30" spans="1:1" ht="75">
      <c r="A30" s="1790"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2307</v>
      </c>
      <c r="C1" s="3858" t="s">
        <v>2308</v>
      </c>
      <c r="D1" s="3859"/>
      <c r="E1" s="3859"/>
      <c r="F1" s="3859"/>
      <c r="G1" s="3859"/>
      <c r="H1" s="3859"/>
      <c r="I1" s="3859"/>
      <c r="J1" s="3859"/>
      <c r="K1" s="3859"/>
      <c r="L1" s="3859"/>
      <c r="M1" s="3859"/>
      <c r="N1" s="3859"/>
      <c r="O1" s="3859"/>
      <c r="P1" s="3859"/>
      <c r="Q1" s="3859"/>
      <c r="R1" s="3859"/>
      <c r="S1" s="3860"/>
      <c r="T1" s="2233" t="s">
        <v>2309</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2310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4" t="s">
        <v>2926</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6" t="s">
        <v>2925</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6" t="s">
        <v>2924</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4" t="s">
        <v>2939</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4" t="s">
        <v>2923</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4" t="s">
        <v>2922</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2311</v>
      </c>
      <c r="B17" s="2277" t="s">
        <v>2312</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829</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8" t="s">
        <v>830</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831</v>
      </c>
      <c r="B22" s="52">
        <f>SUM(B24:B10000)</f>
        <v>0</v>
      </c>
      <c r="C22" s="3855" t="s">
        <v>20</v>
      </c>
      <c r="D22" s="3856"/>
      <c r="E22" s="3856"/>
      <c r="F22" s="3856"/>
      <c r="G22" s="3856"/>
      <c r="H22" s="3856"/>
      <c r="I22" s="3856"/>
      <c r="J22" s="3856"/>
      <c r="K22" s="3856"/>
      <c r="L22" s="3856"/>
      <c r="M22" s="3856"/>
      <c r="N22" s="3856"/>
      <c r="O22" s="3856"/>
      <c r="P22" s="3856"/>
      <c r="Q22" s="3857"/>
      <c r="R22" s="489" t="e">
        <f>ROUND(S22*10000/B22,0)</f>
        <v>#DIV/0!</v>
      </c>
      <c r="S22" s="52">
        <f>SUM(S24:S10000)</f>
        <v>0</v>
      </c>
    </row>
    <row r="23" spans="1:45" s="16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3" customFormat="1">
      <c r="A24" s="959" t="s">
        <v>837</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2794</v>
      </c>
      <c r="C1" s="3028">
        <f>项目基本情况!D3</f>
        <v>43171</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2825</v>
      </c>
      <c r="C2" s="3029">
        <f>'数据-取费表'!B22</f>
        <v>1.5</v>
      </c>
      <c r="D2" s="3024" t="s">
        <v>2795</v>
      </c>
      <c r="E2" s="3027">
        <f ca="1">INDIRECT("I"&amp;$I$1)/100</f>
        <v>4.7500000000000001E-2</v>
      </c>
      <c r="G2" s="2964"/>
      <c r="H2" s="2964"/>
      <c r="I2" s="2964" t="s">
        <v>2796</v>
      </c>
      <c r="K2" s="2964"/>
      <c r="L2" s="2964"/>
      <c r="M2" s="2964"/>
      <c r="N2" s="2964" t="s">
        <v>2797</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2827</v>
      </c>
      <c r="C3" s="3026">
        <f>'数据-取费表'!B19</f>
        <v>0</v>
      </c>
      <c r="D3" s="3024" t="s">
        <v>2795</v>
      </c>
      <c r="E3" s="3027">
        <f ca="1">INDIRECT("J"&amp;$J$1)/100</f>
        <v>0</v>
      </c>
      <c r="G3" s="2966" t="s">
        <v>2798</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2826</v>
      </c>
      <c r="C4" s="3027">
        <f ca="1">N4/100</f>
        <v>1.4999999999999999E-2</v>
      </c>
      <c r="G4" s="2972" t="s">
        <v>2799</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2800</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2801</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2802</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2803</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2804</v>
      </c>
      <c r="C10" s="2991"/>
      <c r="D10" s="2991"/>
      <c r="E10" s="2991"/>
      <c r="F10" s="2991"/>
      <c r="G10" s="2991"/>
      <c r="H10" s="2991"/>
      <c r="I10" s="2965"/>
      <c r="J10" s="2965"/>
      <c r="K10" s="2991"/>
      <c r="L10" s="2992" t="s">
        <v>2805</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2806</v>
      </c>
      <c r="C11" s="2996" t="s">
        <v>2807</v>
      </c>
      <c r="D11" s="2997" t="s">
        <v>2808</v>
      </c>
      <c r="E11" s="2998"/>
      <c r="F11" s="2997" t="s">
        <v>2809</v>
      </c>
      <c r="G11" s="2999"/>
      <c r="H11" s="2998"/>
      <c r="I11" s="2997" t="s">
        <v>2810</v>
      </c>
      <c r="J11" s="2998"/>
      <c r="K11" s="2994"/>
      <c r="L11" s="2995" t="s">
        <v>2806</v>
      </c>
      <c r="M11" s="2996" t="s">
        <v>2807</v>
      </c>
      <c r="N11" s="2995" t="s">
        <v>2811</v>
      </c>
      <c r="O11" s="2997" t="s">
        <v>2812</v>
      </c>
      <c r="P11" s="2999"/>
      <c r="Q11" s="2999"/>
      <c r="R11" s="2999"/>
      <c r="S11" s="2999"/>
      <c r="T11" s="2998"/>
      <c r="U11" s="2997" t="s">
        <v>2813</v>
      </c>
      <c r="V11" s="2999"/>
      <c r="W11" s="2998"/>
      <c r="X11" s="2995" t="s">
        <v>2814</v>
      </c>
      <c r="Y11" s="2995" t="s">
        <v>2815</v>
      </c>
      <c r="Z11" s="2995" t="s">
        <v>2816</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2817</v>
      </c>
      <c r="E12" s="3004" t="s">
        <v>2818</v>
      </c>
      <c r="F12" s="3004" t="s">
        <v>2819</v>
      </c>
      <c r="G12" s="3004" t="s">
        <v>2820</v>
      </c>
      <c r="H12" s="3004" t="s">
        <v>2802</v>
      </c>
      <c r="I12" s="3005" t="s">
        <v>2821</v>
      </c>
      <c r="J12" s="3005" t="s">
        <v>2821</v>
      </c>
      <c r="K12" s="3001"/>
      <c r="L12" s="3002"/>
      <c r="M12" s="3003"/>
      <c r="N12" s="3002"/>
      <c r="O12" s="3005" t="s">
        <v>2822</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2823</v>
      </c>
      <c r="C13" s="3009">
        <v>42301</v>
      </c>
      <c r="D13" s="3010">
        <v>4.3499999999999996</v>
      </c>
      <c r="E13" s="3010">
        <v>4.3499999999999996</v>
      </c>
      <c r="F13" s="3010">
        <v>4.75</v>
      </c>
      <c r="G13" s="3010">
        <v>4.75</v>
      </c>
      <c r="H13" s="3010">
        <v>4.9000000000000004</v>
      </c>
      <c r="I13" s="3010">
        <v>2.75</v>
      </c>
      <c r="J13" s="3010">
        <v>3.25</v>
      </c>
      <c r="K13" s="3007"/>
      <c r="L13" s="3008" t="s">
        <v>2823</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2824</v>
      </c>
      <c r="Y42" s="3014" t="s">
        <v>2824</v>
      </c>
      <c r="Z42" s="3014" t="s">
        <v>2824</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2824</v>
      </c>
      <c r="Y43" s="3014" t="s">
        <v>2824</v>
      </c>
      <c r="Z43" s="3014" t="s">
        <v>2824</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2824</v>
      </c>
      <c r="Y44" s="3014" t="s">
        <v>2824</v>
      </c>
      <c r="Z44" s="3014" t="s">
        <v>2824</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2824</v>
      </c>
      <c r="Y45" s="3014" t="s">
        <v>2824</v>
      </c>
      <c r="Z45" s="3014" t="s">
        <v>2824</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2824</v>
      </c>
      <c r="Y46" s="3014" t="s">
        <v>2824</v>
      </c>
      <c r="Z46" s="3014" t="s">
        <v>2824</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2824</v>
      </c>
      <c r="Y47" s="3014" t="s">
        <v>2824</v>
      </c>
      <c r="Z47" s="3014" t="s">
        <v>2824</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2824</v>
      </c>
      <c r="Y48" s="3014" t="s">
        <v>2824</v>
      </c>
      <c r="Z48" s="3014" t="s">
        <v>2824</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2824</v>
      </c>
      <c r="Y49" s="3014" t="s">
        <v>2824</v>
      </c>
      <c r="Z49" s="3014" t="s">
        <v>2824</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2824</v>
      </c>
      <c r="Y50" s="3014" t="s">
        <v>2824</v>
      </c>
      <c r="Z50" s="3014" t="s">
        <v>2824</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2824</v>
      </c>
      <c r="V51" s="3014" t="s">
        <v>2824</v>
      </c>
      <c r="W51" s="3014" t="s">
        <v>2824</v>
      </c>
      <c r="X51" s="3014" t="s">
        <v>2824</v>
      </c>
      <c r="Y51" s="3014" t="s">
        <v>2824</v>
      </c>
      <c r="Z51" s="3014" t="s">
        <v>2824</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2824</v>
      </c>
      <c r="J55" s="3014" t="s">
        <v>2824</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F49" sqref="F49"/>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1727</v>
      </c>
      <c r="B1" s="737"/>
      <c r="C1" s="772" t="s">
        <v>35</v>
      </c>
      <c r="D1" s="3156" t="s">
        <v>3363</v>
      </c>
      <c r="E1" s="2410" t="s">
        <v>2378</v>
      </c>
      <c r="F1" s="2411">
        <f ca="1">J53</f>
        <v>41.12</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1728</v>
      </c>
      <c r="B2" s="774">
        <f ca="1">C40+J29+L46</f>
        <v>19241</v>
      </c>
      <c r="C2" s="2056"/>
      <c r="D2" s="2054"/>
      <c r="E2" s="2055"/>
      <c r="F2" s="2055"/>
      <c r="G2" s="1588"/>
      <c r="H2" s="2056"/>
      <c r="I2" s="2056"/>
      <c r="J2" s="2056"/>
      <c r="K2" s="2057"/>
      <c r="L2" s="2056"/>
      <c r="M2" s="2056"/>
    </row>
    <row r="3" spans="1:33" ht="18" customHeight="1" thickBot="1">
      <c r="A3" s="832" t="s">
        <v>1729</v>
      </c>
      <c r="B3" s="833">
        <f ca="1">IF(ISERROR(B2*10000/F43),0,ROUND(B2*10000/F43,0))</f>
        <v>2912</v>
      </c>
      <c r="C3" s="2056"/>
      <c r="D3" s="2054"/>
      <c r="E3" s="2055"/>
      <c r="F3" s="2055"/>
      <c r="G3" s="1588"/>
      <c r="H3" s="775" t="s">
        <v>696</v>
      </c>
      <c r="I3" s="1361"/>
      <c r="J3" s="1361"/>
      <c r="K3" s="1589"/>
      <c r="L3" s="1361"/>
      <c r="M3" s="1361"/>
    </row>
    <row r="4" spans="1:33" ht="18" customHeight="1">
      <c r="A4" s="776" t="s">
        <v>1730</v>
      </c>
      <c r="B4" s="777" t="s">
        <v>1731</v>
      </c>
      <c r="C4" s="777" t="s">
        <v>1732</v>
      </c>
      <c r="D4" s="777" t="s">
        <v>634</v>
      </c>
      <c r="E4" s="778" t="s">
        <v>1733</v>
      </c>
      <c r="F4" s="779"/>
      <c r="G4" s="1590"/>
      <c r="H4" s="776" t="s">
        <v>1734</v>
      </c>
      <c r="I4" s="777" t="s">
        <v>1735</v>
      </c>
      <c r="J4" s="777" t="s">
        <v>1736</v>
      </c>
      <c r="K4" s="777" t="s">
        <v>1737</v>
      </c>
      <c r="L4" s="778" t="s">
        <v>1738</v>
      </c>
      <c r="M4" s="779"/>
    </row>
    <row r="5" spans="1:33" ht="18" customHeight="1">
      <c r="A5" s="780">
        <v>1</v>
      </c>
      <c r="B5" s="781" t="s">
        <v>2463</v>
      </c>
      <c r="C5" s="54">
        <f ca="1">C6+C10+C12</f>
        <v>1095</v>
      </c>
      <c r="D5" s="2519" t="s">
        <v>2466</v>
      </c>
      <c r="E5" s="2513"/>
      <c r="F5" s="2514"/>
      <c r="G5" s="1590"/>
      <c r="H5" s="780">
        <v>1</v>
      </c>
      <c r="I5" s="781" t="s">
        <v>2463</v>
      </c>
      <c r="J5" s="54">
        <f ca="1">J6+J10+J12</f>
        <v>0</v>
      </c>
      <c r="K5" s="2519" t="s">
        <v>2466</v>
      </c>
      <c r="L5" s="2513"/>
      <c r="M5" s="2514"/>
    </row>
    <row r="6" spans="1:33" ht="18" customHeight="1">
      <c r="A6" s="1829" t="s">
        <v>1826</v>
      </c>
      <c r="B6" s="3810" t="s">
        <v>2468</v>
      </c>
      <c r="C6" s="782">
        <f ca="1">ROUND(F6*F8*F7*(1-F9)/10000,0)</f>
        <v>1095</v>
      </c>
      <c r="D6" s="2520" t="s">
        <v>2467</v>
      </c>
      <c r="E6" s="783" t="s">
        <v>1740</v>
      </c>
      <c r="F6" s="784">
        <f ca="1">INDIRECT("'数据-取费表'!u"&amp;$G$1)</f>
        <v>600</v>
      </c>
      <c r="G6" s="1590"/>
      <c r="H6" s="2527" t="s">
        <v>2474</v>
      </c>
      <c r="I6" s="3810" t="s">
        <v>2468</v>
      </c>
      <c r="J6" s="782">
        <f ca="1">ROUND(M6*M8*M7*(1-M9)/10000,0)</f>
        <v>0</v>
      </c>
      <c r="K6" s="340" t="s">
        <v>1739</v>
      </c>
      <c r="L6" s="783" t="s">
        <v>1740</v>
      </c>
      <c r="M6" s="784">
        <f ca="1">INDIRECT("'数据-取费表'!z"&amp;$G$1)</f>
        <v>0</v>
      </c>
    </row>
    <row r="7" spans="1:33" ht="18" customHeight="1">
      <c r="A7" s="2523"/>
      <c r="B7" s="3811"/>
      <c r="C7" s="787"/>
      <c r="D7" s="788"/>
      <c r="E7" s="783" t="s">
        <v>1741</v>
      </c>
      <c r="F7" s="784">
        <f ca="1">IF(INDIRECT("'数据-取费表'!ah"&amp;$G$1)="",INDIRECT("'数据-取费表'!k"&amp;$G$1),INDIRECT("'数据-取费表'!ah"&amp;$G$1))</f>
        <v>1690</v>
      </c>
      <c r="G7" s="1590"/>
      <c r="H7" s="2512"/>
      <c r="I7" s="3811"/>
      <c r="J7" s="787"/>
      <c r="K7" s="788"/>
      <c r="L7" s="783" t="s">
        <v>1741</v>
      </c>
      <c r="M7" s="784">
        <f ca="1">F7</f>
        <v>1690</v>
      </c>
    </row>
    <row r="8" spans="1:33" ht="18" customHeight="1">
      <c r="A8" s="2516"/>
      <c r="B8" s="3812"/>
      <c r="C8" s="787"/>
      <c r="D8" s="788"/>
      <c r="E8" s="783" t="s">
        <v>1742</v>
      </c>
      <c r="F8" s="784">
        <f ca="1">INDIRECT("'数据-取费表'!ai"&amp;$G$1)</f>
        <v>12</v>
      </c>
      <c r="G8" s="1590"/>
      <c r="H8" s="2512"/>
      <c r="I8" s="3812"/>
      <c r="J8" s="787"/>
      <c r="K8" s="788"/>
      <c r="L8" s="783" t="s">
        <v>1742</v>
      </c>
      <c r="M8" s="784">
        <f ca="1">INDIRECT("'数据-取费表'!ai"&amp;$G$1)</f>
        <v>12</v>
      </c>
    </row>
    <row r="9" spans="1:33" ht="18" customHeight="1">
      <c r="A9" s="785"/>
      <c r="B9" s="3813"/>
      <c r="C9" s="787"/>
      <c r="D9" s="788"/>
      <c r="E9" s="783" t="s">
        <v>1743</v>
      </c>
      <c r="F9" s="793">
        <f ca="1">INDIRECT("'数据-取费表'!w"&amp;$G$1)</f>
        <v>0.1</v>
      </c>
      <c r="G9" s="1590"/>
      <c r="H9" s="2528"/>
      <c r="I9" s="3812"/>
      <c r="J9" s="787"/>
      <c r="K9" s="788"/>
      <c r="L9" s="794" t="s">
        <v>1743</v>
      </c>
      <c r="M9" s="795">
        <f ca="1">INDIRECT("'数据-取费表'!ab"&amp;$G$1)</f>
        <v>0</v>
      </c>
    </row>
    <row r="10" spans="1:33" ht="18" customHeight="1">
      <c r="A10" s="1829" t="s">
        <v>2472</v>
      </c>
      <c r="B10" s="2517" t="s">
        <v>2464</v>
      </c>
      <c r="C10" s="798">
        <f ca="1">ROUND(IF(F10="押一",F6*F8*F7/12*F11,IF(F10="押二",F6*F8*F7/12*2*F11,IF(F10="押三",F6*F8*F7/12*3*F11,C11*F11)))/10000,0)</f>
        <v>0</v>
      </c>
      <c r="D10" s="2524" t="s">
        <v>2471</v>
      </c>
      <c r="E10" s="2521" t="s">
        <v>2469</v>
      </c>
      <c r="F10" s="2644" t="s">
        <v>3366</v>
      </c>
      <c r="G10" s="1590"/>
      <c r="H10" s="2584" t="s">
        <v>2475</v>
      </c>
      <c r="I10" s="2589" t="s">
        <v>2464</v>
      </c>
      <c r="J10" s="782">
        <f ca="1">ROUND(IF(M10="押一",M6*M8*M7/12*M11,IF(M10="押二",M6*M8*M7/12*2*M11,IF(M10="押三",M6*M8*M7/12*3*M11,J11*M11)))/10000,0)</f>
        <v>0</v>
      </c>
      <c r="K10" s="2524" t="s">
        <v>2471</v>
      </c>
      <c r="L10" s="2521" t="s">
        <v>2469</v>
      </c>
      <c r="M10" s="2644"/>
    </row>
    <row r="11" spans="1:33" ht="18" customHeight="1">
      <c r="A11" s="789"/>
      <c r="B11" s="2518" t="s">
        <v>2579</v>
      </c>
      <c r="C11" s="2522"/>
      <c r="D11" s="788"/>
      <c r="E11" s="2521" t="s">
        <v>2470</v>
      </c>
      <c r="F11" s="795">
        <f ca="1">'数据-取费表'!B39</f>
        <v>1.4999999999999999E-2</v>
      </c>
      <c r="G11" s="1590"/>
      <c r="H11" s="2585"/>
      <c r="I11" s="2518" t="s">
        <v>2579</v>
      </c>
      <c r="J11" s="2522"/>
      <c r="K11" s="2586"/>
      <c r="L11" s="2521" t="s">
        <v>2470</v>
      </c>
      <c r="M11" s="2515">
        <f ca="1">'数据-取费表'!B39</f>
        <v>1.4999999999999999E-2</v>
      </c>
    </row>
    <row r="12" spans="1:33" ht="18" customHeight="1" thickBot="1">
      <c r="A12" s="2560" t="s">
        <v>2473</v>
      </c>
      <c r="B12" s="2561" t="s">
        <v>2465</v>
      </c>
      <c r="C12" s="2562"/>
      <c r="D12" s="2563"/>
      <c r="E12" s="2564"/>
      <c r="F12" s="2565"/>
      <c r="G12" s="1590"/>
      <c r="H12" s="2574" t="s">
        <v>2476</v>
      </c>
      <c r="I12" s="2587" t="s">
        <v>2465</v>
      </c>
      <c r="J12" s="2588"/>
      <c r="K12" s="2563"/>
      <c r="L12" s="2564"/>
      <c r="M12" s="2577"/>
    </row>
    <row r="13" spans="1:33" ht="18" customHeight="1" thickTop="1">
      <c r="A13" s="1828">
        <v>2</v>
      </c>
      <c r="B13" s="1826" t="s">
        <v>1744</v>
      </c>
      <c r="C13" s="791">
        <f ca="1">ROUND(C29*F13,0)</f>
        <v>14349</v>
      </c>
      <c r="D13" s="1833" t="s">
        <v>2301</v>
      </c>
      <c r="E13" s="1833" t="s">
        <v>1746</v>
      </c>
      <c r="F13" s="2559">
        <f ca="1">INDIRECT("'数据-取费表'!y"&amp;$G$1)</f>
        <v>1</v>
      </c>
      <c r="G13" s="1590"/>
      <c r="H13" s="1828">
        <v>2</v>
      </c>
      <c r="I13" s="1826" t="s">
        <v>1744</v>
      </c>
      <c r="J13" s="1818">
        <f ca="1">ROUND(J14*J15,0)</f>
        <v>0</v>
      </c>
      <c r="K13" s="1820" t="s">
        <v>1745</v>
      </c>
      <c r="L13" s="2575"/>
      <c r="M13" s="2576"/>
    </row>
    <row r="14" spans="1:33" ht="18" customHeight="1">
      <c r="A14" s="1646" t="s">
        <v>1886</v>
      </c>
      <c r="B14" s="783" t="s">
        <v>646</v>
      </c>
      <c r="C14" s="803">
        <f ca="1">INDIRECT("'数据-取费表'!m"&amp;$G$1)+INDIRECT("'数据-取费表'!t"&amp;$G$1)</f>
        <v>10899</v>
      </c>
      <c r="D14" s="1978" t="s">
        <v>1747</v>
      </c>
      <c r="E14" s="1979"/>
      <c r="F14" s="804"/>
      <c r="G14" s="1590"/>
      <c r="H14" s="1647" t="s">
        <v>1832</v>
      </c>
      <c r="I14" s="2230" t="s">
        <v>2832</v>
      </c>
      <c r="J14" s="52">
        <f ca="1">C29</f>
        <v>14349</v>
      </c>
      <c r="K14" s="25"/>
      <c r="L14" s="800"/>
      <c r="M14" s="801"/>
    </row>
    <row r="15" spans="1:33" s="2063" customFormat="1" ht="18" customHeight="1" thickBot="1">
      <c r="A15" s="1646" t="s">
        <v>1887</v>
      </c>
      <c r="B15" s="783" t="s">
        <v>648</v>
      </c>
      <c r="C15" s="52">
        <f ca="1">ROUND(C14*F15,0)</f>
        <v>327</v>
      </c>
      <c r="D15" s="805" t="s">
        <v>1748</v>
      </c>
      <c r="E15" s="805" t="s">
        <v>1749</v>
      </c>
      <c r="F15" s="806">
        <f>'数据-取费表'!B33</f>
        <v>0.03</v>
      </c>
      <c r="G15" s="1591"/>
      <c r="H15" s="2574" t="s">
        <v>1891</v>
      </c>
      <c r="I15" s="2569" t="s">
        <v>1746</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1888</v>
      </c>
      <c r="B16" s="783" t="s">
        <v>651</v>
      </c>
      <c r="C16" s="52">
        <f ca="1">ROUND(INDIRECT("'数据-取费表'!m"&amp;$G$1)*F16,0)</f>
        <v>0</v>
      </c>
      <c r="D16" s="783" t="s">
        <v>1748</v>
      </c>
      <c r="E16" s="783" t="s">
        <v>1749</v>
      </c>
      <c r="F16" s="808">
        <f ca="1">IF(INDIRECT("'数据-取费表'!c"&amp;$G$1)="住宅",'数据-取费表'!B34,0)</f>
        <v>0</v>
      </c>
      <c r="G16" s="1590"/>
      <c r="H16" s="1828" t="s">
        <v>1750</v>
      </c>
      <c r="I16" s="1826" t="s">
        <v>1751</v>
      </c>
      <c r="J16" s="791">
        <f ca="1">ROUND(J17+J22+J23+J24,0)</f>
        <v>1434</v>
      </c>
      <c r="K16" s="1820" t="s">
        <v>1752</v>
      </c>
      <c r="L16" s="2509"/>
      <c r="M16" s="2514"/>
    </row>
    <row r="17" spans="1:33" s="2063" customFormat="1" ht="18" customHeight="1">
      <c r="A17" s="1646" t="s">
        <v>1889</v>
      </c>
      <c r="B17" s="783" t="s">
        <v>654</v>
      </c>
      <c r="C17" s="52">
        <f ca="1">ROUND(F17*(F43+INDIRECT("'数据-取费表'!S"&amp;$G$1))/10000,0)</f>
        <v>1022</v>
      </c>
      <c r="D17" s="783" t="s">
        <v>1753</v>
      </c>
      <c r="E17" s="783" t="s">
        <v>1754</v>
      </c>
      <c r="F17" s="55">
        <f>'数据-取费表'!B35</f>
        <v>150</v>
      </c>
      <c r="G17" s="1591"/>
      <c r="H17" s="1647" t="s">
        <v>1832</v>
      </c>
      <c r="I17" s="783" t="s">
        <v>657</v>
      </c>
      <c r="J17" s="52">
        <f ca="1">ROUND(IF(项目基本情况!B11="自然人",J5*M17,J18+J19+J20),0)</f>
        <v>1219</v>
      </c>
      <c r="K17" s="2508" t="s">
        <v>1755</v>
      </c>
      <c r="L17" s="2507" t="s">
        <v>1756</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1890</v>
      </c>
      <c r="B18" s="783" t="s">
        <v>660</v>
      </c>
      <c r="C18" s="52">
        <f ca="1">ROUND(C14*F18,0)</f>
        <v>163</v>
      </c>
      <c r="D18" s="783" t="s">
        <v>1748</v>
      </c>
      <c r="E18" s="783" t="s">
        <v>1749</v>
      </c>
      <c r="F18" s="808">
        <f>'数据-取费表'!B36</f>
        <v>1.4999999999999999E-2</v>
      </c>
      <c r="G18" s="1591"/>
      <c r="H18" s="1646" t="s">
        <v>1886</v>
      </c>
      <c r="I18" s="783" t="s">
        <v>1757</v>
      </c>
      <c r="J18" s="52">
        <f ca="1">ROUND(J5*M18/1.05,1)</f>
        <v>0</v>
      </c>
      <c r="K18" s="2507" t="s">
        <v>1758</v>
      </c>
      <c r="L18" s="783" t="s">
        <v>1749</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1832</v>
      </c>
      <c r="B19" s="783" t="s">
        <v>663</v>
      </c>
      <c r="C19" s="52">
        <f ca="1">SUM(C14:C18)</f>
        <v>12411</v>
      </c>
      <c r="D19" s="260" t="s">
        <v>1759</v>
      </c>
      <c r="E19" s="1981"/>
      <c r="F19" s="55"/>
      <c r="G19" s="1590"/>
      <c r="H19" s="1646" t="s">
        <v>1887</v>
      </c>
      <c r="I19" s="783" t="s">
        <v>1760</v>
      </c>
      <c r="J19" s="52">
        <f ca="1">IF(K19="按租金收入计税",ROUND(J5*M19,1),ROUND(C29*F33*0.7,1))</f>
        <v>1205.3</v>
      </c>
      <c r="K19" s="810" t="s">
        <v>666</v>
      </c>
      <c r="L19" s="783" t="s">
        <v>1749</v>
      </c>
      <c r="M19" s="808">
        <f>IF(K19="按租金收入计税",'数据-取费表'!B51,'数据-取费表'!B50)</f>
        <v>1.2E-2</v>
      </c>
    </row>
    <row r="20" spans="1:33" s="2063" customFormat="1" ht="18" customHeight="1">
      <c r="A20" s="1647" t="s">
        <v>1891</v>
      </c>
      <c r="B20" s="783" t="s">
        <v>667</v>
      </c>
      <c r="C20" s="52">
        <f ca="1">ROUND(C19*F20,0)</f>
        <v>124</v>
      </c>
      <c r="D20" s="811" t="s">
        <v>1761</v>
      </c>
      <c r="E20" s="783" t="s">
        <v>1749</v>
      </c>
      <c r="F20" s="808">
        <f>'数据-取费表'!B37</f>
        <v>0.01</v>
      </c>
      <c r="G20" s="1591"/>
      <c r="H20" s="1649" t="s">
        <v>1882</v>
      </c>
      <c r="I20" s="340" t="s">
        <v>1762</v>
      </c>
      <c r="J20" s="53">
        <f ca="1">ROUND(M20*M21/10000,0)</f>
        <v>14</v>
      </c>
      <c r="K20" s="813" t="s">
        <v>1763</v>
      </c>
      <c r="L20" s="783" t="s">
        <v>1764</v>
      </c>
      <c r="M20" s="639">
        <f>'数据-取费表'!B52</f>
        <v>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1892</v>
      </c>
      <c r="B21" s="783" t="s">
        <v>1765</v>
      </c>
      <c r="C21" s="52" t="s">
        <v>1766</v>
      </c>
      <c r="D21" s="811" t="s">
        <v>2302</v>
      </c>
      <c r="E21" s="783" t="s">
        <v>1767</v>
      </c>
      <c r="F21" s="808">
        <f>'数据-取费表'!B38</f>
        <v>1.4999999999999999E-2</v>
      </c>
      <c r="G21" s="1591"/>
      <c r="H21" s="2529"/>
      <c r="I21" s="792"/>
      <c r="J21" s="68"/>
      <c r="K21" s="815"/>
      <c r="L21" s="783" t="s">
        <v>1768</v>
      </c>
      <c r="M21" s="784">
        <f ca="1">INDIRECT("'数据-取费表'!r"&amp;$G$1)</f>
        <v>22942.94</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1893</v>
      </c>
      <c r="B22" s="783" t="s">
        <v>1769</v>
      </c>
      <c r="C22" s="52"/>
      <c r="D22" s="2595" t="str">
        <f>IF(F23&lt;=1,"单利计息。","复利计息。")&amp;"建造成本、管理费用、销售费用产生的利息。"</f>
        <v>复利计息。建造成本、管理费用、销售费用产生的利息。</v>
      </c>
      <c r="E22" s="1981"/>
      <c r="F22" s="55"/>
      <c r="G22" s="1590"/>
      <c r="H22" s="1647" t="s">
        <v>1891</v>
      </c>
      <c r="I22" s="783" t="s">
        <v>1770</v>
      </c>
      <c r="J22" s="52">
        <f ca="1">ROUND(J14*M22,0)</f>
        <v>215</v>
      </c>
      <c r="K22" s="2507" t="s">
        <v>1771</v>
      </c>
      <c r="L22" s="783" t="s">
        <v>1749</v>
      </c>
      <c r="M22" s="816">
        <f ca="1">INDIRECT("'数据-取费表'!Ak"&amp;$G$1)</f>
        <v>1.4999999999999999E-2</v>
      </c>
    </row>
    <row r="23" spans="1:33" s="2063" customFormat="1" ht="18" customHeight="1">
      <c r="A23" s="1646" t="s">
        <v>1833</v>
      </c>
      <c r="B23" s="783" t="s">
        <v>2541</v>
      </c>
      <c r="C23" s="52">
        <f ca="1">ROUND(IF('数据-取费表'!B22&lt;=1,(C19+C20)*F24*F23/2,(C19+C20)*(POWER((1+F24),F23/2)-1)),0)</f>
        <v>444</v>
      </c>
      <c r="D23" s="2594" t="str">
        <f>IF(F23&lt;=1,"(建造成本+管理费用)×利率×(建设周期÷2)","(建造成本+管理费用)×((1+利率)^(建设周期÷2)-1)")</f>
        <v>(建造成本+管理费用)×((1+利率)^(建设周期÷2)-1)</v>
      </c>
      <c r="E23" s="783" t="s">
        <v>1772</v>
      </c>
      <c r="F23" s="639">
        <f>'数据-取费表'!B20</f>
        <v>1.5</v>
      </c>
      <c r="G23" s="1591"/>
      <c r="H23" s="1647" t="s">
        <v>1892</v>
      </c>
      <c r="I23" s="783" t="s">
        <v>680</v>
      </c>
      <c r="J23" s="52">
        <f ca="1">ROUND(J13*M23,0)</f>
        <v>0</v>
      </c>
      <c r="K23" s="2507" t="s">
        <v>1773</v>
      </c>
      <c r="L23" s="783" t="s">
        <v>1749</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1834</v>
      </c>
      <c r="B24" s="783" t="s">
        <v>1774</v>
      </c>
      <c r="C24" s="52">
        <f ca="1">ROUND(IF('数据-取费表'!B22&lt;=1,F21*F24*F23/2,F21*(POWER((1+F24),F23/2)-1)),4)</f>
        <v>5.0000000000000001E-4</v>
      </c>
      <c r="D24" s="2594" t="str">
        <f>IF(F23&lt;=1,"销售费用×利率×(建设周期÷2)","销售费用×((1+利率)^(建设周期÷2)-1)")</f>
        <v>销售费用×((1+利率)^(建设周期÷2)-1)</v>
      </c>
      <c r="E24" s="783" t="s">
        <v>1775</v>
      </c>
      <c r="F24" s="818">
        <f ca="1">'数据-取费表'!B40</f>
        <v>4.7500000000000001E-2</v>
      </c>
      <c r="G24" s="1591"/>
      <c r="H24" s="2574" t="s">
        <v>1893</v>
      </c>
      <c r="I24" s="2569" t="s">
        <v>667</v>
      </c>
      <c r="J24" s="2567">
        <f ca="1">ROUND(J5*M24,0)</f>
        <v>0</v>
      </c>
      <c r="K24" s="2568" t="s">
        <v>1776</v>
      </c>
      <c r="L24" s="2569" t="s">
        <v>1749</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1842</v>
      </c>
      <c r="B25" s="783" t="s">
        <v>685</v>
      </c>
      <c r="C25" s="52"/>
      <c r="D25" s="260" t="s">
        <v>1777</v>
      </c>
      <c r="E25" s="1981"/>
      <c r="F25" s="55"/>
      <c r="G25" s="1590"/>
      <c r="H25" s="1828" t="s">
        <v>1778</v>
      </c>
      <c r="I25" s="3034" t="s">
        <v>2828</v>
      </c>
      <c r="J25" s="791">
        <f ca="1">J5-J16</f>
        <v>-1434</v>
      </c>
      <c r="K25" s="2571" t="s">
        <v>1779</v>
      </c>
      <c r="L25" s="2572"/>
      <c r="M25" s="2573"/>
    </row>
    <row r="26" spans="1:33" ht="18" customHeight="1">
      <c r="A26" s="1646" t="s">
        <v>1833</v>
      </c>
      <c r="B26" s="783" t="s">
        <v>2442</v>
      </c>
      <c r="C26" s="52">
        <f ca="1">ROUND((C19+C20)*F26,0)</f>
        <v>376</v>
      </c>
      <c r="D26" s="811" t="s">
        <v>1780</v>
      </c>
      <c r="E26" s="794" t="s">
        <v>1781</v>
      </c>
      <c r="F26" s="793">
        <f ca="1">INDIRECT("'数据-取费表'!q"&amp;$G$1)</f>
        <v>0.03</v>
      </c>
      <c r="G26" s="1590"/>
      <c r="H26" s="2525" t="s">
        <v>1782</v>
      </c>
      <c r="I26" s="2231" t="s">
        <v>2833</v>
      </c>
      <c r="J26" s="782">
        <f ca="1">IF(J5&lt;&gt;0,ROUND(J25*(1-((1+M28)/(1+M26))^M27)/(M26-M28),0),0)</f>
        <v>0</v>
      </c>
      <c r="K26" s="813" t="s">
        <v>1783</v>
      </c>
      <c r="L26" s="783" t="s">
        <v>2423</v>
      </c>
      <c r="M26" s="793">
        <f ca="1">INDIRECT("'数据-取费表'!I"&amp;$G$1)</f>
        <v>4.4999999999999998E-2</v>
      </c>
    </row>
    <row r="27" spans="1:33" ht="18" customHeight="1">
      <c r="A27" s="1646" t="s">
        <v>1834</v>
      </c>
      <c r="B27" s="783" t="s">
        <v>687</v>
      </c>
      <c r="C27" s="52">
        <f ca="1">ROUND(F21*F26,4)</f>
        <v>5.0000000000000001E-4</v>
      </c>
      <c r="D27" s="811" t="s">
        <v>1784</v>
      </c>
      <c r="E27" s="805"/>
      <c r="F27" s="806"/>
      <c r="G27" s="1590"/>
      <c r="H27" s="2526"/>
      <c r="I27" s="786"/>
      <c r="J27" s="787"/>
      <c r="K27" s="820" t="s">
        <v>1785</v>
      </c>
      <c r="L27" s="783" t="s">
        <v>1786</v>
      </c>
      <c r="M27" s="821">
        <f ca="1">INDIRECT("'数据-取费表'!ag"&amp;$G$1)</f>
        <v>0</v>
      </c>
    </row>
    <row r="28" spans="1:33" s="2063" customFormat="1" ht="18" customHeight="1">
      <c r="A28" s="1648" t="s">
        <v>1843</v>
      </c>
      <c r="B28" s="783" t="s">
        <v>688</v>
      </c>
      <c r="C28" s="52">
        <f>ROUND(F28/(1+'数据-取费表'!C42),4)</f>
        <v>5.33E-2</v>
      </c>
      <c r="D28" s="811" t="s">
        <v>2303</v>
      </c>
      <c r="E28" s="783" t="s">
        <v>1787</v>
      </c>
      <c r="F28" s="808">
        <f>'数据-取费表'!B41</f>
        <v>5.6000000000000001E-2</v>
      </c>
      <c r="G28" s="1591"/>
      <c r="H28" s="1828"/>
      <c r="I28" s="790"/>
      <c r="J28" s="791"/>
      <c r="K28" s="815"/>
      <c r="L28" s="783" t="s">
        <v>1788</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1894</v>
      </c>
      <c r="B29" s="2564" t="s">
        <v>2304</v>
      </c>
      <c r="C29" s="2567">
        <f ca="1">ROUND((C19+C20+C23+C26)/(1-F21-C24-C27-C28),0)</f>
        <v>14349</v>
      </c>
      <c r="D29" s="2568"/>
      <c r="E29" s="2569"/>
      <c r="F29" s="2570"/>
      <c r="G29" s="1591"/>
      <c r="H29" s="822" t="s">
        <v>1789</v>
      </c>
      <c r="I29" s="823" t="s">
        <v>1790</v>
      </c>
      <c r="J29" s="824">
        <f ca="1">ROUND(J26/(1+F40)^F41,0)</f>
        <v>0</v>
      </c>
      <c r="K29" s="825" t="s">
        <v>1791</v>
      </c>
      <c r="L29" s="826"/>
      <c r="M29" s="827">
        <f ca="1">INDIRECT("'数据-取费表'!k"&amp;$G$1)</f>
        <v>66075</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1895</v>
      </c>
      <c r="B30" s="1826" t="s">
        <v>1792</v>
      </c>
      <c r="C30" s="791">
        <f ca="1">ROUND(C31+C36+C37+C38,0)</f>
        <v>451</v>
      </c>
      <c r="D30" s="1820" t="s">
        <v>1793</v>
      </c>
      <c r="E30" s="2509"/>
      <c r="F30" s="2514"/>
      <c r="G30" s="2061"/>
      <c r="H30" s="2064"/>
      <c r="I30" s="2065"/>
      <c r="J30" s="2066"/>
      <c r="K30" s="2067"/>
      <c r="L30" s="2068"/>
      <c r="M30" s="2069"/>
    </row>
    <row r="31" spans="1:33" ht="18" customHeight="1">
      <c r="A31" s="1647" t="s">
        <v>1832</v>
      </c>
      <c r="B31" s="783" t="s">
        <v>657</v>
      </c>
      <c r="C31" s="52">
        <f ca="1">ROUND(IF(项目基本情况!B11="自然人",C5*F31,C32+C33+C34),1)</f>
        <v>203.6</v>
      </c>
      <c r="D31" s="1978" t="s">
        <v>1794</v>
      </c>
      <c r="E31" s="1976" t="s">
        <v>1795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1833</v>
      </c>
      <c r="B32" s="783" t="s">
        <v>1796</v>
      </c>
      <c r="C32" s="52">
        <f ca="1">ROUND(C5*F32/1.05,1)</f>
        <v>58.4</v>
      </c>
      <c r="D32" s="1976" t="s">
        <v>1797</v>
      </c>
      <c r="E32" s="783" t="s">
        <v>1798</v>
      </c>
      <c r="F32" s="808">
        <f>'数据-取费表'!B41</f>
        <v>5.6000000000000001E-2</v>
      </c>
      <c r="G32" s="2061"/>
      <c r="H32" s="2070"/>
      <c r="I32" s="2071"/>
      <c r="J32" s="2072"/>
      <c r="K32" s="2073"/>
      <c r="L32" s="2074"/>
      <c r="M32" s="2075"/>
    </row>
    <row r="33" spans="1:18" ht="18" customHeight="1">
      <c r="A33" s="1646" t="s">
        <v>1834</v>
      </c>
      <c r="B33" s="783" t="s">
        <v>1799</v>
      </c>
      <c r="C33" s="52">
        <f ca="1">IF(D33="按租金收入计税",ROUND(C5*F33,1),IF(D33="按房产原值计税",ROUND(C29*F33*0.7,1),INDIRECT("'数据-取费表'!Aj"&amp;$G$1)))</f>
        <v>131.4</v>
      </c>
      <c r="D33" s="810" t="s">
        <v>3365</v>
      </c>
      <c r="E33" s="783" t="s">
        <v>1798</v>
      </c>
      <c r="F33" s="808">
        <f>IF(D33="按租金收入计税",'数据-取费表'!B51,'数据-取费表'!B50)</f>
        <v>0.12</v>
      </c>
      <c r="G33" s="2061"/>
      <c r="H33" s="2076"/>
      <c r="I33" s="2076"/>
      <c r="J33" s="2076"/>
      <c r="K33" s="2077"/>
      <c r="L33" s="2076"/>
      <c r="M33" s="2076"/>
    </row>
    <row r="34" spans="1:18" ht="18" customHeight="1">
      <c r="A34" s="1649" t="s">
        <v>1835</v>
      </c>
      <c r="B34" s="340" t="s">
        <v>1800</v>
      </c>
      <c r="C34" s="53">
        <f ca="1">ROUND(F34*F35/10000,1)</f>
        <v>13.8</v>
      </c>
      <c r="D34" s="813" t="s">
        <v>1801</v>
      </c>
      <c r="E34" s="783" t="s">
        <v>1802</v>
      </c>
      <c r="F34" s="639">
        <f>'数据-取费表'!B52</f>
        <v>6</v>
      </c>
      <c r="G34" s="2061"/>
      <c r="H34" s="2064"/>
      <c r="I34" s="834" t="s">
        <v>1815</v>
      </c>
      <c r="J34" s="835"/>
      <c r="K34" s="2079"/>
      <c r="L34" s="2078"/>
      <c r="M34" s="2078"/>
    </row>
    <row r="35" spans="1:18" ht="18" customHeight="1">
      <c r="A35" s="814"/>
      <c r="B35" s="792"/>
      <c r="C35" s="68"/>
      <c r="D35" s="815"/>
      <c r="E35" s="783" t="s">
        <v>1803</v>
      </c>
      <c r="F35" s="784">
        <f ca="1">INDIRECT("'数据-取费表'!r"&amp;$G$1)</f>
        <v>22942.94</v>
      </c>
      <c r="G35" s="2061"/>
      <c r="H35" s="2064"/>
      <c r="I35" s="836" t="s">
        <v>1816</v>
      </c>
      <c r="J35" s="837">
        <f ca="1">ROUND(C13*J36,0)</f>
        <v>1220</v>
      </c>
      <c r="K35" s="2077"/>
      <c r="L35" s="2076"/>
      <c r="M35" s="2076"/>
    </row>
    <row r="36" spans="1:18" ht="18" customHeight="1">
      <c r="A36" s="1647" t="s">
        <v>1891</v>
      </c>
      <c r="B36" s="783" t="s">
        <v>1804</v>
      </c>
      <c r="C36" s="52">
        <f ca="1">ROUND(C29*F36,1)</f>
        <v>215.2</v>
      </c>
      <c r="D36" s="1976" t="s">
        <v>1805</v>
      </c>
      <c r="E36" s="783" t="s">
        <v>1798</v>
      </c>
      <c r="F36" s="816">
        <f ca="1">INDIRECT("'数据-取费表'!Ak"&amp;$G$1)</f>
        <v>1.4999999999999999E-2</v>
      </c>
      <c r="G36" s="2061"/>
      <c r="H36" s="2076"/>
      <c r="I36" s="838" t="s">
        <v>1817</v>
      </c>
      <c r="J36" s="839">
        <f ca="1">INDIRECT("'数据-取费表'!j"&amp;$G$1)</f>
        <v>8.5000000000000006E-2</v>
      </c>
      <c r="K36" s="2081"/>
      <c r="L36" s="2076"/>
      <c r="M36" s="2076"/>
    </row>
    <row r="37" spans="1:18" ht="18" customHeight="1">
      <c r="A37" s="1647" t="s">
        <v>1892</v>
      </c>
      <c r="B37" s="783" t="s">
        <v>680</v>
      </c>
      <c r="C37" s="52">
        <f ca="1">ROUND(C13*F37,1)</f>
        <v>21.5</v>
      </c>
      <c r="D37" s="1976" t="s">
        <v>1806</v>
      </c>
      <c r="E37" s="783" t="s">
        <v>1798</v>
      </c>
      <c r="F37" s="817">
        <f ca="1">INDIRECT("'数据-取费表'!Al"&amp;$G$1)</f>
        <v>1.5E-3</v>
      </c>
      <c r="G37" s="2061"/>
      <c r="H37" s="2076"/>
      <c r="I37" s="840" t="s">
        <v>1818</v>
      </c>
      <c r="J37" s="841"/>
      <c r="K37" s="2081"/>
      <c r="L37" s="2076"/>
      <c r="M37" s="2076"/>
    </row>
    <row r="38" spans="1:18" ht="18" customHeight="1" thickBot="1">
      <c r="A38" s="2574" t="s">
        <v>1893</v>
      </c>
      <c r="B38" s="2569" t="s">
        <v>667</v>
      </c>
      <c r="C38" s="2567">
        <f ca="1">ROUND(C5*F38,1)</f>
        <v>11</v>
      </c>
      <c r="D38" s="2568" t="s">
        <v>1807</v>
      </c>
      <c r="E38" s="2569" t="s">
        <v>1798</v>
      </c>
      <c r="F38" s="2565">
        <f ca="1">INDIRECT("'数据-取费表'!Am"&amp;$G$1)</f>
        <v>0.01</v>
      </c>
      <c r="G38" s="2061"/>
      <c r="H38" s="2076"/>
      <c r="I38" s="842" t="s">
        <v>1819</v>
      </c>
      <c r="J38" s="843"/>
      <c r="K38" s="2082"/>
      <c r="L38" s="2076"/>
      <c r="M38" s="2076"/>
    </row>
    <row r="39" spans="1:18" ht="24.6" customHeight="1" thickTop="1">
      <c r="A39" s="1828" t="s">
        <v>1896</v>
      </c>
      <c r="B39" s="3034" t="s">
        <v>2828</v>
      </c>
      <c r="C39" s="791">
        <f ca="1">C5-C30</f>
        <v>644</v>
      </c>
      <c r="D39" s="2571" t="s">
        <v>1808</v>
      </c>
      <c r="E39" s="2572"/>
      <c r="F39" s="2573"/>
      <c r="G39" s="2061"/>
      <c r="H39" s="2076"/>
      <c r="I39" s="836" t="s">
        <v>1820</v>
      </c>
      <c r="J39" s="844">
        <f ca="1">ROUND(J35/C39,3)</f>
        <v>1.8939999999999999</v>
      </c>
      <c r="K39" s="2082"/>
      <c r="L39" s="2076"/>
      <c r="M39" s="2076"/>
    </row>
    <row r="40" spans="1:18" ht="18" customHeight="1">
      <c r="A40" s="780" t="s">
        <v>1897</v>
      </c>
      <c r="B40" s="2231" t="s">
        <v>2305</v>
      </c>
      <c r="C40" s="782">
        <f ca="1">ROUND(C39*(1-((1+F42)/(1+F40))^F41)/(F40-F42),0)</f>
        <v>19241</v>
      </c>
      <c r="D40" s="813" t="s">
        <v>1809</v>
      </c>
      <c r="E40" s="783" t="s">
        <v>2423</v>
      </c>
      <c r="F40" s="793">
        <f ca="1">INDIRECT("'数据-取费表'!I"&amp;$G$1)</f>
        <v>4.4999999999999998E-2</v>
      </c>
      <c r="G40" s="2061"/>
      <c r="H40" s="2061"/>
      <c r="I40" s="836" t="s">
        <v>1821</v>
      </c>
      <c r="J40" s="844">
        <f ca="1">1-J39</f>
        <v>-0.89399999999999991</v>
      </c>
      <c r="K40" s="2082"/>
      <c r="L40" s="2061"/>
      <c r="M40" s="2061"/>
    </row>
    <row r="41" spans="1:18" ht="18" customHeight="1">
      <c r="A41" s="785"/>
      <c r="B41" s="786"/>
      <c r="C41" s="787"/>
      <c r="D41" s="820" t="s">
        <v>1810</v>
      </c>
      <c r="E41" s="783" t="s">
        <v>2965</v>
      </c>
      <c r="F41" s="821">
        <f ca="1">IF(INDIRECT("'数据-取费表'!af"&amp;$G$1)=0,INDIRECT("'数据-取费表'!ae"&amp;$G$1),INDIRECT("'数据-取费表'!af"&amp;$G$1))</f>
        <v>41.12</v>
      </c>
      <c r="G41" s="2061"/>
      <c r="H41" s="1987"/>
      <c r="I41" s="842" t="s">
        <v>1822</v>
      </c>
      <c r="J41" s="845"/>
      <c r="K41" s="2081"/>
      <c r="L41" s="1987"/>
      <c r="M41" s="1987"/>
    </row>
    <row r="42" spans="1:18" ht="18" customHeight="1">
      <c r="A42" s="789"/>
      <c r="B42" s="790"/>
      <c r="C42" s="791"/>
      <c r="D42" s="815"/>
      <c r="E42" s="783" t="s">
        <v>1811</v>
      </c>
      <c r="F42" s="793">
        <f ca="1">INDIRECT("'数据-取费表'!v"&amp;$G$1)</f>
        <v>0.03</v>
      </c>
      <c r="G42" s="2061"/>
      <c r="H42" s="1987"/>
      <c r="I42" s="846" t="s">
        <v>1823</v>
      </c>
      <c r="J42" s="844">
        <f ca="1">ROUND(C13/C40,3)</f>
        <v>0.746</v>
      </c>
      <c r="K42" s="2081"/>
      <c r="L42" s="1987"/>
      <c r="M42" s="1987"/>
    </row>
    <row r="43" spans="1:18" ht="18" customHeight="1" thickBot="1">
      <c r="A43" s="822" t="s">
        <v>1789</v>
      </c>
      <c r="B43" s="823" t="s">
        <v>1812</v>
      </c>
      <c r="C43" s="824">
        <f ca="1">ROUND(C40*10000/F43,0)</f>
        <v>2912</v>
      </c>
      <c r="D43" s="825" t="s">
        <v>1813</v>
      </c>
      <c r="E43" s="826" t="s">
        <v>1814</v>
      </c>
      <c r="F43" s="827">
        <f ca="1">INDIRECT("'数据-取费表'!k"&amp;$G$1)</f>
        <v>66075</v>
      </c>
      <c r="G43" s="2061"/>
      <c r="H43" s="1987"/>
      <c r="I43" s="846" t="s">
        <v>1824</v>
      </c>
      <c r="J43" s="847">
        <f ca="1">1-J42</f>
        <v>0.254</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7">
        <f ca="1">C67-C40</f>
        <v>-23906</v>
      </c>
      <c r="D46" s="2084"/>
      <c r="E46" s="2084"/>
      <c r="F46" s="2084"/>
      <c r="I46" s="2377" t="s">
        <v>2346</v>
      </c>
      <c r="J46" s="2378"/>
      <c r="K46" s="2379"/>
      <c r="L46" s="2380" t="str">
        <f ca="1">IF(M47="住宅",0,IF(L48&gt;J51,L60,J60))</f>
        <v>0</v>
      </c>
      <c r="O46" s="2417" t="s">
        <v>2414</v>
      </c>
      <c r="P46" s="1590"/>
      <c r="Q46" s="1602"/>
      <c r="R46" s="1590"/>
    </row>
    <row r="47" spans="1:18" s="2058" customFormat="1" ht="18" customHeight="1" thickBot="1">
      <c r="A47" s="2371">
        <v>1</v>
      </c>
      <c r="B47" s="2372" t="s">
        <v>636</v>
      </c>
      <c r="C47" s="2597">
        <f ca="1">C48+C52+C54</f>
        <v>0</v>
      </c>
      <c r="D47" s="2084"/>
      <c r="E47" s="2084"/>
      <c r="F47" s="2084"/>
      <c r="I47" s="2381" t="s">
        <v>2347</v>
      </c>
      <c r="J47" s="2386" t="s">
        <v>3315</v>
      </c>
      <c r="K47" s="2387" t="s">
        <v>2353</v>
      </c>
      <c r="L47" s="2388">
        <f ca="1">INDIRECT("'数据-取费表'!d"&amp;$G$1)</f>
        <v>50</v>
      </c>
      <c r="M47" s="1602" t="str">
        <f>IF(ISNUMBER(FIND("住宅",C1)),"住宅","非住宅")</f>
        <v>非住宅</v>
      </c>
      <c r="O47" s="2418" t="s">
        <v>2379</v>
      </c>
      <c r="P47" s="2419" t="s">
        <v>2380</v>
      </c>
      <c r="Q47" s="2420" t="s">
        <v>2381</v>
      </c>
      <c r="R47" s="2419" t="s">
        <v>2382</v>
      </c>
    </row>
    <row r="48" spans="1:18" s="2058" customFormat="1" ht="18" customHeight="1" thickBot="1">
      <c r="A48" s="2666" t="s">
        <v>2543</v>
      </c>
      <c r="B48" s="2667" t="s">
        <v>2544</v>
      </c>
      <c r="C48" s="2373">
        <f ca="1">ROUND(F48*F50*F49*(1-F51)/10000,0)</f>
        <v>0</v>
      </c>
      <c r="D48" s="2374" t="s">
        <v>637</v>
      </c>
      <c r="E48" s="2375" t="s">
        <v>2300</v>
      </c>
      <c r="F48" s="2376"/>
      <c r="G48" s="2089"/>
      <c r="I48" s="2382" t="s">
        <v>2348</v>
      </c>
      <c r="J48" s="2389" t="s">
        <v>2354</v>
      </c>
      <c r="K48" s="2390" t="s">
        <v>2355</v>
      </c>
      <c r="L48" s="2391">
        <f ca="1">INDIRECT("'数据-取费表'!f"&amp;$G$1)</f>
        <v>42.62</v>
      </c>
      <c r="O48" s="2421" t="s">
        <v>2383</v>
      </c>
      <c r="P48" s="2422" t="s">
        <v>2409</v>
      </c>
      <c r="Q48" s="2423">
        <f ca="1">C40+J29</f>
        <v>19241</v>
      </c>
      <c r="R48" s="2422" t="s">
        <v>2384</v>
      </c>
    </row>
    <row r="49" spans="1:18" s="2058" customFormat="1" ht="18" customHeight="1" thickBot="1">
      <c r="A49" s="785"/>
      <c r="B49" s="786"/>
      <c r="C49" s="787"/>
      <c r="D49" s="788"/>
      <c r="E49" s="783" t="s">
        <v>1741</v>
      </c>
      <c r="F49" s="784">
        <f ca="1">F7</f>
        <v>1690</v>
      </c>
      <c r="G49" s="2089"/>
      <c r="H49" s="2092"/>
      <c r="I49" s="2382" t="s">
        <v>2349</v>
      </c>
      <c r="J49" s="2392"/>
      <c r="K49" s="2393" t="s">
        <v>2356</v>
      </c>
      <c r="L49" s="2394"/>
      <c r="O49" s="2421" t="s">
        <v>2385</v>
      </c>
      <c r="P49" s="2422" t="s">
        <v>2410</v>
      </c>
      <c r="Q49" s="2423" t="str">
        <f ca="1">J60</f>
        <v>0</v>
      </c>
      <c r="R49" s="2422" t="s">
        <v>2386</v>
      </c>
    </row>
    <row r="50" spans="1:18" s="2058" customFormat="1" ht="18" customHeight="1" thickBot="1">
      <c r="A50" s="785"/>
      <c r="B50" s="786"/>
      <c r="C50" s="787"/>
      <c r="D50" s="788"/>
      <c r="E50" s="783" t="s">
        <v>1742</v>
      </c>
      <c r="F50" s="784">
        <f ca="1">F8</f>
        <v>12</v>
      </c>
      <c r="G50" s="2094"/>
      <c r="H50" s="2092"/>
      <c r="I50" s="2382" t="s">
        <v>2350</v>
      </c>
      <c r="J50" s="2395">
        <f>SUMPRODUCT((I63:I65=J47)*(J62:L62=J48)*(J63:L65))</f>
        <v>60</v>
      </c>
      <c r="K50" s="2393" t="s">
        <v>2357</v>
      </c>
      <c r="L50" s="2394"/>
      <c r="O50" s="2424" t="s">
        <v>2387</v>
      </c>
      <c r="P50" s="2422" t="s">
        <v>2411</v>
      </c>
      <c r="Q50" s="2423">
        <f ca="1">C29</f>
        <v>14349</v>
      </c>
      <c r="R50" s="2422" t="s">
        <v>2384</v>
      </c>
    </row>
    <row r="51" spans="1:18" s="2058" customFormat="1" ht="18" customHeight="1" thickBot="1">
      <c r="A51" s="785"/>
      <c r="B51" s="786"/>
      <c r="C51" s="787"/>
      <c r="D51" s="788"/>
      <c r="E51" s="783" t="s">
        <v>641</v>
      </c>
      <c r="F51" s="2370"/>
      <c r="H51" s="2092"/>
      <c r="I51" s="2383" t="s">
        <v>2351</v>
      </c>
      <c r="J51" s="2396">
        <f>IF(J49="",J50,J49+J50-YEAR('数据-取费表'!B2))</f>
        <v>60</v>
      </c>
      <c r="K51" s="2382" t="s">
        <v>2358</v>
      </c>
      <c r="L51" s="2397">
        <f ca="1">ROUND(-PV(INDIRECT("'数据-取费表'!h"&amp;$G$1),L48,(C39-C13*J36),0),0)</f>
        <v>-11687</v>
      </c>
      <c r="O51" s="2424" t="s">
        <v>2388</v>
      </c>
      <c r="P51" s="2422" t="s">
        <v>2389</v>
      </c>
      <c r="Q51" s="2425" t="e">
        <f ca="1">J58</f>
        <v>#VALUE!</v>
      </c>
      <c r="R51" s="2426"/>
    </row>
    <row r="52" spans="1:18" s="2058" customFormat="1" ht="18" customHeight="1" thickBot="1">
      <c r="A52" s="780" t="s">
        <v>2542</v>
      </c>
      <c r="B52" s="2517" t="s">
        <v>2464</v>
      </c>
      <c r="C52" s="798">
        <f ca="1">ROUND(IF(F52="押一",F48*F50*F49/12*F11,IF(F52="押二",F48*F50*F49/12*2*F11,IF(F52="押三",F48*F50*F49/12*3*F11,C53*F11)))/10000,0)</f>
        <v>0</v>
      </c>
      <c r="D52" s="2524" t="s">
        <v>2471</v>
      </c>
      <c r="E52" s="2521" t="s">
        <v>2469</v>
      </c>
      <c r="F52" s="2644"/>
      <c r="I52" s="2384" t="s">
        <v>2425</v>
      </c>
      <c r="J52" s="2398">
        <v>0.09</v>
      </c>
      <c r="K52" s="2384" t="s">
        <v>2424</v>
      </c>
      <c r="L52" s="2398"/>
      <c r="O52" s="2424" t="s">
        <v>2390</v>
      </c>
      <c r="P52" s="2422" t="s">
        <v>2391</v>
      </c>
      <c r="Q52" s="2425">
        <f>J52</f>
        <v>0.09</v>
      </c>
      <c r="R52" s="2426"/>
    </row>
    <row r="53" spans="1:18" s="2058" customFormat="1" ht="39.75" customHeight="1" thickBot="1">
      <c r="A53" s="785"/>
      <c r="B53" s="2518" t="s">
        <v>2579</v>
      </c>
      <c r="C53" s="2522"/>
      <c r="D53" s="2524"/>
      <c r="E53" s="2521"/>
      <c r="F53" s="799"/>
      <c r="I53" s="2385" t="s">
        <v>2352</v>
      </c>
      <c r="J53" s="2399">
        <f ca="1">IF(M47="住宅",J51,IF(D1="——",MIN(J51,L48),IF(D1="土地（套用方法）",MIN(J51,L48-'数据-取费表'!B20))))</f>
        <v>41.12</v>
      </c>
      <c r="K53" s="3861" t="s">
        <v>2967</v>
      </c>
      <c r="L53" s="3862"/>
      <c r="O53" s="2424" t="s">
        <v>2392</v>
      </c>
      <c r="P53" s="2422" t="s">
        <v>2393</v>
      </c>
      <c r="Q53" s="2423">
        <f ca="1">J53</f>
        <v>41.12</v>
      </c>
      <c r="R53" s="2422" t="s">
        <v>2394</v>
      </c>
    </row>
    <row r="54" spans="1:18" s="2058" customFormat="1" ht="18" customHeight="1" thickBot="1">
      <c r="A54" s="2560" t="s">
        <v>2473</v>
      </c>
      <c r="B54" s="2561" t="s">
        <v>2465</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2395</v>
      </c>
      <c r="P54" s="2422" t="s">
        <v>2412</v>
      </c>
      <c r="Q54" s="2423">
        <f ca="1">Q48+Q49</f>
        <v>19241</v>
      </c>
      <c r="R54" s="2426" t="s">
        <v>2396</v>
      </c>
    </row>
    <row r="55" spans="1:18" s="2058" customFormat="1" ht="18" customHeight="1" thickTop="1" thickBot="1">
      <c r="A55" s="796">
        <v>2</v>
      </c>
      <c r="B55" s="797" t="s">
        <v>645</v>
      </c>
      <c r="C55" s="798">
        <f ca="1">C13</f>
        <v>14349</v>
      </c>
      <c r="D55" s="794"/>
      <c r="E55" s="794"/>
      <c r="F55" s="799"/>
      <c r="I55" s="3127" t="s">
        <v>2359</v>
      </c>
      <c r="J55" s="3126" t="e">
        <f ca="1">ROUND(IF(J47="钢混",J57/J50,1-(1-2%)*(J50-J57)/J50),3)</f>
        <v>#VALUE!</v>
      </c>
      <c r="K55" s="2400" t="s">
        <v>2360</v>
      </c>
      <c r="L55" s="2401"/>
      <c r="O55" s="2427" t="s">
        <v>2415</v>
      </c>
      <c r="P55" s="1590"/>
      <c r="Q55" s="1602"/>
      <c r="R55" s="1590"/>
    </row>
    <row r="56" spans="1:18" s="2058" customFormat="1" ht="42.75" customHeight="1" thickBot="1">
      <c r="A56" s="1648"/>
      <c r="B56" s="2230" t="s">
        <v>2306</v>
      </c>
      <c r="C56" s="52">
        <f ca="1">C29</f>
        <v>14349</v>
      </c>
      <c r="D56" s="2663"/>
      <c r="E56" s="783"/>
      <c r="F56" s="808"/>
      <c r="I56" s="2402" t="s">
        <v>2361</v>
      </c>
      <c r="J56" s="3150" t="s">
        <v>1680</v>
      </c>
      <c r="K56" s="2382" t="s">
        <v>2366</v>
      </c>
      <c r="L56" s="2391" t="str">
        <f ca="1">IF(L48&lt;J51,"——",L48-J51)</f>
        <v>——</v>
      </c>
      <c r="O56" s="2418" t="s">
        <v>2379</v>
      </c>
      <c r="P56" s="2419" t="s">
        <v>2380</v>
      </c>
      <c r="Q56" s="2420" t="s">
        <v>2381</v>
      </c>
      <c r="R56" s="2419" t="s">
        <v>2382</v>
      </c>
    </row>
    <row r="57" spans="1:18" s="2058" customFormat="1" ht="28.5" customHeight="1" thickBot="1">
      <c r="A57" s="796" t="s">
        <v>1750</v>
      </c>
      <c r="B57" s="797" t="s">
        <v>652</v>
      </c>
      <c r="C57" s="798">
        <f ca="1">ROUND(C58+C63+C64+C65,0)</f>
        <v>251</v>
      </c>
      <c r="D57" s="25" t="s">
        <v>1752</v>
      </c>
      <c r="E57" s="2664"/>
      <c r="F57" s="55"/>
      <c r="I57" s="2403" t="s">
        <v>2362</v>
      </c>
      <c r="J57" s="2405" t="str">
        <f ca="1">IF(OR(M47="住宅",J51&lt;L48,J56="是"),"——",J51-L48)</f>
        <v>——</v>
      </c>
      <c r="K57" s="2382" t="s">
        <v>2367</v>
      </c>
      <c r="L57" s="2391" t="str">
        <f ca="1">IF(L48&lt;J51,"——",IF(L55="比较法",L49,IF(L55="基准地价",L50,L51)))</f>
        <v>——</v>
      </c>
      <c r="O57" s="2421" t="s">
        <v>2383</v>
      </c>
      <c r="P57" s="2422" t="s">
        <v>2413</v>
      </c>
      <c r="Q57" s="2423">
        <f ca="1">C40+J29</f>
        <v>19241</v>
      </c>
      <c r="R57" s="2422" t="s">
        <v>2384</v>
      </c>
    </row>
    <row r="58" spans="1:18" s="2058" customFormat="1" ht="28.5" customHeight="1" thickBot="1">
      <c r="A58" s="1647" t="s">
        <v>1826</v>
      </c>
      <c r="B58" s="783" t="s">
        <v>657</v>
      </c>
      <c r="C58" s="52">
        <f ca="1">ROUND(IF(项目基本情况!B11="自然人",C47*F58,C59+C60+C61),1)</f>
        <v>13.8</v>
      </c>
      <c r="D58" s="2662" t="s">
        <v>658</v>
      </c>
      <c r="E58" s="2663" t="s">
        <v>691</v>
      </c>
      <c r="F58" s="809" t="str">
        <f ca="1">IF(项目基本情况!B11="企业","",IF(INDIRECT("'数据-取费表'!c"&amp;$G$1)="住宅",5%,IF(F48*F49*F50/12/(1+'数据-取费表'!C42)&gt;20000,12%,7%)))</f>
        <v/>
      </c>
      <c r="I58" s="2403" t="s">
        <v>2363</v>
      </c>
      <c r="J58" s="3128" t="e">
        <f ca="1">IF(J55&lt;0.4,0.4,J55)</f>
        <v>#VALUE!</v>
      </c>
      <c r="K58" s="2382" t="s">
        <v>2368</v>
      </c>
      <c r="L58" s="2391" t="e">
        <f ca="1">ROUND(POWER(1+L52,L47-L48)*(POWER(1+L52,L48)-1)/(POWER(1+L52,L47)-1),4)</f>
        <v>#DIV/0!</v>
      </c>
      <c r="O58" s="2421" t="s">
        <v>2385</v>
      </c>
      <c r="P58" s="2422" t="s">
        <v>2416</v>
      </c>
      <c r="Q58" s="2423">
        <f ca="1">L60</f>
        <v>0</v>
      </c>
      <c r="R58" s="2426" t="s">
        <v>2418</v>
      </c>
    </row>
    <row r="59" spans="1:18" s="2058" customFormat="1" ht="28.5" customHeight="1" thickBot="1">
      <c r="A59" s="1646" t="s">
        <v>1833</v>
      </c>
      <c r="B59" s="783" t="s">
        <v>661</v>
      </c>
      <c r="C59" s="52">
        <f ca="1">ROUND(C47*F59/1.05,1)</f>
        <v>0</v>
      </c>
      <c r="D59" s="2663" t="s">
        <v>1758</v>
      </c>
      <c r="E59" s="783" t="s">
        <v>1749</v>
      </c>
      <c r="F59" s="808">
        <f t="shared" ref="F59:F65" si="0">F32</f>
        <v>5.6000000000000001E-2</v>
      </c>
      <c r="I59" s="2403" t="s">
        <v>2364</v>
      </c>
      <c r="J59" s="2405"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2387</v>
      </c>
      <c r="P59" s="2422" t="s">
        <v>2417</v>
      </c>
      <c r="Q59" s="2423">
        <f>IF(L55="比较法",L49,IF(L55="基准地价",L50,0))</f>
        <v>0</v>
      </c>
      <c r="R59" s="2422" t="s">
        <v>2384</v>
      </c>
    </row>
    <row r="60" spans="1:18" s="2058" customFormat="1" ht="18" customHeight="1" thickBot="1">
      <c r="A60" s="1646" t="s">
        <v>1834</v>
      </c>
      <c r="B60" s="783" t="s">
        <v>1760</v>
      </c>
      <c r="C60" s="52">
        <f ca="1">IF(D60="按租金收入计税",ROUND(C47*F60,1),IF(D60="按房产原值计税",ROUND(C56*F60*0.7,1),INDIRECT("'数据-取费表'!Aj"&amp;$G$1)))</f>
        <v>0</v>
      </c>
      <c r="D60" s="2663" t="str">
        <f>D33</f>
        <v>按租金收入计税</v>
      </c>
      <c r="E60" s="783" t="s">
        <v>1749</v>
      </c>
      <c r="F60" s="808">
        <f t="shared" si="0"/>
        <v>0.12</v>
      </c>
      <c r="I60" s="2404" t="s">
        <v>2365</v>
      </c>
      <c r="J60" s="2406" t="str">
        <f ca="1">IF(OR(M47="住宅",J51&lt;L48,J56="是"),"0",ROUND(J59/(1+J52)^J53,0))</f>
        <v>0</v>
      </c>
      <c r="K60" s="2407" t="s">
        <v>2370</v>
      </c>
      <c r="L60" s="2406">
        <f ca="1">IF(OR(M47="住宅",L48&lt;J51),0,ROUND(L57*(L58/L59-1),0))</f>
        <v>0</v>
      </c>
      <c r="O60" s="2424" t="s">
        <v>2388</v>
      </c>
      <c r="P60" s="2422" t="s">
        <v>2397</v>
      </c>
      <c r="Q60" s="2425">
        <f>L52</f>
        <v>0</v>
      </c>
      <c r="R60" s="2426"/>
    </row>
    <row r="61" spans="1:18" s="2058" customFormat="1" ht="18" customHeight="1" thickBot="1">
      <c r="A61" s="1649" t="s">
        <v>1835</v>
      </c>
      <c r="B61" s="340" t="s">
        <v>669</v>
      </c>
      <c r="C61" s="53">
        <f ca="1">ROUND(F61*F62/10000,1)</f>
        <v>13.8</v>
      </c>
      <c r="D61" s="813" t="s">
        <v>670</v>
      </c>
      <c r="E61" s="783" t="s">
        <v>671</v>
      </c>
      <c r="F61" s="639">
        <f t="shared" si="0"/>
        <v>6</v>
      </c>
      <c r="K61" s="2085"/>
      <c r="O61" s="2424" t="s">
        <v>2390</v>
      </c>
      <c r="P61" s="2422" t="s">
        <v>2398</v>
      </c>
      <c r="Q61" s="2423" t="e">
        <f ca="1">L58</f>
        <v>#DIV/0!</v>
      </c>
      <c r="R61" s="2426" t="s">
        <v>2399</v>
      </c>
    </row>
    <row r="62" spans="1:18" s="2058" customFormat="1" ht="15.75" thickBot="1">
      <c r="A62" s="814"/>
      <c r="B62" s="792"/>
      <c r="C62" s="68"/>
      <c r="D62" s="815"/>
      <c r="E62" s="783" t="s">
        <v>675</v>
      </c>
      <c r="F62" s="784">
        <f t="shared" ca="1" si="0"/>
        <v>22942.94</v>
      </c>
      <c r="I62" s="2408" t="s">
        <v>2371</v>
      </c>
      <c r="J62" s="2409" t="s">
        <v>2372</v>
      </c>
      <c r="K62" s="2409" t="s">
        <v>2373</v>
      </c>
      <c r="L62" s="2409" t="s">
        <v>2354</v>
      </c>
      <c r="M62" s="3129" t="s">
        <v>2942</v>
      </c>
      <c r="O62" s="2424" t="s">
        <v>2392</v>
      </c>
      <c r="P62" s="2422" t="str">
        <f>K59</f>
        <v>建设期及建筑物耐用年限下的土地年期修正系数Kn</v>
      </c>
      <c r="Q62" s="2423" t="e">
        <f ca="1">L59</f>
        <v>#DIV/0!</v>
      </c>
      <c r="R62" s="2426" t="s">
        <v>2401</v>
      </c>
    </row>
    <row r="63" spans="1:18" s="2058" customFormat="1" ht="15.75" thickBot="1">
      <c r="A63" s="1647" t="s">
        <v>1891</v>
      </c>
      <c r="B63" s="783" t="s">
        <v>677</v>
      </c>
      <c r="C63" s="52">
        <f ca="1">ROUND(C56*F63,1)</f>
        <v>215.2</v>
      </c>
      <c r="D63" s="2663" t="s">
        <v>1805</v>
      </c>
      <c r="E63" s="783" t="s">
        <v>1749</v>
      </c>
      <c r="F63" s="816">
        <f t="shared" ca="1" si="0"/>
        <v>1.4999999999999999E-2</v>
      </c>
      <c r="I63" s="2408" t="s">
        <v>2374</v>
      </c>
      <c r="J63" s="2409">
        <v>70</v>
      </c>
      <c r="K63" s="2409">
        <v>50</v>
      </c>
      <c r="L63" s="2409">
        <v>80</v>
      </c>
      <c r="M63" s="3130">
        <v>0.02</v>
      </c>
      <c r="O63" s="2421" t="s">
        <v>2395</v>
      </c>
      <c r="P63" s="2422" t="s">
        <v>2412</v>
      </c>
      <c r="Q63" s="2423">
        <f ca="1">Q57+Q58</f>
        <v>19241</v>
      </c>
      <c r="R63" s="2426" t="s">
        <v>2396</v>
      </c>
    </row>
    <row r="64" spans="1:18" s="2058" customFormat="1" ht="16.5" thickBot="1">
      <c r="A64" s="1647" t="s">
        <v>1892</v>
      </c>
      <c r="B64" s="783" t="s">
        <v>680</v>
      </c>
      <c r="C64" s="52">
        <f ca="1">ROUND(C55*F64,1)</f>
        <v>21.5</v>
      </c>
      <c r="D64" s="2663" t="s">
        <v>681</v>
      </c>
      <c r="E64" s="783" t="s">
        <v>1749</v>
      </c>
      <c r="F64" s="817">
        <f t="shared" ca="1" si="0"/>
        <v>1.5E-3</v>
      </c>
      <c r="I64" s="2408" t="s">
        <v>2375</v>
      </c>
      <c r="J64" s="2409">
        <v>50</v>
      </c>
      <c r="K64" s="2409">
        <v>35</v>
      </c>
      <c r="L64" s="2409">
        <v>60</v>
      </c>
      <c r="M64" s="3131">
        <v>0</v>
      </c>
      <c r="O64" s="2427" t="s">
        <v>2419</v>
      </c>
      <c r="P64" s="1590"/>
      <c r="Q64" s="1602"/>
      <c r="R64" s="1590"/>
    </row>
    <row r="65" spans="1:18" s="2058" customFormat="1" ht="15.75" thickBot="1">
      <c r="A65" s="1647" t="s">
        <v>1893</v>
      </c>
      <c r="B65" s="783" t="s">
        <v>667</v>
      </c>
      <c r="C65" s="52">
        <f ca="1">ROUND(C47*F65,1)</f>
        <v>0</v>
      </c>
      <c r="D65" s="2663" t="s">
        <v>684</v>
      </c>
      <c r="E65" s="783" t="s">
        <v>1749</v>
      </c>
      <c r="F65" s="793">
        <f t="shared" ca="1" si="0"/>
        <v>0.01</v>
      </c>
      <c r="I65" s="2408" t="s">
        <v>2376</v>
      </c>
      <c r="J65" s="2409">
        <v>40</v>
      </c>
      <c r="K65" s="2409">
        <v>30</v>
      </c>
      <c r="L65" s="2409">
        <v>50</v>
      </c>
      <c r="M65" s="3130">
        <v>0.02</v>
      </c>
      <c r="O65" s="2418" t="s">
        <v>2379</v>
      </c>
      <c r="P65" s="2419" t="s">
        <v>2380</v>
      </c>
      <c r="Q65" s="2420" t="s">
        <v>2381</v>
      </c>
      <c r="R65" s="2419" t="s">
        <v>2382</v>
      </c>
    </row>
    <row r="66" spans="1:18" s="2058" customFormat="1" ht="24.75" thickBot="1">
      <c r="A66" s="796" t="s">
        <v>1778</v>
      </c>
      <c r="B66" s="3035" t="s">
        <v>2828</v>
      </c>
      <c r="C66" s="798">
        <f ca="1">C47-C57</f>
        <v>-251</v>
      </c>
      <c r="D66" s="2662" t="s">
        <v>701</v>
      </c>
      <c r="E66" s="2661"/>
      <c r="F66" s="819"/>
      <c r="K66" s="2085"/>
      <c r="O66" s="2421" t="s">
        <v>2383</v>
      </c>
      <c r="P66" s="2422" t="s">
        <v>2413</v>
      </c>
      <c r="Q66" s="2423">
        <f ca="1">C40+J29</f>
        <v>19241</v>
      </c>
      <c r="R66" s="2422" t="s">
        <v>2384</v>
      </c>
    </row>
    <row r="67" spans="1:18" s="2058" customFormat="1" ht="20.25" thickBot="1">
      <c r="A67" s="780" t="s">
        <v>1782</v>
      </c>
      <c r="B67" s="2231" t="s">
        <v>2305</v>
      </c>
      <c r="C67" s="782">
        <f ca="1">ROUND(C66*(1-((1+F69)/(1+F67))^F68)/(F67-F69),0)</f>
        <v>-4665</v>
      </c>
      <c r="D67" s="813" t="s">
        <v>705</v>
      </c>
      <c r="E67" s="783" t="s">
        <v>706</v>
      </c>
      <c r="F67" s="793">
        <f ca="1">F40</f>
        <v>4.4999999999999998E-2</v>
      </c>
      <c r="K67" s="2085"/>
      <c r="O67" s="2421" t="s">
        <v>2385</v>
      </c>
      <c r="P67" s="2422" t="s">
        <v>2416</v>
      </c>
      <c r="Q67" s="2423">
        <f ca="1">L60</f>
        <v>0</v>
      </c>
      <c r="R67" s="2426" t="s">
        <v>2418</v>
      </c>
    </row>
    <row r="68" spans="1:18" ht="21.75" thickBot="1">
      <c r="A68" s="785"/>
      <c r="B68" s="786"/>
      <c r="C68" s="787"/>
      <c r="D68" s="820" t="s">
        <v>1810</v>
      </c>
      <c r="E68" s="783" t="s">
        <v>1786</v>
      </c>
      <c r="F68" s="821">
        <f ca="1">F41</f>
        <v>41.12</v>
      </c>
      <c r="O68" s="2424" t="s">
        <v>2387</v>
      </c>
      <c r="P68" s="2422" t="s">
        <v>2417</v>
      </c>
      <c r="Q68" s="2428">
        <f ca="1">L51</f>
        <v>-11687</v>
      </c>
      <c r="R68" s="2429" t="s">
        <v>2420</v>
      </c>
    </row>
    <row r="69" spans="1:18" ht="20.25" thickBot="1">
      <c r="A69" s="789"/>
      <c r="B69" s="790"/>
      <c r="C69" s="791"/>
      <c r="D69" s="815"/>
      <c r="E69" s="783" t="s">
        <v>711</v>
      </c>
      <c r="F69" s="2370"/>
      <c r="O69" s="2424" t="s">
        <v>2388</v>
      </c>
      <c r="P69" s="2430" t="s">
        <v>2402</v>
      </c>
      <c r="Q69" s="2423">
        <f ca="1">ROUND(Q70-Q71*Q72,0)</f>
        <v>-576</v>
      </c>
      <c r="R69" s="2426"/>
    </row>
    <row r="70" spans="1:18" ht="15.75" thickBot="1">
      <c r="A70" s="822" t="s">
        <v>1789</v>
      </c>
      <c r="B70" s="823" t="s">
        <v>1812</v>
      </c>
      <c r="C70" s="824">
        <f ca="1">ROUND(C67*10000/F70,0)</f>
        <v>-706</v>
      </c>
      <c r="D70" s="825" t="s">
        <v>1813</v>
      </c>
      <c r="E70" s="826" t="s">
        <v>1814</v>
      </c>
      <c r="F70" s="827">
        <f ca="1">F43</f>
        <v>66075</v>
      </c>
      <c r="O70" s="2424" t="s">
        <v>2403</v>
      </c>
      <c r="P70" s="2430" t="s">
        <v>2404</v>
      </c>
      <c r="Q70" s="2423">
        <f ca="1">C39</f>
        <v>644</v>
      </c>
      <c r="R70" s="2422" t="s">
        <v>2384</v>
      </c>
    </row>
    <row r="71" spans="1:18" ht="15.75" thickBot="1">
      <c r="O71" s="2424" t="s">
        <v>2405</v>
      </c>
      <c r="P71" s="2430" t="s">
        <v>2406</v>
      </c>
      <c r="Q71" s="2423">
        <f ca="1">C13</f>
        <v>14349</v>
      </c>
      <c r="R71" s="2422" t="s">
        <v>2384</v>
      </c>
    </row>
    <row r="72" spans="1:18" ht="15.75" thickBot="1">
      <c r="O72" s="2424" t="s">
        <v>2407</v>
      </c>
      <c r="P72" s="2430" t="s">
        <v>2408</v>
      </c>
      <c r="Q72" s="2425">
        <f ca="1">J36</f>
        <v>8.5000000000000006E-2</v>
      </c>
      <c r="R72" s="2426"/>
    </row>
    <row r="73" spans="1:18" ht="15.75" thickBot="1">
      <c r="O73" s="2424" t="s">
        <v>2390</v>
      </c>
      <c r="P73" s="2422" t="s">
        <v>2397</v>
      </c>
      <c r="Q73" s="2425">
        <f>L52</f>
        <v>0</v>
      </c>
      <c r="R73" s="2426"/>
    </row>
    <row r="74" spans="1:18" ht="20.25" thickBot="1">
      <c r="O74" s="2424" t="s">
        <v>2392</v>
      </c>
      <c r="P74" s="2422" t="s">
        <v>2398</v>
      </c>
      <c r="Q74" s="2423" t="e">
        <f ca="1">L58</f>
        <v>#DIV/0!</v>
      </c>
      <c r="R74" s="2426" t="s">
        <v>2399</v>
      </c>
    </row>
    <row r="75" spans="1:18" ht="15.75" thickBot="1">
      <c r="O75" s="2424" t="s">
        <v>2421</v>
      </c>
      <c r="P75" s="2422" t="str">
        <f>K59</f>
        <v>建设期及建筑物耐用年限下的土地年期修正系数Kn</v>
      </c>
      <c r="Q75" s="2423" t="e">
        <f ca="1">L59</f>
        <v>#DIV/0!</v>
      </c>
      <c r="R75" s="2426" t="s">
        <v>2401</v>
      </c>
    </row>
    <row r="76" spans="1:18" ht="15.75" thickBot="1">
      <c r="O76" s="2421" t="s">
        <v>2395</v>
      </c>
      <c r="P76" s="2422" t="s">
        <v>2412</v>
      </c>
      <c r="Q76" s="2423">
        <f ca="1">Q66+Q67</f>
        <v>19241</v>
      </c>
      <c r="R76" s="2426"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6" sqref="L36"/>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0"/>
  <sheetViews>
    <sheetView workbookViewId="0">
      <selection activeCell="D3" sqref="D3"/>
    </sheetView>
  </sheetViews>
  <sheetFormatPr defaultRowHeight="13.5"/>
  <cols>
    <col min="2" max="2" width="13.125" bestFit="1" customWidth="1"/>
    <col min="4" max="4" width="11.25" bestFit="1" customWidth="1"/>
    <col min="6" max="6" width="10.5" bestFit="1" customWidth="1"/>
  </cols>
  <sheetData>
    <row r="1" spans="1:6">
      <c r="A1" s="3484" t="s">
        <v>2379</v>
      </c>
      <c r="B1" s="3485"/>
      <c r="C1" s="3485" t="s">
        <v>3195</v>
      </c>
      <c r="D1" s="3485" t="s">
        <v>3196</v>
      </c>
      <c r="E1" s="3485" t="s">
        <v>3197</v>
      </c>
    </row>
    <row r="2" spans="1:6">
      <c r="A2" s="3484" t="s">
        <v>3198</v>
      </c>
      <c r="B2" s="3485" t="s">
        <v>3199</v>
      </c>
      <c r="C2" s="3485"/>
      <c r="D2" s="3485"/>
      <c r="E2" s="3485"/>
    </row>
    <row r="3" spans="1:6">
      <c r="A3" s="3486">
        <v>1</v>
      </c>
      <c r="B3" s="3487" t="s">
        <v>3200</v>
      </c>
      <c r="C3" s="2547" t="s">
        <v>3201</v>
      </c>
      <c r="D3" s="3488">
        <f>58880.32+38032.5</f>
        <v>96912.82</v>
      </c>
      <c r="E3" s="3489">
        <f>D3/666.6666</f>
        <v>145.36924453692447</v>
      </c>
    </row>
    <row r="4" spans="1:6">
      <c r="A4" s="3486">
        <v>2</v>
      </c>
      <c r="B4" s="3487" t="s">
        <v>3202</v>
      </c>
      <c r="C4" s="2547" t="s">
        <v>3201</v>
      </c>
      <c r="D4" s="3488">
        <f>209922.6+131428-40591-13020.6</f>
        <v>287739</v>
      </c>
      <c r="E4" s="3485"/>
    </row>
    <row r="5" spans="1:6">
      <c r="A5" s="3486">
        <v>2.1</v>
      </c>
      <c r="B5" s="3487" t="s">
        <v>3203</v>
      </c>
      <c r="C5" s="2547" t="s">
        <v>3201</v>
      </c>
      <c r="D5" s="3488">
        <f>165779.6+107553-40591-13020.6</f>
        <v>219720.99999999997</v>
      </c>
      <c r="E5" s="3485"/>
    </row>
    <row r="6" spans="1:6">
      <c r="A6" s="3863" t="s">
        <v>3204</v>
      </c>
      <c r="B6" s="3487" t="s">
        <v>3205</v>
      </c>
      <c r="C6" s="2547" t="s">
        <v>3201</v>
      </c>
      <c r="D6" s="3488">
        <f>94591-40591+103403</f>
        <v>157403</v>
      </c>
      <c r="E6" s="3485"/>
    </row>
    <row r="7" spans="1:6">
      <c r="A7" s="3863"/>
      <c r="B7" s="3487" t="s">
        <v>3192</v>
      </c>
      <c r="C7" s="2547" t="s">
        <v>3201</v>
      </c>
      <c r="D7" s="3488">
        <v>55628</v>
      </c>
      <c r="E7" s="3485"/>
    </row>
    <row r="8" spans="1:6">
      <c r="A8" s="3863"/>
      <c r="B8" s="3487" t="s">
        <v>3206</v>
      </c>
      <c r="C8" s="2547" t="s">
        <v>3201</v>
      </c>
      <c r="D8" s="3488">
        <v>3600</v>
      </c>
      <c r="E8" s="3485"/>
      <c r="F8" s="3503">
        <f>D8+D9+D10+D11+D12</f>
        <v>6690</v>
      </c>
    </row>
    <row r="9" spans="1:6">
      <c r="A9" s="3863"/>
      <c r="B9" s="3487" t="s">
        <v>3207</v>
      </c>
      <c r="C9" s="2547" t="s">
        <v>3201</v>
      </c>
      <c r="D9" s="3488">
        <f>840+550</f>
        <v>1390</v>
      </c>
      <c r="E9" s="3485"/>
    </row>
    <row r="10" spans="1:6">
      <c r="A10" s="3863"/>
      <c r="B10" s="3487" t="s">
        <v>3208</v>
      </c>
      <c r="C10" s="2547" t="s">
        <v>3201</v>
      </c>
      <c r="D10" s="3488">
        <v>300</v>
      </c>
      <c r="E10" s="3485"/>
    </row>
    <row r="11" spans="1:6">
      <c r="A11" s="3863"/>
      <c r="B11" s="3487" t="s">
        <v>3209</v>
      </c>
      <c r="C11" s="2547" t="s">
        <v>3201</v>
      </c>
      <c r="D11" s="3488">
        <v>800</v>
      </c>
      <c r="E11" s="3485"/>
    </row>
    <row r="12" spans="1:6">
      <c r="A12" s="3863"/>
      <c r="B12" s="3490" t="s">
        <v>3210</v>
      </c>
      <c r="C12" s="2547" t="s">
        <v>3201</v>
      </c>
      <c r="D12" s="3488">
        <v>600</v>
      </c>
      <c r="E12" s="3485"/>
    </row>
    <row r="13" spans="1:6">
      <c r="A13" s="3486">
        <v>2.2000000000000002</v>
      </c>
      <c r="B13" s="3487" t="s">
        <v>3211</v>
      </c>
      <c r="C13" s="2547" t="s">
        <v>3201</v>
      </c>
      <c r="D13" s="3488">
        <f>44143+23875</f>
        <v>68018</v>
      </c>
      <c r="E13" s="3485"/>
    </row>
    <row r="14" spans="1:6">
      <c r="A14" s="3486">
        <v>2.2999999999999998</v>
      </c>
      <c r="B14" s="3487" t="s">
        <v>3212</v>
      </c>
      <c r="C14" s="2547" t="s">
        <v>3201</v>
      </c>
      <c r="D14" s="3488">
        <f>42800+23275</f>
        <v>66075</v>
      </c>
      <c r="E14" s="3485"/>
    </row>
    <row r="15" spans="1:6">
      <c r="A15" s="3486">
        <v>3</v>
      </c>
      <c r="B15" s="3487" t="s">
        <v>3213</v>
      </c>
      <c r="C15" s="2547" t="s">
        <v>3201</v>
      </c>
      <c r="D15" s="3488">
        <f>16770+5110</f>
        <v>21880</v>
      </c>
      <c r="E15" s="3485"/>
    </row>
    <row r="16" spans="1:6">
      <c r="A16" s="3486">
        <v>4</v>
      </c>
      <c r="B16" s="3487" t="s">
        <v>3214</v>
      </c>
      <c r="C16" s="3491" t="s">
        <v>3215</v>
      </c>
      <c r="D16" s="3492">
        <f>D15/D3</f>
        <v>0.22576992393782369</v>
      </c>
      <c r="E16" s="3485"/>
    </row>
    <row r="17" spans="1:6">
      <c r="A17" s="3486">
        <v>5</v>
      </c>
      <c r="B17" s="3487" t="s">
        <v>3216</v>
      </c>
      <c r="C17" s="3491" t="s">
        <v>3215</v>
      </c>
      <c r="D17" s="3492">
        <v>0.4</v>
      </c>
      <c r="E17" s="3485"/>
    </row>
    <row r="18" spans="1:6">
      <c r="A18" s="3486">
        <v>6</v>
      </c>
      <c r="B18" s="3487" t="s">
        <v>2036</v>
      </c>
      <c r="C18" s="2547"/>
      <c r="D18" s="3493">
        <f>D4/D3</f>
        <v>2.9690499151711816</v>
      </c>
      <c r="E18" s="3485"/>
    </row>
    <row r="19" spans="1:6" ht="14.25">
      <c r="A19" s="3486">
        <v>7</v>
      </c>
      <c r="B19" s="3487" t="s">
        <v>3217</v>
      </c>
      <c r="C19" s="2547" t="s">
        <v>3218</v>
      </c>
      <c r="D19" s="3494">
        <f>864+88+849</f>
        <v>1801</v>
      </c>
      <c r="E19" s="3495"/>
    </row>
    <row r="20" spans="1:6">
      <c r="A20" s="3486">
        <v>8</v>
      </c>
      <c r="B20" s="3487" t="s">
        <v>3219</v>
      </c>
      <c r="C20" s="2547" t="s">
        <v>3220</v>
      </c>
      <c r="D20" s="3494">
        <f>1280+831</f>
        <v>2111</v>
      </c>
      <c r="E20" s="3487" t="s">
        <v>3221</v>
      </c>
      <c r="F20">
        <f>D20-421</f>
        <v>1690</v>
      </c>
    </row>
    <row r="21" spans="1:6">
      <c r="A21" s="3486">
        <v>9</v>
      </c>
      <c r="B21" s="3487" t="s">
        <v>3222</v>
      </c>
      <c r="C21" s="2547" t="s">
        <v>3220</v>
      </c>
      <c r="D21" s="3494">
        <f>7772+2092</f>
        <v>9864</v>
      </c>
      <c r="E21" s="3485"/>
    </row>
    <row r="22" spans="1:6">
      <c r="A22" s="3490"/>
      <c r="B22" s="3487"/>
      <c r="C22" s="2547"/>
      <c r="D22" s="3494"/>
      <c r="E22" s="3485"/>
    </row>
    <row r="23" spans="1:6">
      <c r="A23" s="3490"/>
      <c r="B23" s="3484"/>
      <c r="C23" s="3490"/>
      <c r="D23" s="3496"/>
      <c r="E23" s="3485"/>
    </row>
    <row r="24" spans="1:6">
      <c r="A24" s="3484" t="s">
        <v>3223</v>
      </c>
      <c r="B24" s="3490" t="s">
        <v>3224</v>
      </c>
      <c r="C24" s="3497" t="s">
        <v>2945</v>
      </c>
      <c r="D24" s="3498">
        <f>[3]项目总投资估算表!F40</f>
        <v>198328.16886887999</v>
      </c>
      <c r="E24" s="3485"/>
    </row>
    <row r="25" spans="1:6">
      <c r="A25" s="3486">
        <v>10</v>
      </c>
      <c r="B25" s="3490" t="s">
        <v>3225</v>
      </c>
      <c r="C25" s="3497" t="s">
        <v>2945</v>
      </c>
      <c r="D25" s="3498">
        <f>[3]销售收入与经营税金及附加估算表!C2</f>
        <v>273279.94130000001</v>
      </c>
      <c r="E25" s="3485"/>
    </row>
    <row r="26" spans="1:6">
      <c r="A26" s="3486">
        <v>11</v>
      </c>
      <c r="B26" s="3490" t="s">
        <v>3226</v>
      </c>
      <c r="C26" s="3497" t="s">
        <v>2945</v>
      </c>
      <c r="D26" s="3498">
        <f>[3]利润与利润分配表!C7</f>
        <v>55828.950593320005</v>
      </c>
      <c r="E26" s="3485"/>
    </row>
    <row r="27" spans="1:6" ht="24">
      <c r="A27" s="3486">
        <v>12</v>
      </c>
      <c r="B27" s="3490" t="s">
        <v>3227</v>
      </c>
      <c r="C27" s="3497" t="s">
        <v>2945</v>
      </c>
      <c r="D27" s="3498">
        <f>[3]项目投资现金流量表!F21</f>
        <v>33842.260840309325</v>
      </c>
      <c r="E27" s="3485"/>
    </row>
    <row r="28" spans="1:6">
      <c r="A28" s="3486">
        <v>13</v>
      </c>
      <c r="B28" s="3490" t="s">
        <v>3228</v>
      </c>
      <c r="C28" s="3497" t="s">
        <v>3229</v>
      </c>
      <c r="D28" s="3498">
        <f>[3]项目投资现金流量表!F22</f>
        <v>0.3906210585168548</v>
      </c>
      <c r="E28" s="3497" t="s">
        <v>3230</v>
      </c>
    </row>
    <row r="64" spans="1:6">
      <c r="A64" s="3515" t="s">
        <v>2379</v>
      </c>
      <c r="B64" s="3515" t="s">
        <v>2380</v>
      </c>
      <c r="C64" s="3515" t="s">
        <v>24</v>
      </c>
      <c r="D64" s="3516">
        <v>2018</v>
      </c>
      <c r="E64" s="3516">
        <v>2019</v>
      </c>
      <c r="F64" s="3516">
        <v>2020</v>
      </c>
    </row>
    <row r="65" spans="1:16">
      <c r="A65" s="3517">
        <v>1</v>
      </c>
      <c r="B65" s="3518" t="s">
        <v>3266</v>
      </c>
      <c r="C65" s="3519">
        <v>273279.94130000001</v>
      </c>
      <c r="D65" s="3519">
        <v>58287.744274999997</v>
      </c>
      <c r="E65" s="3519">
        <v>129445.2075</v>
      </c>
      <c r="F65" s="3519">
        <v>85546.989524999997</v>
      </c>
      <c r="M65" s="3539" t="s">
        <v>3302</v>
      </c>
    </row>
    <row r="66" spans="1:16" ht="14.25" thickBot="1">
      <c r="A66" s="3517">
        <v>1.1000000000000001</v>
      </c>
      <c r="B66" s="3518" t="s">
        <v>3267</v>
      </c>
      <c r="C66" s="3519">
        <v>161066.47500000001</v>
      </c>
      <c r="D66" s="3519">
        <v>38029.584374999999</v>
      </c>
      <c r="E66" s="3519">
        <v>80533.237500000003</v>
      </c>
      <c r="F66" s="3519">
        <v>42503.653124999997</v>
      </c>
      <c r="M66" s="3540" t="s">
        <v>3303</v>
      </c>
      <c r="N66" s="3541" t="s">
        <v>3304</v>
      </c>
      <c r="O66" s="3541" t="s">
        <v>3305</v>
      </c>
      <c r="P66" s="3541" t="s">
        <v>3306</v>
      </c>
    </row>
    <row r="67" spans="1:16">
      <c r="A67" s="3520"/>
      <c r="B67" s="3521" t="s">
        <v>3272</v>
      </c>
      <c r="C67" s="3519">
        <v>178962.75</v>
      </c>
      <c r="D67" s="3519">
        <v>44740.6875</v>
      </c>
      <c r="E67" s="3519">
        <v>89481.375</v>
      </c>
      <c r="F67" s="3519">
        <v>44740.6875</v>
      </c>
      <c r="M67" s="3542">
        <v>2016.4</v>
      </c>
      <c r="N67" s="3544">
        <v>12504</v>
      </c>
      <c r="O67" s="3544">
        <v>5.61</v>
      </c>
      <c r="P67" s="3543"/>
    </row>
    <row r="68" spans="1:16">
      <c r="A68" s="3520"/>
      <c r="B68" s="3521" t="s">
        <v>3273</v>
      </c>
      <c r="C68" s="3514"/>
      <c r="D68" s="3522">
        <v>8500</v>
      </c>
      <c r="E68" s="3522">
        <v>9000</v>
      </c>
      <c r="F68" s="3522">
        <v>9500</v>
      </c>
      <c r="M68" s="3545">
        <v>2017.1</v>
      </c>
      <c r="N68" s="3547">
        <v>12591</v>
      </c>
      <c r="O68" s="3547">
        <v>0.7</v>
      </c>
      <c r="P68" s="3546"/>
    </row>
    <row r="69" spans="1:16">
      <c r="A69" s="3520"/>
      <c r="B69" s="3521" t="s">
        <v>3274</v>
      </c>
      <c r="C69" s="3523">
        <v>1</v>
      </c>
      <c r="D69" s="3523">
        <v>0.25</v>
      </c>
      <c r="E69" s="3523">
        <v>0.5</v>
      </c>
      <c r="F69" s="3523">
        <v>0.25</v>
      </c>
      <c r="M69" s="3542">
        <v>2017.2</v>
      </c>
      <c r="N69" s="3544">
        <v>12590</v>
      </c>
      <c r="O69" s="3544">
        <v>-0.01</v>
      </c>
      <c r="P69" s="3543"/>
    </row>
    <row r="70" spans="1:16">
      <c r="A70" s="3517">
        <v>1.2</v>
      </c>
      <c r="B70" s="3518" t="s">
        <v>3268</v>
      </c>
      <c r="C70" s="3519">
        <v>58409.4</v>
      </c>
      <c r="D70" s="3519">
        <v>16688.400000000001</v>
      </c>
      <c r="E70" s="3519">
        <v>23363.759999999998</v>
      </c>
      <c r="F70" s="3519">
        <v>18357.240000000002</v>
      </c>
      <c r="M70" s="3545">
        <v>2017.3</v>
      </c>
      <c r="N70" s="3547">
        <v>12589</v>
      </c>
      <c r="O70" s="3547">
        <v>-0.01</v>
      </c>
      <c r="P70" s="3546"/>
    </row>
    <row r="71" spans="1:16" ht="14.25">
      <c r="A71" s="3520"/>
      <c r="B71" s="3521" t="s">
        <v>3272</v>
      </c>
      <c r="C71" s="3524">
        <v>55628</v>
      </c>
      <c r="D71" s="3524">
        <v>16688.400000000001</v>
      </c>
      <c r="E71" s="3524">
        <v>22251.200000000001</v>
      </c>
      <c r="F71" s="3524">
        <v>16688.400000000001</v>
      </c>
      <c r="M71" s="3548">
        <v>2017.4</v>
      </c>
      <c r="N71" s="3549">
        <v>12587</v>
      </c>
      <c r="O71" s="3549">
        <v>-0.02</v>
      </c>
    </row>
    <row r="72" spans="1:16">
      <c r="A72" s="3520"/>
      <c r="B72" s="3521" t="s">
        <v>3273</v>
      </c>
      <c r="C72" s="3514"/>
      <c r="D72" s="3522">
        <v>10000</v>
      </c>
      <c r="E72" s="3522">
        <v>10500</v>
      </c>
      <c r="F72" s="3522">
        <v>11000</v>
      </c>
      <c r="G72">
        <f>(D72-D68)/D68</f>
        <v>0.17647058823529413</v>
      </c>
      <c r="H72">
        <f t="shared" ref="H72:I72" si="0">(E72-E68)/E68</f>
        <v>0.16666666666666666</v>
      </c>
      <c r="I72">
        <f t="shared" si="0"/>
        <v>0.15789473684210525</v>
      </c>
      <c r="J72" s="3535">
        <f>ROUND(AVERAGE(G72:I72),3)</f>
        <v>0.16700000000000001</v>
      </c>
      <c r="O72">
        <f>AVERAGE(O67:O71)</f>
        <v>1.2540000000000002</v>
      </c>
    </row>
    <row r="73" spans="1:16">
      <c r="A73" s="3520"/>
      <c r="B73" s="3521" t="s">
        <v>3274</v>
      </c>
      <c r="C73" s="3523">
        <v>1</v>
      </c>
      <c r="D73" s="3523">
        <v>0.3</v>
      </c>
      <c r="E73" s="3523">
        <v>0.4</v>
      </c>
      <c r="F73" s="3523">
        <v>0.3</v>
      </c>
    </row>
    <row r="74" spans="1:16">
      <c r="A74" s="3520">
        <v>1.3</v>
      </c>
      <c r="B74" s="3518" t="s">
        <v>3269</v>
      </c>
      <c r="C74" s="3524">
        <v>38140.066299999999</v>
      </c>
      <c r="D74" s="3524">
        <v>3569.7599</v>
      </c>
      <c r="E74" s="3524">
        <v>18788.21</v>
      </c>
      <c r="F74" s="3524">
        <v>15782.0964</v>
      </c>
    </row>
    <row r="75" spans="1:16">
      <c r="A75" s="3520"/>
      <c r="B75" s="3521" t="s">
        <v>3272</v>
      </c>
      <c r="C75" s="3524">
        <v>18788.21</v>
      </c>
      <c r="D75" s="3524">
        <v>1878.8209999999999</v>
      </c>
      <c r="E75" s="3524">
        <v>9394.1049999999996</v>
      </c>
      <c r="F75" s="3524">
        <v>7515.2839999999997</v>
      </c>
    </row>
    <row r="76" spans="1:16">
      <c r="A76" s="3520"/>
      <c r="B76" s="3521" t="s">
        <v>3273</v>
      </c>
      <c r="C76" s="3524"/>
      <c r="D76" s="3522">
        <v>19000</v>
      </c>
      <c r="E76" s="3522">
        <v>20000</v>
      </c>
      <c r="F76" s="3522">
        <v>21000</v>
      </c>
    </row>
    <row r="77" spans="1:16">
      <c r="A77" s="3520"/>
      <c r="B77" s="3521" t="s">
        <v>3274</v>
      </c>
      <c r="C77" s="3523">
        <v>1</v>
      </c>
      <c r="D77" s="3523">
        <v>0.1</v>
      </c>
      <c r="E77" s="3523">
        <v>0.5</v>
      </c>
      <c r="F77" s="3523">
        <v>0.4</v>
      </c>
    </row>
    <row r="78" spans="1:16">
      <c r="A78" s="3517">
        <v>1.4</v>
      </c>
      <c r="B78" s="3518" t="s">
        <v>3270</v>
      </c>
      <c r="C78" s="3519">
        <v>15664</v>
      </c>
      <c r="D78" s="3519">
        <v>0</v>
      </c>
      <c r="E78" s="3519">
        <v>6760</v>
      </c>
      <c r="F78" s="3519">
        <v>8904</v>
      </c>
    </row>
    <row r="79" spans="1:16">
      <c r="A79" s="3520"/>
      <c r="B79" s="3521" t="s">
        <v>3275</v>
      </c>
      <c r="C79" s="3517">
        <v>2312</v>
      </c>
      <c r="D79" s="3517">
        <v>0</v>
      </c>
      <c r="E79" s="3517">
        <v>1040</v>
      </c>
      <c r="F79" s="3517">
        <v>1272</v>
      </c>
    </row>
    <row r="80" spans="1:16">
      <c r="A80" s="3520"/>
      <c r="B80" s="3521" t="s">
        <v>3276</v>
      </c>
      <c r="C80" s="3514"/>
      <c r="D80" s="3522">
        <v>60000</v>
      </c>
      <c r="E80" s="3522">
        <v>65000</v>
      </c>
      <c r="F80" s="3522">
        <v>70000</v>
      </c>
    </row>
    <row r="81" spans="1:6">
      <c r="A81" s="3520"/>
      <c r="B81" s="3521" t="s">
        <v>3274</v>
      </c>
      <c r="C81" s="3523">
        <v>1</v>
      </c>
      <c r="D81" s="3523">
        <v>0</v>
      </c>
      <c r="E81" s="3523">
        <v>0.45</v>
      </c>
      <c r="F81" s="3523">
        <v>0.55000000000000004</v>
      </c>
    </row>
    <row r="82" spans="1:6">
      <c r="A82" s="3517">
        <v>2</v>
      </c>
      <c r="B82" s="3518" t="s">
        <v>3271</v>
      </c>
      <c r="C82" s="3519">
        <v>15303.676712799999</v>
      </c>
      <c r="D82" s="3519">
        <v>3264.1136793999999</v>
      </c>
      <c r="E82" s="3519">
        <v>7248.9316200000003</v>
      </c>
      <c r="F82" s="3519">
        <v>4790.6314134000004</v>
      </c>
    </row>
    <row r="83" spans="1:6">
      <c r="A83" s="3517">
        <v>2.1</v>
      </c>
      <c r="B83" s="3518" t="s">
        <v>3277</v>
      </c>
      <c r="C83" s="3519">
        <v>13663.997065</v>
      </c>
      <c r="D83" s="3519">
        <v>2914.3872137499998</v>
      </c>
      <c r="E83" s="3519">
        <v>6472.2603749999998</v>
      </c>
      <c r="F83" s="3519">
        <v>4277.3494762500004</v>
      </c>
    </row>
    <row r="84" spans="1:6">
      <c r="A84" s="3517">
        <v>2.2000000000000002</v>
      </c>
      <c r="B84" s="3518" t="s">
        <v>3278</v>
      </c>
      <c r="C84" s="3519">
        <v>956.47979454999995</v>
      </c>
      <c r="D84" s="3519">
        <v>204.00710496249999</v>
      </c>
      <c r="E84" s="3519">
        <v>453.05822625000002</v>
      </c>
      <c r="F84" s="3519">
        <v>299.41446333750002</v>
      </c>
    </row>
    <row r="85" spans="1:6">
      <c r="A85" s="3517">
        <v>2.2999999999999998</v>
      </c>
      <c r="B85" s="3518" t="s">
        <v>3279</v>
      </c>
      <c r="C85" s="3519">
        <v>683.19985325000005</v>
      </c>
      <c r="D85" s="3519">
        <v>145.7193606875</v>
      </c>
      <c r="E85" s="3519">
        <v>323.61301874999998</v>
      </c>
      <c r="F85" s="3519">
        <v>213.86747381250001</v>
      </c>
    </row>
    <row r="86" spans="1:6" ht="36">
      <c r="A86" s="3517">
        <v>3</v>
      </c>
      <c r="B86" s="3525" t="s">
        <v>3280</v>
      </c>
      <c r="C86" s="3519">
        <v>3819.145125</v>
      </c>
      <c r="D86" s="3519">
        <v>904.211765625</v>
      </c>
      <c r="E86" s="3519">
        <v>1776.6737625000001</v>
      </c>
      <c r="F86" s="3519">
        <v>1138.2595968749999</v>
      </c>
    </row>
    <row r="90" spans="1:6" ht="13.5" customHeight="1"/>
  </sheetData>
  <mergeCells count="1">
    <mergeCell ref="A6:A12"/>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受贵公司委托，我公司对出让国有建设用地使用权抵押价格进行了预评估。</v>
      </c>
    </row>
    <row r="5" spans="1:4" ht="18.75">
      <c r="A5" s="1793" t="s">
        <v>1907</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96912.82平方米。根据《建设工程规划许可证》[]、《出让合同》[]，估价对象规划建筑面积为287739平方米。</v>
      </c>
    </row>
    <row r="7" spans="1:4" ht="93.75">
      <c r="A7" s="2897" t="s">
        <v>2754</v>
      </c>
    </row>
    <row r="8" spans="1:4" ht="18.75">
      <c r="A8" s="1793" t="s">
        <v>1908</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2030</v>
      </c>
    </row>
    <row r="11" spans="1:4" ht="18.75">
      <c r="A11" s="1779" t="str">
        <f>TEXT(项目基本情况!D3,"yyyy年m月d日;;")&amp;IF(项目基本情况!B3=项目基本情况!D3,"（评估专业人员勘察现场之日）","")</f>
        <v>2018年3月12日（评估专业人员勘察现场之日）</v>
      </c>
    </row>
    <row r="12" spans="1:4" ht="18.75">
      <c r="A12" s="1796" t="s">
        <v>2029</v>
      </c>
    </row>
    <row r="13" spans="1:4" ht="18.75">
      <c r="A13" s="1790" t="s">
        <v>2075</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2076</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根据《国有土地使用证》[]，估价对象（分摊）出让国有建设用地使用权面积为96912.82平方米。根据《建设工程规划许可证》[]、《出让合同》[]，估价对象规划建筑面积为287739平方米。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2078</v>
      </c>
    </row>
    <row r="23" spans="1:1" ht="18.75">
      <c r="A23" s="2899" t="s">
        <v>2755</v>
      </c>
    </row>
    <row r="24" spans="1:1" ht="18.75">
      <c r="A24" s="1790" t="s">
        <v>2079</v>
      </c>
    </row>
    <row r="25" spans="1:1" ht="75">
      <c r="A25" s="1790" t="str">
        <f>定义!C53</f>
        <v>本次估价的“出让国有建设用地使用权价格”是指在估价对象土地所有权为国家所有，使用权性质为出让，在公开市场条件下、于估价期日2018年3月12日，在规划利用条件下、设定土地开发程度为红线外“七通”、宗地内场地，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2031</v>
      </c>
    </row>
    <row r="30" spans="1:1" ht="75">
      <c r="A30" s="1790"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1" t="s">
        <v>2042</v>
      </c>
      <c r="B1" s="3561"/>
      <c r="C1" s="3561"/>
      <c r="D1" s="3561"/>
      <c r="E1" s="3561"/>
      <c r="F1" s="3561"/>
      <c r="G1" s="3561"/>
      <c r="H1" s="3561"/>
      <c r="I1" s="3561"/>
      <c r="J1" s="3561"/>
      <c r="K1" s="3561"/>
      <c r="L1" s="3561"/>
      <c r="M1" s="3561"/>
      <c r="N1" s="3561"/>
      <c r="O1" s="3561"/>
      <c r="P1" s="3561"/>
      <c r="Q1" s="3561"/>
      <c r="R1" s="3561"/>
    </row>
    <row r="2" spans="1:18">
      <c r="A2" s="1806" t="s">
        <v>2044</v>
      </c>
      <c r="B2" s="1806"/>
      <c r="C2" s="1806"/>
      <c r="D2" s="1806"/>
      <c r="E2" s="1806"/>
      <c r="F2" s="1806"/>
      <c r="G2" s="1806"/>
      <c r="H2" s="1806"/>
      <c r="I2" s="1807"/>
      <c r="J2" s="1807"/>
      <c r="K2" s="1808" t="str">
        <f>"估价期日："&amp;TEXT(项目基本情况!D3,"yyyy年m月d日;;")</f>
        <v>估价期日：2018年3月12日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62" t="s">
        <v>2033</v>
      </c>
      <c r="B3" s="3562" t="s">
        <v>2737</v>
      </c>
      <c r="C3" s="3563" t="s">
        <v>2034</v>
      </c>
      <c r="D3" s="3562" t="s">
        <v>2741</v>
      </c>
      <c r="E3" s="3565" t="s">
        <v>2035</v>
      </c>
      <c r="F3" s="3565"/>
      <c r="G3" s="3565"/>
      <c r="H3" s="3565" t="s">
        <v>2036</v>
      </c>
      <c r="I3" s="3565"/>
      <c r="J3" s="3565"/>
      <c r="K3" s="3563" t="s">
        <v>2037</v>
      </c>
      <c r="L3" s="3563" t="s">
        <v>2038</v>
      </c>
      <c r="M3" s="3562" t="s">
        <v>2738</v>
      </c>
      <c r="N3" s="3564" t="str">
        <f>"（分摊）"&amp;项目基本情况!B16&amp;"国有建设用地使用权面积/㎡"</f>
        <v>（分摊）出让国有建设用地使用权面积/㎡</v>
      </c>
      <c r="O3" s="3562" t="s">
        <v>2067</v>
      </c>
      <c r="P3" s="3563" t="s">
        <v>2047</v>
      </c>
      <c r="Q3" s="3563" t="s">
        <v>2068</v>
      </c>
      <c r="R3" s="3563" t="s">
        <v>2039</v>
      </c>
    </row>
    <row r="4" spans="1:18" ht="36.75" customHeight="1">
      <c r="A4" s="3562"/>
      <c r="B4" s="3562"/>
      <c r="C4" s="3563"/>
      <c r="D4" s="3562"/>
      <c r="E4" s="2673" t="s">
        <v>2046</v>
      </c>
      <c r="F4" s="2673" t="s">
        <v>2750</v>
      </c>
      <c r="G4" s="2673" t="s">
        <v>2040</v>
      </c>
      <c r="H4" s="2673" t="s">
        <v>2041</v>
      </c>
      <c r="I4" s="2673" t="s">
        <v>2751</v>
      </c>
      <c r="J4" s="2673" t="s">
        <v>2040</v>
      </c>
      <c r="K4" s="3563"/>
      <c r="L4" s="3563"/>
      <c r="M4" s="3562"/>
      <c r="N4" s="3564"/>
      <c r="O4" s="3562"/>
      <c r="P4" s="3563"/>
      <c r="Q4" s="3563"/>
      <c r="R4" s="3563"/>
    </row>
    <row r="5" spans="1:18" ht="135" customHeight="1">
      <c r="A5" s="1942" t="s">
        <v>2661</v>
      </c>
      <c r="B5" s="2891" t="s">
        <v>2659</v>
      </c>
      <c r="C5" s="2672">
        <v>22</v>
      </c>
      <c r="D5" s="2671" t="s">
        <v>2660</v>
      </c>
      <c r="E5" s="1809">
        <f>项目基本情况!B12</f>
        <v>0</v>
      </c>
      <c r="F5" s="2671">
        <v>258</v>
      </c>
      <c r="G5" s="1809">
        <f>项目基本情况!B13</f>
        <v>0</v>
      </c>
      <c r="H5" s="2671">
        <v>1.5</v>
      </c>
      <c r="I5" s="2671">
        <v>1.5</v>
      </c>
      <c r="J5" s="2671">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96912.82</v>
      </c>
      <c r="O5" s="1809">
        <f>项目基本情况!C21</f>
        <v>287739</v>
      </c>
      <c r="P5" s="1809">
        <f ca="1">'结果表-正常'!E42</f>
        <v>13940</v>
      </c>
      <c r="Q5" s="1809">
        <f ca="1">'结果表-正常'!D42</f>
        <v>4695</v>
      </c>
      <c r="R5" s="1810">
        <f ca="1">'结果表-正常'!C42</f>
        <v>135095</v>
      </c>
    </row>
    <row r="6" spans="1:18">
      <c r="A6" s="3566" t="str">
        <f>IF(项目基本情况!B9="市场价格","——","抵押价格")</f>
        <v>抵押价格</v>
      </c>
      <c r="B6" s="3567"/>
      <c r="C6" s="3567"/>
      <c r="D6" s="3567"/>
      <c r="E6" s="3567"/>
      <c r="F6" s="3567"/>
      <c r="G6" s="3567"/>
      <c r="H6" s="3567"/>
      <c r="I6" s="3567"/>
      <c r="J6" s="3567"/>
      <c r="K6" s="3567"/>
      <c r="L6" s="3567"/>
      <c r="M6" s="3567"/>
      <c r="N6" s="3567"/>
      <c r="O6" s="3567"/>
      <c r="P6" s="3567"/>
      <c r="Q6" s="3568"/>
      <c r="R6" s="1811">
        <f ca="1">'结果表-正常'!O39</f>
        <v>135095</v>
      </c>
    </row>
    <row r="7" spans="1:18">
      <c r="A7" s="3566" t="str">
        <f>IF(项目基本情况!B9="市场价格","——",IF(项目基本情况!E8="已注销及未注销","抵押担保权已注销时的抵押价格","——"))</f>
        <v>——</v>
      </c>
      <c r="B7" s="3567"/>
      <c r="C7" s="3567"/>
      <c r="D7" s="3567"/>
      <c r="E7" s="3567"/>
      <c r="F7" s="3567"/>
      <c r="G7" s="3567"/>
      <c r="H7" s="3567"/>
      <c r="I7" s="3567"/>
      <c r="J7" s="3567"/>
      <c r="K7" s="3567"/>
      <c r="L7" s="3567"/>
      <c r="M7" s="3567"/>
      <c r="N7" s="3567"/>
      <c r="O7" s="3567"/>
      <c r="P7" s="3567"/>
      <c r="Q7" s="3568"/>
      <c r="R7" s="1811" t="str">
        <f>'结果表-正常'!O40</f>
        <v>——</v>
      </c>
    </row>
    <row r="8" spans="1:18">
      <c r="A8" s="3566">
        <f>IF(项目基本情况!B9="市场价格","——",项目基本情况!E9)</f>
        <v>0</v>
      </c>
      <c r="B8" s="3567"/>
      <c r="C8" s="3567"/>
      <c r="D8" s="3567"/>
      <c r="E8" s="3567"/>
      <c r="F8" s="3567"/>
      <c r="G8" s="3567"/>
      <c r="H8" s="3567"/>
      <c r="I8" s="3567"/>
      <c r="J8" s="3567"/>
      <c r="K8" s="3567"/>
      <c r="L8" s="3567"/>
      <c r="M8" s="3567"/>
      <c r="N8" s="3567"/>
      <c r="O8" s="3567"/>
      <c r="P8" s="3567"/>
      <c r="Q8" s="3568"/>
      <c r="R8" s="1811" t="str">
        <f>'结果表-正常'!O41</f>
        <v>——</v>
      </c>
    </row>
    <row r="9" spans="1:18">
      <c r="A9" s="1812" t="s">
        <v>2045</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2032</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69" t="s">
        <v>2069</v>
      </c>
      <c r="B1" s="3569"/>
      <c r="C1" s="3569"/>
      <c r="D1" s="3569"/>
    </row>
    <row r="2" spans="1:4" ht="47.25" customHeight="1">
      <c r="A2" s="3573" t="str">
        <f>"1.权利限制："&amp;项目基本情况!L24&amp;"未设定租赁等其他他项权利。"</f>
        <v>1.权利限制：根据估价对象《不动产权证书》原件、《国有土地使用权》复印件，截至估价期日，估价对象抵押权未见登记。未设定租赁等其他他项权利。</v>
      </c>
      <c r="B2" s="3573"/>
      <c r="C2" s="3573"/>
      <c r="D2" s="3573"/>
    </row>
    <row r="3" spans="1:4" ht="48" customHeight="1">
      <c r="A3" s="35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69"/>
      <c r="C3" s="3569"/>
      <c r="D3" s="3569"/>
    </row>
    <row r="4" spans="1:4" ht="36.75" customHeight="1">
      <c r="A4" s="3569" t="str">
        <f>"3.估价规划限制条件：详见"&amp;项目基本情况!E21&amp;"。"</f>
        <v>3.估价规划限制条件：详见《建设工程规划许可证》[]、《出让合同》[]。</v>
      </c>
      <c r="B4" s="3569"/>
      <c r="C4" s="3569"/>
      <c r="D4" s="3569"/>
    </row>
    <row r="5" spans="1:4">
      <c r="A5" s="3572" t="s">
        <v>2070</v>
      </c>
      <c r="B5" s="3572"/>
      <c r="C5" s="3572"/>
      <c r="D5" s="3572"/>
    </row>
    <row r="6" spans="1:4">
      <c r="A6" s="3569" t="s">
        <v>2048</v>
      </c>
      <c r="B6" s="3569"/>
      <c r="C6" s="3569"/>
      <c r="D6" s="3569"/>
    </row>
    <row r="7" spans="1:4" ht="33" customHeight="1">
      <c r="A7" s="3569" t="s">
        <v>2581</v>
      </c>
      <c r="B7" s="3569"/>
      <c r="C7" s="3569"/>
      <c r="D7" s="3569"/>
    </row>
    <row r="8" spans="1:4" ht="32.25" customHeight="1">
      <c r="A8" s="35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69"/>
      <c r="C8" s="3569"/>
      <c r="D8" s="3569"/>
    </row>
    <row r="9" spans="1:4" ht="33.75" customHeight="1">
      <c r="A9" s="356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69"/>
      <c r="C9" s="3569"/>
      <c r="D9" s="3569"/>
    </row>
    <row r="10" spans="1:4">
      <c r="A10" s="3569" t="str">
        <f>IF(项目基本情况!B8="抵押","4.估价师所知悉的法定优先受偿款情况为：","——")</f>
        <v>4.估价师所知悉的法定优先受偿款情况为：</v>
      </c>
      <c r="B10" s="3569"/>
      <c r="C10" s="3569"/>
      <c r="D10" s="3569"/>
    </row>
    <row r="11" spans="1:4" ht="37.5" customHeight="1">
      <c r="A11" s="357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71"/>
      <c r="C11" s="3571"/>
      <c r="D11" s="3571"/>
    </row>
    <row r="12" spans="1:4" ht="168" customHeight="1">
      <c r="A12" s="3572" t="s">
        <v>2072</v>
      </c>
      <c r="B12" s="3572"/>
      <c r="C12" s="3572"/>
      <c r="D12" s="3572"/>
    </row>
    <row r="13" spans="1:4">
      <c r="A13" s="3570" t="s">
        <v>2752</v>
      </c>
      <c r="B13" s="3570"/>
      <c r="C13" s="3570"/>
      <c r="D13" s="3570"/>
    </row>
    <row r="14" spans="1:4">
      <c r="A14" s="3571" t="str">
        <f>IF(项目基本情况!B8="抵押","综上，"&amp;'结果表-正常'!K47,"——")</f>
        <v>综上，本次评估不存在估价师知悉的法定优先受偿款</v>
      </c>
      <c r="B14" s="3571"/>
      <c r="C14" s="3571"/>
      <c r="D14" s="3571"/>
    </row>
    <row r="15" spans="1:4" ht="58.5" customHeight="1">
      <c r="A15" s="3569" t="str">
        <f>IF('结果表-正常'!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69"/>
      <c r="C15" s="3569"/>
      <c r="D15" s="3569"/>
    </row>
    <row r="16" spans="1:4" ht="70.5" customHeight="1">
      <c r="A16" s="3569" t="str">
        <f>IF('结果表-正常'!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69"/>
      <c r="C16" s="3569"/>
      <c r="D16" s="3569"/>
    </row>
    <row r="17" spans="1:4">
      <c r="A17" s="3569" t="s">
        <v>2708</v>
      </c>
      <c r="B17" s="3569"/>
      <c r="C17" s="3569"/>
      <c r="D17" s="3569"/>
    </row>
    <row r="18" spans="1:4">
      <c r="A18" s="3569" t="s">
        <v>2700</v>
      </c>
      <c r="B18" s="3569"/>
      <c r="C18" s="3569"/>
      <c r="D18" s="3569"/>
    </row>
    <row r="19" spans="1:4">
      <c r="A19" s="2892" t="s">
        <v>2701</v>
      </c>
      <c r="B19" s="2892" t="s">
        <v>2702</v>
      </c>
      <c r="C19" s="2892" t="s">
        <v>2703</v>
      </c>
      <c r="D19" s="2892" t="s">
        <v>2704</v>
      </c>
    </row>
    <row r="20" spans="1:4">
      <c r="A20" s="2892" t="str">
        <f>项目基本情况!B4</f>
        <v>土地估价师</v>
      </c>
      <c r="B20" s="2892">
        <f>项目基本情况!C4</f>
        <v>0</v>
      </c>
      <c r="C20" s="2894"/>
      <c r="D20" s="1799" t="s">
        <v>2709</v>
      </c>
    </row>
    <row r="21" spans="1:4">
      <c r="A21" s="2892" t="str">
        <f>项目基本情况!D4</f>
        <v>土地估价师</v>
      </c>
      <c r="B21" s="2892">
        <f>项目基本情况!E4</f>
        <v>0</v>
      </c>
      <c r="C21" s="2894"/>
      <c r="D21" s="1799" t="s">
        <v>2710</v>
      </c>
    </row>
    <row r="23" spans="1:4">
      <c r="A23" s="3569" t="s">
        <v>2705</v>
      </c>
      <c r="B23" s="3569"/>
      <c r="C23" s="3569"/>
      <c r="D23" s="3569"/>
    </row>
    <row r="24" spans="1:4">
      <c r="A24" s="2892" t="s">
        <v>2701</v>
      </c>
      <c r="B24" s="2892" t="s">
        <v>2706</v>
      </c>
      <c r="C24" s="2892" t="s">
        <v>2703</v>
      </c>
      <c r="D24" s="2892" t="s">
        <v>2704</v>
      </c>
    </row>
    <row r="25" spans="1:4">
      <c r="A25" s="2895" t="s">
        <v>2707</v>
      </c>
      <c r="B25" s="2892" t="s">
        <v>953</v>
      </c>
      <c r="C25" s="2894"/>
      <c r="D25" s="1799" t="s">
        <v>2710</v>
      </c>
    </row>
    <row r="29" spans="1:4">
      <c r="D29" s="2893" t="s">
        <v>2043</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581" t="s">
        <v>53</v>
      </c>
      <c r="B15" s="3582" t="s">
        <v>847</v>
      </c>
      <c r="C15" s="3578"/>
    </row>
    <row r="16" spans="1:7" ht="14.25">
      <c r="A16" s="3581"/>
      <c r="B16" s="3579" t="s">
        <v>54</v>
      </c>
      <c r="C16" s="1170" t="s">
        <v>53</v>
      </c>
    </row>
    <row r="17" spans="1:3" ht="14.25">
      <c r="A17" s="3581"/>
      <c r="B17" s="3579"/>
      <c r="C17" s="1170" t="s">
        <v>55</v>
      </c>
    </row>
    <row r="18" spans="1:3" ht="14.25">
      <c r="A18" s="3581"/>
      <c r="B18" s="3579"/>
      <c r="C18" s="1170" t="s">
        <v>56</v>
      </c>
    </row>
    <row r="19" spans="1:3" ht="14.25">
      <c r="A19" s="3581"/>
      <c r="B19" s="3577" t="s">
        <v>57</v>
      </c>
      <c r="C19" s="3578"/>
    </row>
    <row r="20" spans="1:3" ht="14.25">
      <c r="A20" s="1171" t="s">
        <v>58</v>
      </c>
      <c r="B20" s="1172"/>
      <c r="C20" s="1173"/>
    </row>
    <row r="21" spans="1:3" ht="14.25">
      <c r="A21" s="3580" t="s">
        <v>59</v>
      </c>
      <c r="B21" s="3577" t="s">
        <v>60</v>
      </c>
      <c r="C21" s="3578"/>
    </row>
    <row r="22" spans="1:3" ht="14.25">
      <c r="A22" s="3580"/>
      <c r="B22" s="3577" t="s">
        <v>61</v>
      </c>
      <c r="C22" s="3578"/>
    </row>
    <row r="23" spans="1:3" ht="14.25">
      <c r="A23" s="3580"/>
      <c r="B23" s="3577" t="s">
        <v>62</v>
      </c>
      <c r="C23" s="3578"/>
    </row>
    <row r="24" spans="1:3" ht="14.25">
      <c r="A24" s="3580"/>
      <c r="B24" s="3583" t="s">
        <v>63</v>
      </c>
      <c r="C24" s="1174" t="s">
        <v>838</v>
      </c>
    </row>
    <row r="25" spans="1:3" ht="14.25">
      <c r="A25" s="3580"/>
      <c r="B25" s="3584"/>
      <c r="C25" s="1174" t="s">
        <v>839</v>
      </c>
    </row>
    <row r="26" spans="1:3" ht="14.25">
      <c r="A26" s="3580"/>
      <c r="B26" s="3584"/>
      <c r="C26" s="1174" t="s">
        <v>840</v>
      </c>
    </row>
    <row r="27" spans="1:3" ht="14.25">
      <c r="A27" s="3580"/>
      <c r="B27" s="3584"/>
      <c r="C27" s="1174" t="s">
        <v>841</v>
      </c>
    </row>
    <row r="28" spans="1:3" ht="14.25">
      <c r="A28" s="3580"/>
      <c r="B28" s="3584"/>
      <c r="C28" s="1174" t="s">
        <v>842</v>
      </c>
    </row>
    <row r="29" spans="1:3" ht="14.25">
      <c r="A29" s="3580"/>
      <c r="B29" s="3584"/>
      <c r="C29" s="1174" t="s">
        <v>843</v>
      </c>
    </row>
    <row r="30" spans="1:3" ht="14.25">
      <c r="A30" s="3580"/>
      <c r="B30" s="3584"/>
      <c r="C30" s="1174" t="s">
        <v>844</v>
      </c>
    </row>
    <row r="31" spans="1:3" ht="14.25">
      <c r="A31" s="3580"/>
      <c r="B31" s="3584"/>
      <c r="C31" s="1174" t="s">
        <v>845</v>
      </c>
    </row>
    <row r="32" spans="1:3" ht="14.25">
      <c r="A32" s="3580"/>
      <c r="B32" s="3584"/>
      <c r="C32" s="1174" t="s">
        <v>1648</v>
      </c>
    </row>
    <row r="33" spans="1:3" ht="14.25">
      <c r="A33" s="3580"/>
      <c r="B33" s="3574" t="s">
        <v>1654</v>
      </c>
      <c r="C33" s="1174" t="s">
        <v>1649</v>
      </c>
    </row>
    <row r="34" spans="1:3" ht="14.25">
      <c r="A34" s="3580"/>
      <c r="B34" s="3575"/>
      <c r="C34" s="1179" t="s">
        <v>1650</v>
      </c>
    </row>
    <row r="35" spans="1:3" ht="14.25">
      <c r="A35" s="3580"/>
      <c r="B35" s="3575"/>
      <c r="C35" s="1180" t="s">
        <v>1651</v>
      </c>
    </row>
    <row r="36" spans="1:3" ht="14.25">
      <c r="A36" s="3580"/>
      <c r="B36" s="3575"/>
      <c r="C36" s="1180" t="s">
        <v>1652</v>
      </c>
    </row>
    <row r="37" spans="1:3" ht="14.25">
      <c r="A37" s="3580"/>
      <c r="B37" s="3576"/>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1909</v>
      </c>
      <c r="B2" s="1655">
        <f ca="1">TODAY()</f>
        <v>43171</v>
      </c>
      <c r="C2" s="2338" t="s">
        <v>1910</v>
      </c>
      <c r="D2" s="2339"/>
    </row>
    <row r="3" spans="1:6" ht="20.25" customHeight="1">
      <c r="A3" s="2341" t="s">
        <v>1911</v>
      </c>
      <c r="B3" s="2342" t="s">
        <v>1912</v>
      </c>
      <c r="C3" s="2342" t="s">
        <v>1913</v>
      </c>
      <c r="D3" s="2343" t="s">
        <v>1914</v>
      </c>
      <c r="E3" s="2342" t="s">
        <v>1915</v>
      </c>
      <c r="F3" s="2342" t="s">
        <v>1913</v>
      </c>
    </row>
    <row r="4" spans="1:6" ht="20.25" customHeight="1">
      <c r="A4" s="2342" t="s">
        <v>1916</v>
      </c>
      <c r="B4" s="2342">
        <f ca="1">IF(C4&lt;B2,"已过期",1119970066)</f>
        <v>1119970066</v>
      </c>
      <c r="C4" s="3030">
        <v>43849</v>
      </c>
      <c r="D4" s="2342" t="s">
        <v>1916</v>
      </c>
      <c r="E4" s="2342">
        <f ca="1">IF(F4&lt;B2,"已过期",96010014)</f>
        <v>96010014</v>
      </c>
      <c r="F4" s="3031">
        <v>47118</v>
      </c>
    </row>
    <row r="5" spans="1:6" ht="20.25" customHeight="1">
      <c r="A5" s="2342" t="s">
        <v>1917</v>
      </c>
      <c r="B5" s="2342">
        <f ca="1">IF(C5&lt;B2,"已过期",1119970074)</f>
        <v>1119970074</v>
      </c>
      <c r="C5" s="3030">
        <v>43849</v>
      </c>
      <c r="D5" s="2342" t="s">
        <v>1917</v>
      </c>
      <c r="E5" s="2342">
        <f ca="1">IF(F5&lt;B2,"已过期",2002110027)</f>
        <v>2002110027</v>
      </c>
      <c r="F5" s="3031">
        <v>46752</v>
      </c>
    </row>
    <row r="6" spans="1:6" ht="20.25" customHeight="1">
      <c r="A6" s="2342" t="s">
        <v>1918</v>
      </c>
      <c r="B6" s="2342">
        <f ca="1">IF(C6&lt;B2,"已过期",1119970111)</f>
        <v>1119970111</v>
      </c>
      <c r="C6" s="3030">
        <v>43849</v>
      </c>
      <c r="D6" s="2342" t="s">
        <v>1918</v>
      </c>
      <c r="E6" s="2342">
        <f ca="1">IF(F6&lt;B2,"已过期",94010078)</f>
        <v>94010078</v>
      </c>
      <c r="F6" s="3031">
        <v>46387</v>
      </c>
    </row>
    <row r="7" spans="1:6" ht="20.25" customHeight="1">
      <c r="A7" s="2342" t="s">
        <v>1919</v>
      </c>
      <c r="B7" s="2342">
        <f ca="1">IF(C7&lt;B2,"已过期",1120050019)</f>
        <v>1120050019</v>
      </c>
      <c r="C7" s="3030">
        <v>43359</v>
      </c>
      <c r="D7" s="2342" t="s">
        <v>1919</v>
      </c>
      <c r="E7" s="2342">
        <f ca="1">IF(F7&lt;B2,"已过期",2002110030)</f>
        <v>2002110030</v>
      </c>
      <c r="F7" s="3031">
        <v>46387</v>
      </c>
    </row>
    <row r="8" spans="1:6" ht="20.25" customHeight="1">
      <c r="A8" s="2342" t="s">
        <v>1920</v>
      </c>
      <c r="B8" s="2342">
        <f ca="1">IF(C8&lt;B2,"已过期",1120000080)</f>
        <v>1120000080</v>
      </c>
      <c r="C8" s="3030">
        <v>43849</v>
      </c>
      <c r="D8" s="2342" t="s">
        <v>1920</v>
      </c>
      <c r="E8" s="2342">
        <f ca="1">IF(F8&lt;B2,"已过期",2000110082)</f>
        <v>2000110082</v>
      </c>
      <c r="F8" s="3031">
        <v>46387</v>
      </c>
    </row>
    <row r="9" spans="1:6" ht="20.25" customHeight="1">
      <c r="A9" s="2342" t="s">
        <v>1921</v>
      </c>
      <c r="B9" s="2342">
        <f ca="1">IF(C9&lt;B2,"已过期",1419970001)</f>
        <v>1419970001</v>
      </c>
      <c r="C9" s="3030">
        <v>43867</v>
      </c>
      <c r="D9" s="2342" t="s">
        <v>1921</v>
      </c>
      <c r="E9" s="2342">
        <f ca="1">IF(F9&lt;B2,"已过期",2002110125)</f>
        <v>2002110125</v>
      </c>
      <c r="F9" s="3031">
        <v>47118</v>
      </c>
    </row>
    <row r="10" spans="1:6" ht="20.25" customHeight="1">
      <c r="A10" s="2342" t="s">
        <v>1922</v>
      </c>
      <c r="B10" s="2342">
        <f ca="1">IF(C10&lt;B2,"已过期",1120060040)</f>
        <v>1120060040</v>
      </c>
      <c r="C10" s="3030">
        <v>43483</v>
      </c>
      <c r="D10" s="2342" t="s">
        <v>1922</v>
      </c>
      <c r="E10" s="2342">
        <f ca="1">IF(F10&lt;B2,"已过期",2004110096)</f>
        <v>2004110096</v>
      </c>
      <c r="F10" s="3031">
        <v>47118</v>
      </c>
    </row>
    <row r="11" spans="1:6" ht="20.25" customHeight="1">
      <c r="A11" s="2342" t="s">
        <v>1923</v>
      </c>
      <c r="B11" s="2342">
        <f ca="1">IF(C11&lt;B2,"已过期",1120100036)</f>
        <v>1120100036</v>
      </c>
      <c r="C11" s="3030">
        <v>43622</v>
      </c>
      <c r="D11" s="2342" t="s">
        <v>1923</v>
      </c>
      <c r="E11" s="2342">
        <f ca="1">IF(F11&lt;B2,"已过期",2010110070)</f>
        <v>2010110070</v>
      </c>
      <c r="F11" s="3031">
        <v>47907</v>
      </c>
    </row>
    <row r="12" spans="1:6" ht="20.25" customHeight="1">
      <c r="A12" s="2342"/>
      <c r="B12" s="2342"/>
      <c r="C12" s="3030"/>
      <c r="D12" s="2342"/>
      <c r="E12" s="2342"/>
      <c r="F12" s="2342"/>
    </row>
    <row r="13" spans="1:6" ht="20.25" customHeight="1">
      <c r="A13" s="2342" t="s">
        <v>1924</v>
      </c>
      <c r="B13" s="2342">
        <f ca="1">IF(C13&lt;B2,"已过期",1120070131)</f>
        <v>1120070131</v>
      </c>
      <c r="C13" s="3030">
        <v>43814</v>
      </c>
      <c r="D13" s="2342" t="s">
        <v>1924</v>
      </c>
      <c r="E13" s="2342">
        <v>2014110011</v>
      </c>
      <c r="F13" s="3031">
        <v>49302</v>
      </c>
    </row>
    <row r="14" spans="1:6" ht="20.25" customHeight="1">
      <c r="A14" s="2342" t="s">
        <v>1925</v>
      </c>
      <c r="B14" s="2342">
        <f ca="1">IF(C14&lt;B2,"已过期",1120130020)</f>
        <v>1120130020</v>
      </c>
      <c r="C14" s="3030">
        <v>43622</v>
      </c>
      <c r="D14" s="2342"/>
      <c r="E14" s="2342"/>
      <c r="F14" s="2342"/>
    </row>
    <row r="15" spans="1:6" ht="20.25" customHeight="1">
      <c r="A15" s="2342" t="s">
        <v>2580</v>
      </c>
      <c r="B15" s="2342">
        <v>1120070085</v>
      </c>
      <c r="C15" s="3030">
        <v>43814</v>
      </c>
      <c r="D15" s="2342" t="s">
        <v>2580</v>
      </c>
      <c r="E15" s="2342">
        <v>2004110128</v>
      </c>
      <c r="F15" s="3031">
        <v>47118</v>
      </c>
    </row>
    <row r="16" spans="1:6" ht="20.25" customHeight="1">
      <c r="A16" s="2342" t="s">
        <v>1926</v>
      </c>
      <c r="B16" s="2342">
        <f ca="1">IF(C16&lt;B2,"已过期",1120140022)</f>
        <v>1120140022</v>
      </c>
      <c r="C16" s="3030">
        <v>44029</v>
      </c>
      <c r="D16" s="2342" t="s">
        <v>1926</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1927</v>
      </c>
      <c r="E21" s="2342">
        <f ca="1">IF(F21&lt;B2,"已过期",2011110090)</f>
        <v>2011110090</v>
      </c>
      <c r="F21" s="3031">
        <v>48302</v>
      </c>
    </row>
    <row r="22" spans="1:7" ht="20.25" customHeight="1">
      <c r="A22" s="2342" t="s">
        <v>1928</v>
      </c>
      <c r="B22" s="2342">
        <f ca="1">IF(C22&lt;B2,"已过期",1120020033)</f>
        <v>1120020033</v>
      </c>
      <c r="C22" s="3030">
        <v>43304</v>
      </c>
      <c r="D22" s="2342" t="s">
        <v>1928</v>
      </c>
      <c r="E22" s="2342">
        <f ca="1">IF(F22&lt;B2,"已过期",2000110137)</f>
        <v>2000110137</v>
      </c>
      <c r="F22" s="3031">
        <v>46387</v>
      </c>
    </row>
    <row r="23" spans="1:7" ht="20.25" customHeight="1">
      <c r="A23" s="2342" t="s">
        <v>1929</v>
      </c>
      <c r="B23" s="2342">
        <f ca="1">IF(C23&lt;B2,"已过期",1120130048)</f>
        <v>1120130048</v>
      </c>
      <c r="C23" s="3030">
        <v>43686</v>
      </c>
      <c r="D23" s="2342"/>
      <c r="E23" s="2342"/>
      <c r="F23" s="2342"/>
    </row>
    <row r="24" spans="1:7" s="2346" customFormat="1" ht="20.25" customHeight="1">
      <c r="A24" s="2344" t="s">
        <v>2057</v>
      </c>
      <c r="B24" s="2344" t="s">
        <v>2057</v>
      </c>
      <c r="C24" s="3030"/>
      <c r="D24" s="3032" t="s">
        <v>2057</v>
      </c>
      <c r="E24" s="2344" t="s">
        <v>2057</v>
      </c>
      <c r="F24" s="2345"/>
    </row>
    <row r="25" spans="1:7" ht="20.25" customHeight="1">
      <c r="A25" s="3585" t="s">
        <v>1930</v>
      </c>
      <c r="B25" s="3585"/>
      <c r="C25" s="3585"/>
      <c r="D25" s="3585"/>
      <c r="E25" s="3585"/>
      <c r="F25" s="3585"/>
      <c r="G25" s="3585"/>
    </row>
    <row r="26" spans="1:7" ht="20.25" customHeight="1">
      <c r="A26" s="3586" t="s">
        <v>1931</v>
      </c>
      <c r="B26" s="3586"/>
      <c r="C26" s="3586"/>
      <c r="D26" s="3586" t="s">
        <v>1932</v>
      </c>
      <c r="E26" s="3586"/>
      <c r="F26" s="3586"/>
    </row>
    <row r="27" spans="1:7" s="2350" customFormat="1" ht="20.25" customHeight="1">
      <c r="A27" s="2347" t="s">
        <v>1933</v>
      </c>
      <c r="B27" s="2348" t="s">
        <v>1934</v>
      </c>
      <c r="C27" s="2348" t="s">
        <v>1935</v>
      </c>
      <c r="D27" s="2349" t="s">
        <v>1933</v>
      </c>
      <c r="E27" s="2348" t="s">
        <v>1934</v>
      </c>
      <c r="F27" s="2348" t="s">
        <v>1935</v>
      </c>
    </row>
    <row r="28" spans="1:7" s="2350" customFormat="1" ht="20.25" customHeight="1">
      <c r="A28" s="2351" t="s">
        <v>1936</v>
      </c>
      <c r="B28" s="2351" t="s">
        <v>1937</v>
      </c>
      <c r="C28" s="2352">
        <v>43725</v>
      </c>
      <c r="D28" s="2351" t="s">
        <v>1938</v>
      </c>
      <c r="E28" s="2351" t="s">
        <v>1939</v>
      </c>
      <c r="F28" s="2353">
        <v>44377</v>
      </c>
    </row>
    <row r="29" spans="1:7" s="2350" customFormat="1" ht="20.25" customHeight="1">
      <c r="A29" s="2351"/>
      <c r="B29" s="2351"/>
      <c r="C29" s="2354"/>
      <c r="D29" s="2351" t="s">
        <v>1940</v>
      </c>
      <c r="E29" s="2355" t="s">
        <v>2943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142</vt:i4>
      </vt:variant>
    </vt:vector>
  </HeadingPairs>
  <TitlesOfParts>
    <vt:vector size="186"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结果表-正常</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高层-住宅</vt:lpstr>
      <vt:lpstr>洋房-住宅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车库收益法</vt:lpstr>
      <vt:lpstr>案例分布</vt:lpstr>
      <vt:lpstr>企业可研（2017年8月版）</vt:lpstr>
      <vt:lpstr>'结果表-正常'!Print_Area</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'洋房-住宅'!住宅朝向</vt:lpstr>
      <vt:lpstr>住宅朝向</vt:lpstr>
      <vt:lpstr>'洋房-住宅'!住宅房型</vt:lpstr>
      <vt:lpstr>住宅房型</vt:lpstr>
      <vt:lpstr>'洋房-住宅'!住宅公共部分装修</vt:lpstr>
      <vt:lpstr>住宅公共部分装修</vt:lpstr>
      <vt:lpstr>'洋房-住宅'!住宅基础设施水平</vt:lpstr>
      <vt:lpstr>住宅基础设施水平</vt:lpstr>
      <vt:lpstr>'洋房-住宅'!住宅建筑结构</vt:lpstr>
      <vt:lpstr>住宅建筑结构</vt:lpstr>
      <vt:lpstr>'洋房-住宅'!住宅建筑类型</vt:lpstr>
      <vt:lpstr>住宅建筑类型</vt:lpstr>
      <vt:lpstr>'洋房-住宅'!住宅建筑品质</vt:lpstr>
      <vt:lpstr>住宅建筑品质</vt:lpstr>
      <vt:lpstr>'洋房-住宅'!住宅交易情况</vt:lpstr>
      <vt:lpstr>住宅交易情况</vt:lpstr>
      <vt:lpstr>'洋房-住宅'!住宅楼层</vt:lpstr>
      <vt:lpstr>住宅楼层</vt:lpstr>
      <vt:lpstr>'洋房-住宅'!住宅内部装修</vt:lpstr>
      <vt:lpstr>住宅内部装修</vt:lpstr>
      <vt:lpstr>'洋房-住宅'!住宅物业管理</vt:lpstr>
      <vt:lpstr>住宅物业管理</vt:lpstr>
      <vt:lpstr>'洋房-住宅'!住宅用途</vt:lpstr>
      <vt:lpstr>住宅用途</vt:lpstr>
      <vt:lpstr>'洋房-住宅'!住宅主力户型面积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2018-03-12T09:18:04Z</dcterms:modified>
</cp:coreProperties>
</file>