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12.23收资料\F03\结果\"/>
    </mc:Choice>
  </mc:AlternateContent>
  <bookViews>
    <workbookView xWindow="480" yWindow="210" windowWidth="12120" windowHeight="7620" tabRatio="875" firstSheet="15"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项目基本情况" sheetId="4" r:id="rId9"/>
    <sheet name="数据-基础表" sheetId="3" r:id="rId10"/>
    <sheet name="抵押物清单（分楼）" sheetId="42" state="hidden" r:id="rId11"/>
    <sheet name="面积规证" sheetId="69"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 sheetId="74" state="hidden" r:id="rId30"/>
    <sheet name="定义" sheetId="10" state="hidden" r:id="rId31"/>
    <sheet name="不动产收益法"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不动产收益法（商业）" sheetId="70" state="hidden" r:id="rId41"/>
    <sheet name="不动产收益法（仓储）" sheetId="72" r:id="rId42"/>
    <sheet name="不动产收益法（车库）" sheetId="71" r:id="rId43"/>
    <sheet name="土地案例" sheetId="68" r:id="rId44"/>
    <sheet name="Sheet1" sheetId="73" state="hidden" r:id="rId45"/>
    <sheet name="典型户型修正" sheetId="31" state="hidden" r:id="rId46"/>
    <sheet name="存贷款利率" sheetId="65" state="hidden" r:id="rId47"/>
  </sheets>
  <externalReferences>
    <externalReference r:id="rId48"/>
    <externalReference r:id="rId49"/>
  </externalReference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9" hidden="1">'数据-基础表'!$A$12:$AT$572</definedName>
    <definedName name="_xlnm._FilterDatabase" localSheetId="8" hidden="1">项目基本情况!$A$48:$N$48</definedName>
    <definedName name="_xlnm.Print_Area" localSheetId="17">'比较法-住宅、综合'!$A$1:$K$68</definedName>
    <definedName name="_xlnm.Print_Area" localSheetId="29">'不动产收益）'!$A$1:$F$43</definedName>
    <definedName name="_xlnm.Print_Area" localSheetId="31">不动产收益法!$A$1:$F$43</definedName>
    <definedName name="_xlnm.Print_Area" localSheetId="41">'不动产收益法（仓储）'!$A$1:$F$43</definedName>
    <definedName name="_xlnm.Print_Area" localSheetId="42">'不动产收益法（车库）'!$A$1:$F$43</definedName>
    <definedName name="_xlnm.Print_Area" localSheetId="40">'不动产收益法（商业）'!$A$1:$F$43</definedName>
    <definedName name="_xlnm.Print_Area" localSheetId="14">估价对象房地状况!$A$1:$G$24</definedName>
    <definedName name="_xlnm.Print_Area" localSheetId="16">结果表!$A$1:$I$60</definedName>
    <definedName name="_xlnm.Print_Area" localSheetId="18">'剩余法-待开发'!$A$1:$K$37</definedName>
    <definedName name="_xlnm.Print_Area" localSheetId="12">'数据-汇总表'!$A$1:$I$32</definedName>
    <definedName name="_xlnm.Print_Area" localSheetId="8">项目基本情况!$A$1:$I$45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G296" i="69" l="1"/>
  <c r="I296" i="69"/>
  <c r="K296" i="69"/>
  <c r="K295" i="69"/>
  <c r="I295" i="69"/>
  <c r="G295" i="69"/>
  <c r="K282" i="69"/>
  <c r="I282" i="69"/>
  <c r="J282" i="69"/>
  <c r="H282" i="69"/>
  <c r="C3" i="65" l="1"/>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P75" i="71"/>
  <c r="Q73" i="71"/>
  <c r="P62" i="71"/>
  <c r="F61" i="71"/>
  <c r="Q60" i="71"/>
  <c r="F60" i="71"/>
  <c r="D60" i="71"/>
  <c r="Q59" i="71"/>
  <c r="K59" i="71"/>
  <c r="F59" i="71"/>
  <c r="F58" i="71"/>
  <c r="Q52" i="71"/>
  <c r="J51" i="71"/>
  <c r="J50" i="71"/>
  <c r="M47" i="71"/>
  <c r="L46" i="71"/>
  <c r="F34" i="71"/>
  <c r="F33" i="71"/>
  <c r="F32" i="71"/>
  <c r="F31" i="71"/>
  <c r="F28" i="71"/>
  <c r="C28" i="71"/>
  <c r="D24" i="71"/>
  <c r="F23" i="71"/>
  <c r="D23" i="71"/>
  <c r="D22" i="71"/>
  <c r="F21" i="71"/>
  <c r="M20" i="71"/>
  <c r="F20" i="71"/>
  <c r="M19" i="71"/>
  <c r="M18" i="71"/>
  <c r="F18" i="71"/>
  <c r="M17" i="71"/>
  <c r="F17" i="71"/>
  <c r="F15" i="71"/>
  <c r="G1" i="71"/>
  <c r="P75" i="72"/>
  <c r="Q73" i="72"/>
  <c r="P62" i="72"/>
  <c r="F61" i="72"/>
  <c r="Q60" i="72"/>
  <c r="F60" i="72"/>
  <c r="D60" i="72"/>
  <c r="Q59" i="72"/>
  <c r="K59" i="72"/>
  <c r="F59" i="72"/>
  <c r="F58" i="72"/>
  <c r="Q52" i="72"/>
  <c r="J51" i="72"/>
  <c r="J50" i="72"/>
  <c r="M47" i="72"/>
  <c r="L46" i="72"/>
  <c r="F34" i="72"/>
  <c r="F33" i="72"/>
  <c r="F32" i="72"/>
  <c r="F31" i="72"/>
  <c r="F28" i="72"/>
  <c r="C28" i="72"/>
  <c r="D24" i="72"/>
  <c r="F23" i="72"/>
  <c r="D23" i="72"/>
  <c r="D22" i="72"/>
  <c r="F21" i="72"/>
  <c r="M20" i="72"/>
  <c r="F20" i="72"/>
  <c r="M19" i="72"/>
  <c r="M18" i="72"/>
  <c r="F18" i="72"/>
  <c r="M17" i="72"/>
  <c r="F17" i="72"/>
  <c r="F15" i="72"/>
  <c r="G1" i="72"/>
  <c r="P75" i="70"/>
  <c r="Q73" i="70"/>
  <c r="P62" i="70"/>
  <c r="F61" i="70"/>
  <c r="Q60" i="70"/>
  <c r="F60" i="70"/>
  <c r="D60" i="70"/>
  <c r="Q59" i="70"/>
  <c r="K59" i="70"/>
  <c r="F59" i="70"/>
  <c r="F58" i="70"/>
  <c r="Q52" i="70"/>
  <c r="J51" i="70"/>
  <c r="J50" i="70"/>
  <c r="M47" i="70"/>
  <c r="L46" i="70"/>
  <c r="F34" i="70"/>
  <c r="F33" i="70"/>
  <c r="F32" i="70"/>
  <c r="F31" i="70"/>
  <c r="F28" i="70"/>
  <c r="C28" i="70"/>
  <c r="D24" i="70"/>
  <c r="F23" i="70"/>
  <c r="D23" i="70"/>
  <c r="D22" i="70"/>
  <c r="F21" i="70"/>
  <c r="M20" i="70"/>
  <c r="F20" i="70"/>
  <c r="M19" i="70"/>
  <c r="M18" i="70"/>
  <c r="F18" i="70"/>
  <c r="M17" i="70"/>
  <c r="F17" i="70"/>
  <c r="F15" i="70"/>
  <c r="G1" i="7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22" i="11"/>
  <c r="F18" i="11"/>
  <c r="C18" i="11"/>
  <c r="G17" i="11"/>
  <c r="E13" i="11"/>
  <c r="D13" i="11"/>
  <c r="C13" i="11"/>
  <c r="E12" i="11"/>
  <c r="D12" i="11"/>
  <c r="C12" i="11"/>
  <c r="C11" i="11"/>
  <c r="E10" i="11"/>
  <c r="D10" i="11"/>
  <c r="C10"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P75" i="15"/>
  <c r="Q73" i="15"/>
  <c r="P62" i="15"/>
  <c r="F61" i="15"/>
  <c r="Q60" i="15"/>
  <c r="F60" i="15"/>
  <c r="D60" i="15"/>
  <c r="Q59" i="15"/>
  <c r="K59" i="15"/>
  <c r="F59" i="15"/>
  <c r="F58" i="15"/>
  <c r="I54"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C57" i="10"/>
  <c r="C56" i="10"/>
  <c r="C55" i="10"/>
  <c r="C54" i="10"/>
  <c r="C53" i="10"/>
  <c r="D51" i="10"/>
  <c r="C51" i="10"/>
  <c r="B51" i="10"/>
  <c r="P75" i="74"/>
  <c r="Q73" i="74"/>
  <c r="P62" i="74"/>
  <c r="F61" i="74"/>
  <c r="Q60" i="74"/>
  <c r="F60" i="74"/>
  <c r="D60" i="74"/>
  <c r="Q59" i="74"/>
  <c r="K59" i="74"/>
  <c r="F59" i="74"/>
  <c r="F58" i="74"/>
  <c r="I54" i="74"/>
  <c r="Q52" i="74"/>
  <c r="J51" i="74"/>
  <c r="J50" i="74"/>
  <c r="M47" i="74"/>
  <c r="L46" i="74"/>
  <c r="F34" i="74"/>
  <c r="F33" i="74"/>
  <c r="F32" i="74"/>
  <c r="F31" i="74"/>
  <c r="F28" i="74"/>
  <c r="C28" i="74"/>
  <c r="D24" i="74"/>
  <c r="F23" i="74"/>
  <c r="D23" i="74"/>
  <c r="D22" i="74"/>
  <c r="F21" i="74"/>
  <c r="M20" i="74"/>
  <c r="F20" i="74"/>
  <c r="M19" i="74"/>
  <c r="M18" i="74"/>
  <c r="F18" i="74"/>
  <c r="M17" i="74"/>
  <c r="F17" i="74"/>
  <c r="F15" i="74"/>
  <c r="G1" i="74"/>
  <c r="D72" i="59"/>
  <c r="F71" i="59"/>
  <c r="E71" i="59"/>
  <c r="D71" i="59"/>
  <c r="C71" i="59"/>
  <c r="B71" i="59"/>
  <c r="F70" i="59"/>
  <c r="E70" i="59"/>
  <c r="D70" i="59"/>
  <c r="C70" i="59"/>
  <c r="B70" i="59"/>
  <c r="F69" i="59"/>
  <c r="E69" i="59"/>
  <c r="D69" i="59"/>
  <c r="C69" i="59"/>
  <c r="B69" i="59"/>
  <c r="D68" i="59"/>
  <c r="F67" i="59"/>
  <c r="E67" i="59"/>
  <c r="D67" i="59"/>
  <c r="C67" i="59"/>
  <c r="B67" i="59"/>
  <c r="F66" i="59"/>
  <c r="E66" i="59"/>
  <c r="D66" i="59"/>
  <c r="C66" i="59"/>
  <c r="B66" i="59"/>
  <c r="F65" i="59"/>
  <c r="E65" i="59"/>
  <c r="D65" i="59"/>
  <c r="C65" i="59"/>
  <c r="B65" i="59"/>
  <c r="D64" i="59"/>
  <c r="V63" i="59"/>
  <c r="U63" i="59"/>
  <c r="T63" i="59"/>
  <c r="S63" i="59"/>
  <c r="Q63" i="59"/>
  <c r="P63" i="59"/>
  <c r="O63" i="59"/>
  <c r="N63" i="59"/>
  <c r="F63" i="59"/>
  <c r="E63" i="59"/>
  <c r="D63" i="59"/>
  <c r="C63" i="59"/>
  <c r="B63" i="59"/>
  <c r="Q62" i="59"/>
  <c r="P62" i="59"/>
  <c r="O62" i="59"/>
  <c r="N62" i="59"/>
  <c r="F62" i="59"/>
  <c r="E62" i="59"/>
  <c r="D62" i="59"/>
  <c r="C62" i="59"/>
  <c r="B62" i="59"/>
  <c r="Q61" i="59"/>
  <c r="P61" i="59"/>
  <c r="O61" i="59"/>
  <c r="N61" i="59"/>
  <c r="F61" i="59"/>
  <c r="E61" i="59"/>
  <c r="D61" i="59"/>
  <c r="C61" i="59"/>
  <c r="B61" i="59"/>
  <c r="Q60" i="59"/>
  <c r="P60" i="59"/>
  <c r="O60" i="59"/>
  <c r="N60" i="59"/>
  <c r="D60" i="59"/>
  <c r="V59" i="59"/>
  <c r="U59" i="59"/>
  <c r="T59" i="59"/>
  <c r="S59" i="59"/>
  <c r="Q59" i="59"/>
  <c r="P59" i="59"/>
  <c r="O59" i="59"/>
  <c r="N59" i="59"/>
  <c r="F59" i="59"/>
  <c r="E59" i="59"/>
  <c r="D59" i="59"/>
  <c r="C59" i="59"/>
  <c r="B59" i="59"/>
  <c r="Q58" i="59"/>
  <c r="P58" i="59"/>
  <c r="O58" i="59"/>
  <c r="N58" i="59"/>
  <c r="F58" i="59"/>
  <c r="E58" i="59"/>
  <c r="D58" i="59"/>
  <c r="C58" i="59"/>
  <c r="B58" i="59"/>
  <c r="Q57" i="59"/>
  <c r="P57" i="59"/>
  <c r="O57" i="59"/>
  <c r="N57" i="59"/>
  <c r="F57" i="59"/>
  <c r="E57" i="59"/>
  <c r="D57" i="59"/>
  <c r="C57" i="59"/>
  <c r="B57" i="59"/>
  <c r="Q56" i="59"/>
  <c r="P56" i="59"/>
  <c r="O56" i="59"/>
  <c r="N56" i="59"/>
  <c r="D56" i="59"/>
  <c r="V55" i="59"/>
  <c r="U55" i="59"/>
  <c r="T55" i="59"/>
  <c r="S55" i="59"/>
  <c r="Q55" i="59"/>
  <c r="P55" i="59"/>
  <c r="O55" i="59"/>
  <c r="N55" i="59"/>
  <c r="F55" i="59"/>
  <c r="E55" i="59"/>
  <c r="D55" i="59"/>
  <c r="C55" i="59"/>
  <c r="B55" i="59"/>
  <c r="Q54" i="59"/>
  <c r="P54" i="59"/>
  <c r="O54" i="59"/>
  <c r="N54" i="59"/>
  <c r="F54" i="59"/>
  <c r="E54" i="59"/>
  <c r="D54" i="59"/>
  <c r="C54" i="59"/>
  <c r="B54" i="59"/>
  <c r="Q53" i="59"/>
  <c r="P53" i="59"/>
  <c r="O53" i="59"/>
  <c r="N53" i="59"/>
  <c r="F53" i="59"/>
  <c r="E53" i="59"/>
  <c r="D53" i="59"/>
  <c r="C53" i="59"/>
  <c r="B53" i="59"/>
  <c r="Q52" i="59"/>
  <c r="P52" i="59"/>
  <c r="O52" i="59"/>
  <c r="N52" i="59"/>
  <c r="D52" i="59"/>
  <c r="V51" i="59"/>
  <c r="U51" i="59"/>
  <c r="T51" i="59"/>
  <c r="S51" i="59"/>
  <c r="Q51" i="59"/>
  <c r="P51" i="59"/>
  <c r="O51" i="59"/>
  <c r="N51" i="59"/>
  <c r="F51" i="59"/>
  <c r="E51" i="59"/>
  <c r="D51" i="59"/>
  <c r="C51" i="59"/>
  <c r="B51" i="59"/>
  <c r="Q50" i="59"/>
  <c r="P50" i="59"/>
  <c r="O50" i="59"/>
  <c r="N50" i="59"/>
  <c r="F50" i="59"/>
  <c r="E50" i="59"/>
  <c r="D50" i="59"/>
  <c r="C50" i="59"/>
  <c r="B50" i="59"/>
  <c r="Q49" i="59"/>
  <c r="P49" i="59"/>
  <c r="O49" i="59"/>
  <c r="N49" i="59"/>
  <c r="F49" i="59"/>
  <c r="E49" i="59"/>
  <c r="D49" i="59"/>
  <c r="C49" i="59"/>
  <c r="B49" i="59"/>
  <c r="Q48" i="59"/>
  <c r="P48" i="59"/>
  <c r="O48" i="59"/>
  <c r="N48" i="59"/>
  <c r="D48" i="59"/>
  <c r="V47" i="59"/>
  <c r="U47" i="59"/>
  <c r="T47" i="59"/>
  <c r="S47" i="59"/>
  <c r="Q47" i="59"/>
  <c r="P47" i="59"/>
  <c r="O47" i="59"/>
  <c r="N47" i="59"/>
  <c r="F47" i="59"/>
  <c r="E47" i="59"/>
  <c r="D47" i="59"/>
  <c r="C47" i="59"/>
  <c r="B47" i="59"/>
  <c r="Q46" i="59"/>
  <c r="P46" i="59"/>
  <c r="O46" i="59"/>
  <c r="N46" i="59"/>
  <c r="F46" i="59"/>
  <c r="E46" i="59"/>
  <c r="D46" i="59"/>
  <c r="C46" i="59"/>
  <c r="B46" i="59"/>
  <c r="Q45" i="59"/>
  <c r="P45" i="59"/>
  <c r="O45" i="59"/>
  <c r="N45" i="59"/>
  <c r="F45" i="59"/>
  <c r="E45" i="59"/>
  <c r="D45" i="59"/>
  <c r="C45" i="59"/>
  <c r="B45" i="59"/>
  <c r="Q44" i="59"/>
  <c r="P44" i="59"/>
  <c r="O44" i="59"/>
  <c r="N44" i="59"/>
  <c r="D44" i="59"/>
  <c r="V43" i="59"/>
  <c r="U43" i="59"/>
  <c r="T43" i="59"/>
  <c r="S43" i="59"/>
  <c r="Q43" i="59"/>
  <c r="P43" i="59"/>
  <c r="O43" i="59"/>
  <c r="N43" i="59"/>
  <c r="F43" i="59"/>
  <c r="E43" i="59"/>
  <c r="D43" i="59"/>
  <c r="C43" i="59"/>
  <c r="B43" i="59"/>
  <c r="Q42" i="59"/>
  <c r="P42" i="59"/>
  <c r="O42" i="59"/>
  <c r="N42" i="59"/>
  <c r="F42" i="59"/>
  <c r="E42" i="59"/>
  <c r="D42" i="59"/>
  <c r="C42" i="59"/>
  <c r="B42" i="59"/>
  <c r="Q41" i="59"/>
  <c r="P41" i="59"/>
  <c r="O41" i="59"/>
  <c r="N41" i="59"/>
  <c r="F41" i="59"/>
  <c r="E41" i="59"/>
  <c r="D41" i="59"/>
  <c r="C41" i="59"/>
  <c r="B41" i="59"/>
  <c r="Q40" i="59"/>
  <c r="P40" i="59"/>
  <c r="O40" i="59"/>
  <c r="N40" i="59"/>
  <c r="D40" i="59"/>
  <c r="V39" i="59"/>
  <c r="U39" i="59"/>
  <c r="T39" i="59"/>
  <c r="S39" i="59"/>
  <c r="Q39" i="59"/>
  <c r="P39" i="59"/>
  <c r="O39" i="59"/>
  <c r="N39" i="59"/>
  <c r="F39" i="59"/>
  <c r="E39" i="59"/>
  <c r="D39" i="59"/>
  <c r="C39" i="59"/>
  <c r="B39" i="59"/>
  <c r="Q38" i="59"/>
  <c r="P38" i="59"/>
  <c r="O38" i="59"/>
  <c r="N38" i="59"/>
  <c r="F38" i="59"/>
  <c r="E38" i="59"/>
  <c r="D38" i="59"/>
  <c r="C38" i="59"/>
  <c r="B38" i="59"/>
  <c r="Q37" i="59"/>
  <c r="P37" i="59"/>
  <c r="O37" i="59"/>
  <c r="N37" i="59"/>
  <c r="F37" i="59"/>
  <c r="E37" i="59"/>
  <c r="D37" i="59"/>
  <c r="C37" i="59"/>
  <c r="B37" i="59"/>
  <c r="Q36" i="59"/>
  <c r="P36" i="59"/>
  <c r="O36" i="59"/>
  <c r="N36" i="59"/>
  <c r="D36" i="59"/>
  <c r="V35" i="59"/>
  <c r="U35" i="59"/>
  <c r="T35" i="59"/>
  <c r="S35" i="59"/>
  <c r="Q35" i="59"/>
  <c r="P35" i="59"/>
  <c r="O35" i="59"/>
  <c r="N35" i="59"/>
  <c r="F35" i="59"/>
  <c r="E35" i="59"/>
  <c r="D35" i="59"/>
  <c r="C35" i="59"/>
  <c r="B35" i="59"/>
  <c r="Q34" i="59"/>
  <c r="P34" i="59"/>
  <c r="O34" i="59"/>
  <c r="N34" i="59"/>
  <c r="F34" i="59"/>
  <c r="E34" i="59"/>
  <c r="D34" i="59"/>
  <c r="C34" i="59"/>
  <c r="B34" i="59"/>
  <c r="Q33" i="59"/>
  <c r="P33" i="59"/>
  <c r="O33" i="59"/>
  <c r="N33" i="59"/>
  <c r="F33" i="59"/>
  <c r="E33" i="59"/>
  <c r="D33" i="59"/>
  <c r="C33" i="59"/>
  <c r="B33" i="59"/>
  <c r="Q32" i="59"/>
  <c r="P32" i="59"/>
  <c r="O32" i="59"/>
  <c r="N32" i="59"/>
  <c r="D32" i="59"/>
  <c r="V31" i="59"/>
  <c r="U31" i="59"/>
  <c r="T31" i="59"/>
  <c r="S31" i="59"/>
  <c r="Q31" i="59"/>
  <c r="P31" i="59"/>
  <c r="O31" i="59"/>
  <c r="N31" i="59"/>
  <c r="F31" i="59"/>
  <c r="E31" i="59"/>
  <c r="D31" i="59"/>
  <c r="B31" i="59"/>
  <c r="Q30" i="59"/>
  <c r="P30" i="59"/>
  <c r="O30" i="59"/>
  <c r="N30" i="59"/>
  <c r="F30" i="59"/>
  <c r="E30" i="59"/>
  <c r="D30" i="59"/>
  <c r="C30" i="59"/>
  <c r="B30" i="59"/>
  <c r="Q29" i="59"/>
  <c r="P29" i="59"/>
  <c r="O29" i="59"/>
  <c r="N29" i="59"/>
  <c r="F29" i="59"/>
  <c r="E29" i="59"/>
  <c r="D29" i="59"/>
  <c r="C29" i="59"/>
  <c r="B29" i="59"/>
  <c r="Q28" i="59"/>
  <c r="P28" i="59"/>
  <c r="O28" i="59"/>
  <c r="N28" i="59"/>
  <c r="D28" i="59"/>
  <c r="V27" i="59"/>
  <c r="U27" i="59"/>
  <c r="T27" i="59"/>
  <c r="S27" i="59"/>
  <c r="Q27" i="59"/>
  <c r="P27" i="59"/>
  <c r="O27" i="59"/>
  <c r="N27" i="59"/>
  <c r="F27" i="59"/>
  <c r="E27" i="59"/>
  <c r="D27" i="59"/>
  <c r="C27" i="59"/>
  <c r="B27" i="59"/>
  <c r="Q26" i="59"/>
  <c r="P26" i="59"/>
  <c r="O26" i="59"/>
  <c r="N26" i="59"/>
  <c r="F26" i="59"/>
  <c r="E26" i="59"/>
  <c r="D26" i="59"/>
  <c r="C26" i="59"/>
  <c r="B26" i="59"/>
  <c r="Q25" i="59"/>
  <c r="P25" i="59"/>
  <c r="O25" i="59"/>
  <c r="N25" i="59"/>
  <c r="F25" i="59"/>
  <c r="E25" i="59"/>
  <c r="D25" i="59"/>
  <c r="C25" i="59"/>
  <c r="B25" i="59"/>
  <c r="Q24" i="59"/>
  <c r="P24" i="59"/>
  <c r="O24" i="59"/>
  <c r="N24" i="59"/>
  <c r="D24" i="59"/>
  <c r="AH23" i="59"/>
  <c r="AG23" i="59"/>
  <c r="AF23" i="59"/>
  <c r="AE23" i="59"/>
  <c r="AD23" i="59"/>
  <c r="V23" i="59"/>
  <c r="U23" i="59"/>
  <c r="T23" i="59"/>
  <c r="S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D20" i="59"/>
  <c r="AH19" i="59"/>
  <c r="AG19" i="59"/>
  <c r="AF19" i="59"/>
  <c r="AE19" i="59"/>
  <c r="AD19" i="59"/>
  <c r="AB19" i="59"/>
  <c r="AA19" i="59"/>
  <c r="Z19" i="59"/>
  <c r="Y19" i="59"/>
  <c r="X19" i="59"/>
  <c r="V19" i="59"/>
  <c r="U19" i="59"/>
  <c r="T19" i="59"/>
  <c r="S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D16" i="59"/>
  <c r="AH15" i="59"/>
  <c r="AG15" i="59"/>
  <c r="AF15" i="59"/>
  <c r="AE15" i="59"/>
  <c r="AD15" i="59"/>
  <c r="AB15" i="59"/>
  <c r="AA15" i="59"/>
  <c r="Z15" i="59"/>
  <c r="Y15" i="59"/>
  <c r="X15" i="59"/>
  <c r="V15" i="59"/>
  <c r="U15" i="59"/>
  <c r="T15" i="59"/>
  <c r="S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D12" i="59"/>
  <c r="AH11" i="59"/>
  <c r="AG11" i="59"/>
  <c r="AF11" i="59"/>
  <c r="AE11" i="59"/>
  <c r="AD11" i="59"/>
  <c r="AB11" i="59"/>
  <c r="AA11" i="59"/>
  <c r="Z11" i="59"/>
  <c r="Y11" i="59"/>
  <c r="X11" i="59"/>
  <c r="V11" i="59"/>
  <c r="U11" i="59"/>
  <c r="T11" i="59"/>
  <c r="S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D8" i="59"/>
  <c r="AH7" i="59"/>
  <c r="AG7" i="59"/>
  <c r="AF7" i="59"/>
  <c r="AE7" i="59"/>
  <c r="AD7" i="59"/>
  <c r="AB7" i="59"/>
  <c r="AA7" i="59"/>
  <c r="Z7" i="59"/>
  <c r="Y7" i="59"/>
  <c r="X7" i="59"/>
  <c r="V7" i="59"/>
  <c r="U7" i="59"/>
  <c r="T7" i="59"/>
  <c r="S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H16" i="48"/>
  <c r="H15" i="48"/>
  <c r="H14" i="48"/>
  <c r="H13" i="48"/>
  <c r="H12" i="48"/>
  <c r="H11" i="48"/>
  <c r="H10" i="48"/>
  <c r="H9" i="48"/>
  <c r="H8" i="48"/>
  <c r="H7" i="48"/>
  <c r="H6" i="48"/>
  <c r="H5" i="48"/>
  <c r="H61" i="49"/>
  <c r="H113" i="46"/>
  <c r="F113" i="46"/>
  <c r="N108" i="46"/>
  <c r="M108" i="46"/>
  <c r="L108" i="46"/>
  <c r="K108" i="46"/>
  <c r="J108" i="46"/>
  <c r="I108" i="46"/>
  <c r="H108" i="46"/>
  <c r="G108" i="46"/>
  <c r="F108" i="46"/>
  <c r="E108" i="46"/>
  <c r="D108" i="46"/>
  <c r="C108"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I39" i="46"/>
  <c r="H39" i="46"/>
  <c r="G39" i="46"/>
  <c r="F39" i="46"/>
  <c r="E39" i="46"/>
  <c r="C39" i="46"/>
  <c r="I38" i="46"/>
  <c r="H38" i="46"/>
  <c r="G38" i="46"/>
  <c r="F38" i="46"/>
  <c r="E38" i="46"/>
  <c r="C38" i="46"/>
  <c r="I37" i="46"/>
  <c r="H37" i="46"/>
  <c r="G37" i="46"/>
  <c r="F37" i="46"/>
  <c r="E37" i="46"/>
  <c r="C37" i="46"/>
  <c r="I36" i="46"/>
  <c r="H36" i="46"/>
  <c r="G36" i="46"/>
  <c r="F36" i="46"/>
  <c r="E36" i="46"/>
  <c r="C36" i="46"/>
  <c r="I35" i="46"/>
  <c r="H35" i="46"/>
  <c r="G35" i="46"/>
  <c r="F35" i="46"/>
  <c r="E35" i="46"/>
  <c r="C35" i="46"/>
  <c r="I34" i="46"/>
  <c r="H34" i="46"/>
  <c r="G34" i="46"/>
  <c r="F34" i="46"/>
  <c r="E34" i="46"/>
  <c r="C34" i="46"/>
  <c r="I33" i="46"/>
  <c r="H33" i="46"/>
  <c r="G33" i="46"/>
  <c r="F33" i="46"/>
  <c r="E33" i="46"/>
  <c r="C33" i="46"/>
  <c r="P25" i="46"/>
  <c r="P24" i="46"/>
  <c r="C24" i="46"/>
  <c r="P23" i="46"/>
  <c r="P22" i="46"/>
  <c r="P21" i="46"/>
  <c r="M20" i="46"/>
  <c r="J20" i="46"/>
  <c r="I20" i="46"/>
  <c r="G20" i="46"/>
  <c r="C20" i="46"/>
  <c r="O19" i="46"/>
  <c r="M19" i="46"/>
  <c r="I19" i="46"/>
  <c r="G19" i="46"/>
  <c r="C19" i="46"/>
  <c r="C18" i="46"/>
  <c r="J17" i="46"/>
  <c r="I17" i="46"/>
  <c r="H17" i="46"/>
  <c r="G17" i="46"/>
  <c r="E17" i="46"/>
  <c r="C17" i="46"/>
  <c r="V16" i="46"/>
  <c r="T16" i="46"/>
  <c r="C16" i="46"/>
  <c r="V15" i="46"/>
  <c r="T15" i="46"/>
  <c r="F15" i="46"/>
  <c r="E15" i="46"/>
  <c r="D15" i="46"/>
  <c r="C15" i="46"/>
  <c r="V14" i="46"/>
  <c r="T14" i="46"/>
  <c r="V13" i="46"/>
  <c r="T13" i="46"/>
  <c r="AJ12" i="46"/>
  <c r="AI12" i="46"/>
  <c r="AH12" i="46"/>
  <c r="AG12" i="46"/>
  <c r="AF12" i="46"/>
  <c r="AE12" i="46"/>
  <c r="AD12" i="46"/>
  <c r="AC12" i="46"/>
  <c r="AB12" i="46"/>
  <c r="AA12" i="46"/>
  <c r="Z12" i="46"/>
  <c r="Y12" i="46"/>
  <c r="V12" i="46"/>
  <c r="T12" i="46"/>
  <c r="N12" i="46"/>
  <c r="M12" i="46"/>
  <c r="C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X7" i="46"/>
  <c r="N7" i="46"/>
  <c r="M7" i="46"/>
  <c r="C7" i="46"/>
  <c r="A7" i="46"/>
  <c r="N6" i="46"/>
  <c r="M6" i="46"/>
  <c r="C6" i="46"/>
  <c r="N5" i="46"/>
  <c r="M5" i="46"/>
  <c r="D5" i="46"/>
  <c r="C5" i="46"/>
  <c r="N4" i="46"/>
  <c r="M4" i="46"/>
  <c r="N3" i="46"/>
  <c r="M3" i="46"/>
  <c r="G3" i="46"/>
  <c r="G101" i="46" s="1"/>
  <c r="G104" i="46" s="1"/>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F31" i="43"/>
  <c r="C31" i="43"/>
  <c r="C29" i="43"/>
  <c r="F27" i="43"/>
  <c r="C27" i="43"/>
  <c r="F24" i="43"/>
  <c r="C26" i="43" s="1"/>
  <c r="D24" i="43" s="1"/>
  <c r="G23" i="43"/>
  <c r="G22" i="43"/>
  <c r="G21" i="43"/>
  <c r="F20" i="43"/>
  <c r="C20" i="43"/>
  <c r="F19" i="43"/>
  <c r="F17" i="43"/>
  <c r="E16" i="43"/>
  <c r="D16" i="43"/>
  <c r="C16" i="43" s="1"/>
  <c r="F15" i="43"/>
  <c r="C15" i="43"/>
  <c r="F14" i="43"/>
  <c r="C13" i="43"/>
  <c r="C14" i="43" s="1"/>
  <c r="K9" i="43"/>
  <c r="J9" i="43"/>
  <c r="I9" i="43"/>
  <c r="H9" i="43"/>
  <c r="G9" i="43"/>
  <c r="F9" i="43"/>
  <c r="E9" i="43"/>
  <c r="D9" i="43"/>
  <c r="C9" i="43"/>
  <c r="C6" i="43"/>
  <c r="K1" i="43"/>
  <c r="D42" i="12"/>
  <c r="C42" i="12"/>
  <c r="F33" i="12"/>
  <c r="C34" i="12" s="1"/>
  <c r="D33" i="12" s="1"/>
  <c r="F29" i="12"/>
  <c r="G28" i="12"/>
  <c r="G27" i="12"/>
  <c r="G26" i="12"/>
  <c r="F25" i="12"/>
  <c r="C25" i="12"/>
  <c r="F24" i="12"/>
  <c r="F23" i="12"/>
  <c r="E22" i="12"/>
  <c r="D22" i="12"/>
  <c r="C22" i="12" s="1"/>
  <c r="E21" i="12"/>
  <c r="D21" i="12"/>
  <c r="C21" i="12" s="1"/>
  <c r="E19" i="12"/>
  <c r="F17" i="12"/>
  <c r="E16" i="12"/>
  <c r="D16" i="12"/>
  <c r="D19" i="12" s="1"/>
  <c r="C19" i="12" s="1"/>
  <c r="F15" i="12"/>
  <c r="C15" i="12"/>
  <c r="F14" i="12"/>
  <c r="C13" i="12"/>
  <c r="C14" i="12" s="1"/>
  <c r="I10" i="12"/>
  <c r="D10" i="12"/>
  <c r="C10" i="12"/>
  <c r="K9" i="12"/>
  <c r="J9" i="12"/>
  <c r="I9" i="12"/>
  <c r="H9" i="12"/>
  <c r="G9" i="12"/>
  <c r="F9" i="12"/>
  <c r="E9" i="12"/>
  <c r="D9" i="12"/>
  <c r="C9" i="12"/>
  <c r="I8" i="12"/>
  <c r="D8" i="12"/>
  <c r="K1" i="12"/>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N73" i="39"/>
  <c r="M73" i="39"/>
  <c r="L73" i="39"/>
  <c r="K73" i="39"/>
  <c r="J73" i="39"/>
  <c r="I73" i="39"/>
  <c r="H73" i="39"/>
  <c r="G73" i="39"/>
  <c r="F73" i="39"/>
  <c r="E73" i="39"/>
  <c r="D73"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E68" i="39"/>
  <c r="I67" i="39"/>
  <c r="H67" i="39"/>
  <c r="E67" i="39"/>
  <c r="C67" i="39"/>
  <c r="I66" i="39"/>
  <c r="H66" i="39"/>
  <c r="E66" i="39"/>
  <c r="C66" i="39"/>
  <c r="I65" i="39"/>
  <c r="H65" i="39"/>
  <c r="E65" i="39"/>
  <c r="C65" i="39"/>
  <c r="I64" i="39"/>
  <c r="H64" i="39"/>
  <c r="E64" i="39"/>
  <c r="C64" i="39"/>
  <c r="I63" i="39"/>
  <c r="H63" i="39"/>
  <c r="E63" i="39"/>
  <c r="C63" i="39"/>
  <c r="I62" i="39"/>
  <c r="H62" i="39"/>
  <c r="C62" i="39"/>
  <c r="I61" i="39"/>
  <c r="H61" i="39"/>
  <c r="C61" i="39"/>
  <c r="I60" i="39"/>
  <c r="H60" i="39"/>
  <c r="C60" i="39"/>
  <c r="I59" i="39"/>
  <c r="H59" i="39"/>
  <c r="E59" i="39"/>
  <c r="C59" i="39"/>
  <c r="E58" i="39"/>
  <c r="J57" i="39"/>
  <c r="J55" i="39"/>
  <c r="I55" i="39"/>
  <c r="H55" i="39"/>
  <c r="G55" i="39"/>
  <c r="F55" i="39"/>
  <c r="E55" i="39"/>
  <c r="P50" i="39"/>
  <c r="P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Z40" i="39"/>
  <c r="Q40" i="39"/>
  <c r="I40" i="39"/>
  <c r="G40" i="39"/>
  <c r="E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Z13" i="39"/>
  <c r="Q13" i="39"/>
  <c r="I13" i="39"/>
  <c r="G13" i="39"/>
  <c r="E13" i="39"/>
  <c r="AC12" i="39"/>
  <c r="AB12" i="39"/>
  <c r="AA12" i="39"/>
  <c r="Z12" i="39"/>
  <c r="W12" i="39"/>
  <c r="U12" i="39"/>
  <c r="S12" i="39"/>
  <c r="Q12" i="39"/>
  <c r="J12" i="39"/>
  <c r="H12" i="39"/>
  <c r="F12" i="39"/>
  <c r="C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C112" i="9"/>
  <c r="D111" i="9"/>
  <c r="C110" i="9"/>
  <c r="C109" i="9"/>
  <c r="E108" i="9"/>
  <c r="D107" i="9"/>
  <c r="C107" i="9"/>
  <c r="C105" i="9"/>
  <c r="D96" i="9"/>
  <c r="H95" i="9"/>
  <c r="D95" i="9"/>
  <c r="C95" i="9"/>
  <c r="C94" i="9"/>
  <c r="C92" i="9"/>
  <c r="D86" i="9"/>
  <c r="K81" i="9"/>
  <c r="K79" i="9"/>
  <c r="K77" i="9"/>
  <c r="F77" i="9"/>
  <c r="E77" i="9"/>
  <c r="O76" i="9"/>
  <c r="N76" i="9"/>
  <c r="L76" i="9"/>
  <c r="K76" i="9"/>
  <c r="P75" i="9"/>
  <c r="O75" i="9"/>
  <c r="L75" i="9"/>
  <c r="K75" i="9"/>
  <c r="P74" i="9"/>
  <c r="O74" i="9"/>
  <c r="F74" i="9"/>
  <c r="P73" i="9"/>
  <c r="O73" i="9"/>
  <c r="N73" i="9"/>
  <c r="I73" i="9"/>
  <c r="F73" i="9"/>
  <c r="D73" i="9"/>
  <c r="P72" i="9"/>
  <c r="O72" i="9"/>
  <c r="F72" i="9"/>
  <c r="F71" i="9"/>
  <c r="F70" i="9"/>
  <c r="N67" i="9"/>
  <c r="F66" i="9"/>
  <c r="E66" i="9"/>
  <c r="K47" i="9"/>
  <c r="D46" i="9"/>
  <c r="C46" i="9"/>
  <c r="A46" i="9"/>
  <c r="D45" i="9"/>
  <c r="C45" i="9"/>
  <c r="A45" i="9"/>
  <c r="M44" i="9"/>
  <c r="K44" i="9"/>
  <c r="A44" i="9"/>
  <c r="M43" i="9"/>
  <c r="K43" i="9"/>
  <c r="C43" i="9"/>
  <c r="O41" i="9"/>
  <c r="K41" i="9"/>
  <c r="O40" i="9"/>
  <c r="K40" i="9"/>
  <c r="K39" i="9"/>
  <c r="L38" i="9"/>
  <c r="K34" i="9"/>
  <c r="K33" i="9"/>
  <c r="K32" i="9"/>
  <c r="K31" i="9"/>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I14" i="66"/>
  <c r="H14" i="66"/>
  <c r="B14" i="66"/>
  <c r="C8" i="66"/>
  <c r="B8" i="66"/>
  <c r="C7" i="66"/>
  <c r="B7" i="66"/>
  <c r="B3" i="66"/>
  <c r="B1" i="66"/>
  <c r="C24" i="20"/>
  <c r="C22" i="20"/>
  <c r="C21" i="20"/>
  <c r="G20" i="20"/>
  <c r="C20" i="20"/>
  <c r="G19" i="20"/>
  <c r="G18" i="20"/>
  <c r="C18" i="20"/>
  <c r="C17" i="20"/>
  <c r="G16" i="20"/>
  <c r="C16" i="20"/>
  <c r="G15" i="20"/>
  <c r="C15" i="20"/>
  <c r="B52" i="1"/>
  <c r="B43" i="1"/>
  <c r="C42" i="1"/>
  <c r="B41" i="1"/>
  <c r="B37" i="1"/>
  <c r="B31" i="1"/>
  <c r="B24" i="1"/>
  <c r="B23" i="1"/>
  <c r="B22" i="1"/>
  <c r="AP16" i="1"/>
  <c r="T16" i="1"/>
  <c r="S16" i="1"/>
  <c r="Q16" i="1"/>
  <c r="P16" i="1"/>
  <c r="O16" i="1"/>
  <c r="N16" i="1"/>
  <c r="M16" i="1"/>
  <c r="L16" i="1"/>
  <c r="K16" i="1"/>
  <c r="H16" i="1"/>
  <c r="G16" i="1"/>
  <c r="K15" i="1"/>
  <c r="P14" i="1"/>
  <c r="O14" i="1"/>
  <c r="M14" i="1"/>
  <c r="L14" i="1"/>
  <c r="K14" i="1"/>
  <c r="AP13" i="1"/>
  <c r="AG13" i="1"/>
  <c r="AE13" i="1"/>
  <c r="T13" i="1"/>
  <c r="S13" i="1"/>
  <c r="R13" i="1"/>
  <c r="P13" i="1"/>
  <c r="O13" i="1"/>
  <c r="M13" i="1"/>
  <c r="K13" i="1"/>
  <c r="G13" i="1"/>
  <c r="F13" i="1"/>
  <c r="E13" i="1"/>
  <c r="D13" i="1"/>
  <c r="B13" i="1"/>
  <c r="A13" i="1"/>
  <c r="AP12" i="1"/>
  <c r="AG12" i="1"/>
  <c r="AE12" i="1"/>
  <c r="T12" i="1"/>
  <c r="S12" i="1"/>
  <c r="P12" i="1"/>
  <c r="O12" i="1"/>
  <c r="M12" i="1"/>
  <c r="K12" i="1"/>
  <c r="G12" i="1"/>
  <c r="F12" i="1"/>
  <c r="E12" i="1"/>
  <c r="D12" i="1"/>
  <c r="B12" i="1"/>
  <c r="A12" i="1"/>
  <c r="AP11" i="1"/>
  <c r="AM11" i="1"/>
  <c r="AL11" i="1"/>
  <c r="AK11" i="1"/>
  <c r="AG11" i="1"/>
  <c r="W11" i="1"/>
  <c r="T11" i="1"/>
  <c r="S11" i="1"/>
  <c r="P11" i="1"/>
  <c r="O11" i="1"/>
  <c r="M11" i="1"/>
  <c r="K11" i="1"/>
  <c r="G11" i="1"/>
  <c r="F11" i="1"/>
  <c r="E11" i="1"/>
  <c r="D11" i="1"/>
  <c r="B11" i="1"/>
  <c r="A11" i="1"/>
  <c r="AP10" i="1"/>
  <c r="AM10" i="1"/>
  <c r="AL10" i="1"/>
  <c r="AK10" i="1"/>
  <c r="AG10" i="1"/>
  <c r="W10" i="1"/>
  <c r="T10" i="1"/>
  <c r="S10" i="1"/>
  <c r="Q10" i="1"/>
  <c r="P10" i="1"/>
  <c r="O10" i="1"/>
  <c r="M10" i="1"/>
  <c r="K10" i="1"/>
  <c r="G10" i="1"/>
  <c r="F10" i="1"/>
  <c r="E10" i="1"/>
  <c r="D10" i="1"/>
  <c r="B10" i="1"/>
  <c r="A10" i="1"/>
  <c r="AP9" i="1"/>
  <c r="AM9" i="1"/>
  <c r="AG9" i="1"/>
  <c r="T9" i="1"/>
  <c r="S9" i="1"/>
  <c r="Q9" i="1"/>
  <c r="P9" i="1"/>
  <c r="O9" i="1"/>
  <c r="M9" i="1"/>
  <c r="L9" i="1"/>
  <c r="K9" i="1"/>
  <c r="G9" i="1"/>
  <c r="F9" i="1"/>
  <c r="E9" i="1"/>
  <c r="D9" i="1"/>
  <c r="B9" i="1"/>
  <c r="A9" i="1"/>
  <c r="AP8" i="1"/>
  <c r="AM8" i="1"/>
  <c r="AL8" i="1"/>
  <c r="AK8" i="1"/>
  <c r="AG8" i="1"/>
  <c r="W8" i="1"/>
  <c r="V8" i="1"/>
  <c r="U8" i="1"/>
  <c r="T8" i="1"/>
  <c r="S8" i="1"/>
  <c r="Q8" i="1"/>
  <c r="P8" i="1"/>
  <c r="O8" i="1"/>
  <c r="M8" i="1"/>
  <c r="L8" i="1"/>
  <c r="K8" i="1"/>
  <c r="G8" i="1"/>
  <c r="F8" i="1"/>
  <c r="E8" i="1"/>
  <c r="D8" i="1"/>
  <c r="B8" i="1"/>
  <c r="A8" i="1"/>
  <c r="AP7" i="1"/>
  <c r="AG7" i="1"/>
  <c r="AE7" i="1"/>
  <c r="T7" i="1"/>
  <c r="S7" i="1"/>
  <c r="Q7" i="1"/>
  <c r="P7" i="1"/>
  <c r="O7" i="1"/>
  <c r="M7" i="1"/>
  <c r="L7" i="1"/>
  <c r="K7" i="1"/>
  <c r="G7" i="1"/>
  <c r="F7" i="1"/>
  <c r="E7" i="1"/>
  <c r="D7" i="1"/>
  <c r="B7" i="1"/>
  <c r="A7" i="1"/>
  <c r="AP6" i="1"/>
  <c r="AG6" i="1"/>
  <c r="AE6" i="1"/>
  <c r="T6" i="1"/>
  <c r="S6" i="1"/>
  <c r="Q6" i="1"/>
  <c r="P6" i="1"/>
  <c r="O6" i="1"/>
  <c r="M6" i="1"/>
  <c r="K6" i="1"/>
  <c r="G6" i="1"/>
  <c r="F6" i="1"/>
  <c r="E6" i="1"/>
  <c r="D6" i="1"/>
  <c r="B6" i="1"/>
  <c r="A6" i="1"/>
  <c r="T4" i="1"/>
  <c r="B2" i="1"/>
  <c r="E32" i="6"/>
  <c r="G31" i="6"/>
  <c r="F31" i="6"/>
  <c r="E31" i="6"/>
  <c r="G30" i="6"/>
  <c r="F30" i="6"/>
  <c r="E30" i="6"/>
  <c r="G29" i="6"/>
  <c r="F29" i="6"/>
  <c r="E29" i="6"/>
  <c r="G28" i="6"/>
  <c r="F28" i="6"/>
  <c r="E28" i="6"/>
  <c r="S27" i="6"/>
  <c r="P27" i="6"/>
  <c r="O27" i="6"/>
  <c r="N27" i="6"/>
  <c r="M27" i="6"/>
  <c r="L27" i="6"/>
  <c r="K27" i="6"/>
  <c r="I27" i="6"/>
  <c r="G27" i="6"/>
  <c r="F27" i="6"/>
  <c r="E27" i="6"/>
  <c r="S26" i="6"/>
  <c r="P26" i="6"/>
  <c r="M26" i="6"/>
  <c r="L26" i="6"/>
  <c r="K26" i="6"/>
  <c r="I26" i="6"/>
  <c r="E26" i="6"/>
  <c r="S25" i="6"/>
  <c r="P25" i="6"/>
  <c r="M25" i="6"/>
  <c r="L25" i="6"/>
  <c r="K25" i="6"/>
  <c r="I25" i="6"/>
  <c r="G25" i="6"/>
  <c r="E25" i="6"/>
  <c r="S24" i="6"/>
  <c r="P24" i="6"/>
  <c r="M24" i="6"/>
  <c r="L24" i="6"/>
  <c r="K24" i="6"/>
  <c r="I24" i="6"/>
  <c r="G24" i="6"/>
  <c r="E24" i="6"/>
  <c r="S23" i="6"/>
  <c r="P23" i="6"/>
  <c r="M23" i="6"/>
  <c r="L23" i="6"/>
  <c r="K23" i="6"/>
  <c r="I23" i="6"/>
  <c r="G23" i="6"/>
  <c r="E23" i="6"/>
  <c r="S22" i="6"/>
  <c r="P22" i="6"/>
  <c r="M22" i="6"/>
  <c r="L22" i="6"/>
  <c r="K22" i="6"/>
  <c r="I22" i="6"/>
  <c r="E22" i="6"/>
  <c r="S21" i="6"/>
  <c r="P21" i="6"/>
  <c r="M21" i="6"/>
  <c r="L21" i="6"/>
  <c r="K21" i="6"/>
  <c r="I21" i="6"/>
  <c r="F21" i="6"/>
  <c r="E21" i="6"/>
  <c r="S20" i="6"/>
  <c r="P20" i="6"/>
  <c r="M20" i="6"/>
  <c r="L20" i="6"/>
  <c r="K20" i="6"/>
  <c r="I20" i="6"/>
  <c r="F20" i="6"/>
  <c r="E20" i="6"/>
  <c r="S19" i="6"/>
  <c r="P19" i="6"/>
  <c r="M19" i="6"/>
  <c r="L19" i="6"/>
  <c r="K19" i="6"/>
  <c r="I19" i="6"/>
  <c r="F19" i="6"/>
  <c r="E19" i="6"/>
  <c r="E16" i="6"/>
  <c r="E15" i="6"/>
  <c r="E14" i="6"/>
  <c r="E13" i="6"/>
  <c r="E12" i="6"/>
  <c r="E11" i="6"/>
  <c r="E10" i="6"/>
  <c r="E8" i="6"/>
  <c r="E6" i="6"/>
  <c r="E5" i="6"/>
  <c r="I4" i="6"/>
  <c r="E3" i="6"/>
  <c r="J209" i="69"/>
  <c r="I209" i="69"/>
  <c r="H209" i="69"/>
  <c r="G209" i="69"/>
  <c r="F209" i="69"/>
  <c r="E209" i="69"/>
  <c r="I208" i="69"/>
  <c r="H208" i="69"/>
  <c r="G208" i="69"/>
  <c r="F208" i="69"/>
  <c r="E208" i="69"/>
  <c r="I204" i="69"/>
  <c r="E204" i="69"/>
  <c r="I197" i="69"/>
  <c r="L194" i="69"/>
  <c r="K194" i="69"/>
  <c r="G194" i="69"/>
  <c r="F194" i="69"/>
  <c r="E194" i="69"/>
  <c r="D194" i="69"/>
  <c r="C194" i="69"/>
  <c r="G193" i="69"/>
  <c r="C193" i="69"/>
  <c r="C192" i="69"/>
  <c r="C191" i="69"/>
  <c r="K187" i="69"/>
  <c r="I187" i="69"/>
  <c r="H187" i="69"/>
  <c r="G187" i="69"/>
  <c r="F187" i="69"/>
  <c r="E187" i="69"/>
  <c r="D187" i="69"/>
  <c r="C187" i="69"/>
  <c r="B187" i="69"/>
  <c r="L186" i="69"/>
  <c r="I186" i="69"/>
  <c r="G186" i="69"/>
  <c r="F186" i="69"/>
  <c r="D186" i="69"/>
  <c r="C186" i="69"/>
  <c r="B186" i="69"/>
  <c r="M185" i="69"/>
  <c r="I185" i="69"/>
  <c r="H185" i="69"/>
  <c r="G185" i="69"/>
  <c r="C185" i="69"/>
  <c r="B185" i="69"/>
  <c r="F182" i="69"/>
  <c r="G181" i="69"/>
  <c r="K180" i="69"/>
  <c r="G180" i="69"/>
  <c r="F180" i="69"/>
  <c r="D180" i="69"/>
  <c r="C179" i="69"/>
  <c r="C178" i="69"/>
  <c r="C177" i="69"/>
  <c r="C176" i="69"/>
  <c r="C175" i="69"/>
  <c r="C174" i="69"/>
  <c r="C173" i="69"/>
  <c r="C172" i="69"/>
  <c r="C171" i="69"/>
  <c r="C170" i="69"/>
  <c r="C169" i="69"/>
  <c r="C168" i="69"/>
  <c r="C167" i="69"/>
  <c r="C166" i="69"/>
  <c r="C165" i="69"/>
  <c r="C164" i="69"/>
  <c r="C163" i="69"/>
  <c r="C162" i="69"/>
  <c r="C161" i="69"/>
  <c r="C160" i="69"/>
  <c r="C159" i="69"/>
  <c r="C158" i="69"/>
  <c r="C157" i="69"/>
  <c r="C156" i="69"/>
  <c r="C155" i="69"/>
  <c r="C154" i="69"/>
  <c r="C153" i="69"/>
  <c r="C152" i="69"/>
  <c r="C151" i="69"/>
  <c r="C150" i="69"/>
  <c r="C149" i="69"/>
  <c r="C148" i="69"/>
  <c r="C147" i="69"/>
  <c r="C146" i="69"/>
  <c r="C145" i="69"/>
  <c r="C144" i="69"/>
  <c r="C143" i="69"/>
  <c r="C142" i="69"/>
  <c r="C141" i="69"/>
  <c r="C140" i="69"/>
  <c r="C139" i="69"/>
  <c r="C138" i="69"/>
  <c r="C137" i="69"/>
  <c r="C136" i="69"/>
  <c r="C180" i="69" s="1"/>
  <c r="C135" i="69"/>
  <c r="C134" i="69"/>
  <c r="C133" i="69"/>
  <c r="C132" i="69"/>
  <c r="C131" i="69"/>
  <c r="C130" i="69"/>
  <c r="C129" i="69"/>
  <c r="C128" i="69"/>
  <c r="C127" i="69"/>
  <c r="C126" i="69"/>
  <c r="C125" i="69"/>
  <c r="C124" i="69"/>
  <c r="C123" i="69"/>
  <c r="C122" i="69"/>
  <c r="C119" i="69"/>
  <c r="F117" i="69"/>
  <c r="K116" i="69"/>
  <c r="M115" i="69"/>
  <c r="L115" i="69"/>
  <c r="I115" i="69"/>
  <c r="H115" i="69"/>
  <c r="G115" i="69"/>
  <c r="E115" i="69"/>
  <c r="C115" i="69"/>
  <c r="B115" i="69"/>
  <c r="P109" i="69"/>
  <c r="K109" i="69"/>
  <c r="J109" i="69"/>
  <c r="I109" i="69"/>
  <c r="H109" i="69"/>
  <c r="G109" i="69"/>
  <c r="F109" i="69"/>
  <c r="E109" i="69"/>
  <c r="D109" i="69"/>
  <c r="C109" i="69"/>
  <c r="C108" i="69"/>
  <c r="C107" i="69"/>
  <c r="C106" i="69"/>
  <c r="C105" i="69"/>
  <c r="F104" i="69"/>
  <c r="E104" i="69"/>
  <c r="C104" i="69"/>
  <c r="G103" i="69"/>
  <c r="F103" i="69"/>
  <c r="E103" i="69"/>
  <c r="C103" i="69"/>
  <c r="C102" i="69"/>
  <c r="C101" i="69"/>
  <c r="I100" i="69"/>
  <c r="C100" i="69"/>
  <c r="K96" i="69"/>
  <c r="J96" i="69"/>
  <c r="I96" i="69"/>
  <c r="H96" i="69"/>
  <c r="G96" i="69"/>
  <c r="F96" i="69"/>
  <c r="E96" i="69"/>
  <c r="D96" i="69"/>
  <c r="C96" i="69"/>
  <c r="B96" i="69"/>
  <c r="I95" i="69"/>
  <c r="G95" i="69"/>
  <c r="F95" i="69"/>
  <c r="E95" i="69"/>
  <c r="D95" i="69"/>
  <c r="C95" i="69"/>
  <c r="B95" i="69"/>
  <c r="O94" i="69"/>
  <c r="M94" i="69"/>
  <c r="I94" i="69"/>
  <c r="H94" i="69"/>
  <c r="G94" i="69"/>
  <c r="D94" i="69"/>
  <c r="C94" i="69"/>
  <c r="B94" i="69"/>
  <c r="M91" i="69"/>
  <c r="C89" i="69"/>
  <c r="G88" i="69"/>
  <c r="E88" i="69"/>
  <c r="C88" i="69"/>
  <c r="C87" i="69"/>
  <c r="K86" i="69"/>
  <c r="G86" i="69"/>
  <c r="F86" i="69"/>
  <c r="E86" i="69"/>
  <c r="D86" i="69"/>
  <c r="C86" i="69"/>
  <c r="C85" i="69"/>
  <c r="C84" i="69"/>
  <c r="C83" i="69"/>
  <c r="C82" i="69"/>
  <c r="C81" i="69"/>
  <c r="C80" i="69"/>
  <c r="C79" i="69"/>
  <c r="C78" i="69"/>
  <c r="C77" i="69"/>
  <c r="C76" i="69"/>
  <c r="C75" i="69"/>
  <c r="C74" i="69"/>
  <c r="C73" i="69"/>
  <c r="C72" i="69"/>
  <c r="C71" i="69"/>
  <c r="C70" i="69"/>
  <c r="C69" i="69"/>
  <c r="C68" i="69"/>
  <c r="C67" i="69"/>
  <c r="C66" i="69"/>
  <c r="C65" i="69"/>
  <c r="C64" i="69"/>
  <c r="C63" i="69"/>
  <c r="C62" i="69"/>
  <c r="C61" i="69"/>
  <c r="C60" i="69"/>
  <c r="C59" i="69"/>
  <c r="C58" i="69"/>
  <c r="C57" i="69"/>
  <c r="C56" i="69"/>
  <c r="C55" i="69"/>
  <c r="C54" i="69"/>
  <c r="C53" i="69"/>
  <c r="C52" i="69"/>
  <c r="C51" i="69"/>
  <c r="C50" i="69"/>
  <c r="C49" i="69"/>
  <c r="C48" i="69"/>
  <c r="C47" i="69"/>
  <c r="C46" i="69"/>
  <c r="C45" i="69"/>
  <c r="C44" i="69"/>
  <c r="C43" i="69"/>
  <c r="C42" i="69"/>
  <c r="C41" i="69"/>
  <c r="C40" i="69"/>
  <c r="C39" i="69"/>
  <c r="C38" i="69"/>
  <c r="C37" i="69"/>
  <c r="C36" i="69"/>
  <c r="C35" i="69"/>
  <c r="C34" i="69"/>
  <c r="C33" i="69"/>
  <c r="C32" i="69"/>
  <c r="C31" i="69"/>
  <c r="C30" i="69"/>
  <c r="C29" i="69"/>
  <c r="C28" i="69"/>
  <c r="C27" i="69"/>
  <c r="C26" i="69"/>
  <c r="C25" i="69"/>
  <c r="C24" i="69"/>
  <c r="C23" i="69"/>
  <c r="C22" i="69"/>
  <c r="C21" i="69"/>
  <c r="C20" i="69"/>
  <c r="C19" i="69"/>
  <c r="C18" i="69"/>
  <c r="C17" i="69"/>
  <c r="C16" i="69"/>
  <c r="C15" i="69"/>
  <c r="C14" i="69"/>
  <c r="C13" i="69"/>
  <c r="C12" i="69"/>
  <c r="C11" i="69"/>
  <c r="C10" i="69"/>
  <c r="C9" i="69"/>
  <c r="C8" i="69"/>
  <c r="C7" i="69"/>
  <c r="C6" i="69"/>
  <c r="C5" i="69"/>
  <c r="C4" i="69"/>
  <c r="C3" i="69"/>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T14" i="3"/>
  <c r="AN14" i="3"/>
  <c r="AL14" i="3"/>
  <c r="AF14" i="3"/>
  <c r="AC14" i="3"/>
  <c r="W14" i="3"/>
  <c r="U14" i="3"/>
  <c r="S14" i="3"/>
  <c r="M14" i="3"/>
  <c r="K14" i="3"/>
  <c r="I14" i="3"/>
  <c r="H14" i="3"/>
  <c r="G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E503" i="3" s="1"/>
  <c r="A3" i="3"/>
  <c r="T41" i="4"/>
  <c r="R41" i="4"/>
  <c r="Q41" i="4"/>
  <c r="P41" i="4"/>
  <c r="O41" i="4"/>
  <c r="N41" i="4"/>
  <c r="M41" i="4"/>
  <c r="L41" i="4"/>
  <c r="F41" i="4"/>
  <c r="T40" i="4"/>
  <c r="K40" i="4"/>
  <c r="C39" i="4"/>
  <c r="D38" i="4"/>
  <c r="G36" i="4"/>
  <c r="C35" i="4"/>
  <c r="L26" i="4"/>
  <c r="L25" i="4"/>
  <c r="L24" i="4"/>
  <c r="F23" i="4"/>
  <c r="C21" i="4"/>
  <c r="I19" i="4"/>
  <c r="H19" i="4"/>
  <c r="G19" i="4"/>
  <c r="F19" i="4"/>
  <c r="E19" i="4"/>
  <c r="D19" i="4"/>
  <c r="K17" i="4"/>
  <c r="H17" i="4"/>
  <c r="U16" i="4"/>
  <c r="T16" i="4"/>
  <c r="S16" i="4"/>
  <c r="R16" i="4"/>
  <c r="Q16" i="4"/>
  <c r="P16" i="4"/>
  <c r="O16" i="4"/>
  <c r="N16" i="4"/>
  <c r="M16" i="4"/>
  <c r="L16" i="4"/>
  <c r="K16" i="4"/>
  <c r="D14" i="4"/>
  <c r="K6" i="4"/>
  <c r="K4" i="4"/>
  <c r="I4" i="4"/>
  <c r="G4" i="4"/>
  <c r="E4" i="4"/>
  <c r="D3" i="4"/>
  <c r="K2" i="4"/>
  <c r="K1" i="4"/>
  <c r="B1" i="4"/>
  <c r="B2" i="52"/>
  <c r="E22" i="52" s="1"/>
  <c r="B21" i="55"/>
  <c r="A21" i="55"/>
  <c r="A20" i="55"/>
  <c r="A16" i="55"/>
  <c r="A15" i="55"/>
  <c r="A14" i="55"/>
  <c r="A11" i="55"/>
  <c r="A10" i="55"/>
  <c r="A9" i="55"/>
  <c r="A8" i="55"/>
  <c r="A4" i="55"/>
  <c r="A3" i="55"/>
  <c r="A2" i="55"/>
  <c r="R8" i="54"/>
  <c r="A8" i="54"/>
  <c r="R7" i="54"/>
  <c r="A7" i="54"/>
  <c r="A6" i="54"/>
  <c r="O5" i="54"/>
  <c r="M5" i="54"/>
  <c r="L5" i="54"/>
  <c r="K5" i="54"/>
  <c r="G5" i="54"/>
  <c r="E5" i="54"/>
  <c r="N3" i="54"/>
  <c r="R2" i="54"/>
  <c r="K2" i="54"/>
  <c r="A30" i="64"/>
  <c r="A28" i="64"/>
  <c r="A27" i="64"/>
  <c r="A26" i="64"/>
  <c r="A25" i="64"/>
  <c r="A21" i="64"/>
  <c r="A18" i="64"/>
  <c r="A17" i="64"/>
  <c r="A15" i="64"/>
  <c r="A14" i="64"/>
  <c r="A11" i="64"/>
  <c r="A9" i="64"/>
  <c r="A4" i="64"/>
  <c r="A3" i="64"/>
  <c r="A30" i="51"/>
  <c r="A28" i="51"/>
  <c r="A27" i="51"/>
  <c r="A26" i="51"/>
  <c r="A25" i="51"/>
  <c r="A23" i="51"/>
  <c r="A22" i="51"/>
  <c r="A18" i="51"/>
  <c r="A17" i="51"/>
  <c r="A15" i="51"/>
  <c r="A14" i="51"/>
  <c r="A11" i="51"/>
  <c r="A9" i="51"/>
  <c r="A4" i="51"/>
  <c r="A3" i="51"/>
  <c r="B49" i="50"/>
  <c r="B46" i="50"/>
  <c r="B40" i="50"/>
  <c r="B37" i="50"/>
  <c r="B76" i="63"/>
  <c r="B75" i="63"/>
  <c r="B74" i="63"/>
  <c r="B73" i="63"/>
  <c r="B72" i="63"/>
  <c r="B71" i="63"/>
  <c r="B69" i="63"/>
  <c r="B68" i="63"/>
  <c r="B67" i="63"/>
  <c r="B66" i="63"/>
  <c r="B65" i="63"/>
  <c r="B64" i="63"/>
  <c r="B63" i="63"/>
  <c r="B62" i="63"/>
  <c r="B61" i="63"/>
  <c r="B60" i="63"/>
  <c r="B59" i="63"/>
  <c r="B58" i="63"/>
  <c r="B57" i="63"/>
  <c r="B56" i="63"/>
  <c r="B55" i="63"/>
  <c r="B54" i="63"/>
  <c r="B53" i="63"/>
  <c r="B52" i="63"/>
  <c r="B51" i="63"/>
  <c r="B49" i="63"/>
  <c r="B45" i="63"/>
  <c r="B44"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4" i="63"/>
  <c r="B13" i="63"/>
  <c r="B12" i="63"/>
  <c r="B11" i="63"/>
  <c r="B10" i="63"/>
  <c r="B9" i="63"/>
  <c r="B8" i="63"/>
  <c r="B6" i="63"/>
  <c r="B5" i="63"/>
  <c r="N4" i="63"/>
  <c r="B4" i="63"/>
  <c r="B3" i="63"/>
  <c r="B2" i="63"/>
  <c r="AT6" i="3" l="1"/>
  <c r="S2" i="46"/>
  <c r="T2" i="46" s="1"/>
  <c r="V2" i="46" s="1"/>
  <c r="S5" i="46"/>
  <c r="T5" i="46" s="1"/>
  <c r="V5" i="46" s="1"/>
  <c r="S6" i="46"/>
  <c r="T6" i="46" s="1"/>
  <c r="V6" i="46" s="1"/>
  <c r="AA11" i="46"/>
  <c r="AA13" i="46" s="1"/>
  <c r="M6" i="3"/>
  <c r="U6" i="3"/>
  <c r="AE6" i="3"/>
  <c r="AM6" i="3"/>
  <c r="E16" i="3"/>
  <c r="E24" i="3"/>
  <c r="E32" i="3"/>
  <c r="E40" i="3"/>
  <c r="E52" i="3"/>
  <c r="E68" i="3"/>
  <c r="E84" i="3"/>
  <c r="E100" i="3"/>
  <c r="E116" i="3"/>
  <c r="E132" i="3"/>
  <c r="E148" i="3"/>
  <c r="E164" i="3"/>
  <c r="E180" i="3"/>
  <c r="E196" i="3"/>
  <c r="E212" i="3"/>
  <c r="E228" i="3"/>
  <c r="E256" i="3"/>
  <c r="E288" i="3"/>
  <c r="E327" i="3"/>
  <c r="E359" i="3"/>
  <c r="E391" i="3"/>
  <c r="E423" i="3"/>
  <c r="E455" i="3"/>
  <c r="E487" i="3"/>
  <c r="E519" i="3"/>
  <c r="I6" i="3"/>
  <c r="Q6" i="3"/>
  <c r="Y6" i="3"/>
  <c r="AI6" i="3"/>
  <c r="AQ6" i="3"/>
  <c r="E20" i="3"/>
  <c r="E28" i="3"/>
  <c r="E36" i="3"/>
  <c r="E44" i="3"/>
  <c r="E60" i="3"/>
  <c r="E76" i="3"/>
  <c r="E92" i="3"/>
  <c r="E108" i="3"/>
  <c r="E124" i="3"/>
  <c r="E140" i="3"/>
  <c r="E156" i="3"/>
  <c r="E172" i="3"/>
  <c r="E188" i="3"/>
  <c r="E204" i="3"/>
  <c r="E220" i="3"/>
  <c r="E240" i="3"/>
  <c r="E272" i="3"/>
  <c r="E304" i="3"/>
  <c r="E311" i="3"/>
  <c r="E343" i="3"/>
  <c r="E375" i="3"/>
  <c r="E407" i="3"/>
  <c r="E439" i="3"/>
  <c r="E471" i="3"/>
  <c r="AI11" i="46"/>
  <c r="AI13" i="46" s="1"/>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6" i="3"/>
  <c r="E302" i="3"/>
  <c r="E298" i="3"/>
  <c r="E294" i="3"/>
  <c r="E290" i="3"/>
  <c r="E286" i="3"/>
  <c r="E282" i="3"/>
  <c r="E278" i="3"/>
  <c r="E274" i="3"/>
  <c r="E270" i="3"/>
  <c r="E266" i="3"/>
  <c r="E262" i="3"/>
  <c r="E258" i="3"/>
  <c r="E254" i="3"/>
  <c r="E250" i="3"/>
  <c r="E246" i="3"/>
  <c r="E242" i="3"/>
  <c r="E238" i="3"/>
  <c r="E234" i="3"/>
  <c r="E515" i="3"/>
  <c r="E507" i="3"/>
  <c r="E499" i="3"/>
  <c r="E491" i="3"/>
  <c r="E483" i="3"/>
  <c r="E475" i="3"/>
  <c r="E467" i="3"/>
  <c r="E459" i="3"/>
  <c r="E451" i="3"/>
  <c r="E443" i="3"/>
  <c r="E435" i="3"/>
  <c r="E427" i="3"/>
  <c r="E419" i="3"/>
  <c r="E411" i="3"/>
  <c r="E403" i="3"/>
  <c r="E395" i="3"/>
  <c r="E387" i="3"/>
  <c r="E379" i="3"/>
  <c r="E371" i="3"/>
  <c r="E363" i="3"/>
  <c r="E355" i="3"/>
  <c r="E347" i="3"/>
  <c r="E339" i="3"/>
  <c r="E331" i="3"/>
  <c r="E323" i="3"/>
  <c r="E315" i="3"/>
  <c r="E300" i="3"/>
  <c r="E292" i="3"/>
  <c r="E284" i="3"/>
  <c r="E276" i="3"/>
  <c r="E268" i="3"/>
  <c r="E260" i="3"/>
  <c r="E252" i="3"/>
  <c r="E244" i="3"/>
  <c r="E236"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K6" i="3"/>
  <c r="O6" i="3"/>
  <c r="S6" i="3"/>
  <c r="W6" i="3"/>
  <c r="AA6" i="3"/>
  <c r="AG6" i="3"/>
  <c r="AK6" i="3"/>
  <c r="AO6" i="3"/>
  <c r="AS6" i="3"/>
  <c r="AY6" i="3"/>
  <c r="E14" i="3"/>
  <c r="E18" i="3"/>
  <c r="E22" i="3"/>
  <c r="E26" i="3"/>
  <c r="E30" i="3"/>
  <c r="E34" i="3"/>
  <c r="E38" i="3"/>
  <c r="E42" i="3"/>
  <c r="E48" i="3"/>
  <c r="E56" i="3"/>
  <c r="E64" i="3"/>
  <c r="E72" i="3"/>
  <c r="E80" i="3"/>
  <c r="E88" i="3"/>
  <c r="E96" i="3"/>
  <c r="E104" i="3"/>
  <c r="E112" i="3"/>
  <c r="E120" i="3"/>
  <c r="E128" i="3"/>
  <c r="E136" i="3"/>
  <c r="E144" i="3"/>
  <c r="E152" i="3"/>
  <c r="E160" i="3"/>
  <c r="E168" i="3"/>
  <c r="E176" i="3"/>
  <c r="E184" i="3"/>
  <c r="E192" i="3"/>
  <c r="E200" i="3"/>
  <c r="E208" i="3"/>
  <c r="E216" i="3"/>
  <c r="E224" i="3"/>
  <c r="E232" i="3"/>
  <c r="E248" i="3"/>
  <c r="E264" i="3"/>
  <c r="E280" i="3"/>
  <c r="E296" i="3"/>
  <c r="E319" i="3"/>
  <c r="E335" i="3"/>
  <c r="E351" i="3"/>
  <c r="E367" i="3"/>
  <c r="E383" i="3"/>
  <c r="E399" i="3"/>
  <c r="E415" i="3"/>
  <c r="E431" i="3"/>
  <c r="E447" i="3"/>
  <c r="E463" i="3"/>
  <c r="E479" i="3"/>
  <c r="E495" i="3"/>
  <c r="E511" i="3"/>
  <c r="G107" i="46"/>
  <c r="G106" i="46"/>
  <c r="G102" i="46"/>
  <c r="G109" i="46"/>
  <c r="B113" i="46"/>
  <c r="K101" i="46"/>
  <c r="K106" i="46" s="1"/>
  <c r="C101" i="46"/>
  <c r="C105" i="46" s="1"/>
  <c r="F22" i="46"/>
  <c r="AG11" i="46"/>
  <c r="AG13" i="46" s="1"/>
  <c r="AC11" i="46"/>
  <c r="AC13" i="46" s="1"/>
  <c r="Y11" i="46"/>
  <c r="Y13" i="46" s="1"/>
  <c r="S3" i="46"/>
  <c r="T3" i="46" s="1"/>
  <c r="V3" i="46" s="1"/>
  <c r="AE11" i="46"/>
  <c r="AE13" i="46" s="1"/>
  <c r="D3" i="6"/>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BB6" i="3"/>
  <c r="BD6" i="3"/>
  <c r="BF6" i="3"/>
  <c r="BH6" i="3"/>
  <c r="BJ6" i="3"/>
  <c r="BL6" i="3"/>
  <c r="BN6" i="3"/>
  <c r="BP6" i="3"/>
  <c r="BR6" i="3"/>
  <c r="BT6" i="3"/>
  <c r="AY13" i="3"/>
  <c r="AY15" i="3"/>
  <c r="AY17" i="3"/>
  <c r="AY19" i="3"/>
  <c r="AY21" i="3"/>
  <c r="AY23" i="3"/>
  <c r="AY25" i="3"/>
  <c r="AY27" i="3"/>
  <c r="AY29" i="3"/>
  <c r="AY31" i="3"/>
  <c r="AY33" i="3"/>
  <c r="AY35" i="3"/>
  <c r="AY37" i="3"/>
  <c r="AY39" i="3"/>
  <c r="AY41" i="3"/>
  <c r="AY43" i="3"/>
  <c r="AY45" i="3"/>
  <c r="AY47" i="3"/>
  <c r="AY49" i="3"/>
  <c r="AY51" i="3"/>
  <c r="AY53" i="3"/>
  <c r="AY55" i="3"/>
  <c r="AY57" i="3"/>
  <c r="AY59" i="3"/>
  <c r="AY61" i="3"/>
  <c r="AY63" i="3"/>
  <c r="AY65" i="3"/>
  <c r="AY67" i="3"/>
  <c r="AY69" i="3"/>
  <c r="AY71" i="3"/>
  <c r="AY73" i="3"/>
  <c r="AY75" i="3"/>
  <c r="AY77" i="3"/>
  <c r="AY79" i="3"/>
  <c r="AY81" i="3"/>
  <c r="AY83" i="3"/>
  <c r="AY85" i="3"/>
  <c r="AY87" i="3"/>
  <c r="AY89" i="3"/>
  <c r="AY91" i="3"/>
  <c r="AY93" i="3"/>
  <c r="AY95" i="3"/>
  <c r="AY97" i="3"/>
  <c r="AY99" i="3"/>
  <c r="AY101" i="3"/>
  <c r="AY103" i="3"/>
  <c r="AY105" i="3"/>
  <c r="AY107" i="3"/>
  <c r="AY109" i="3"/>
  <c r="AY111" i="3"/>
  <c r="AY113" i="3"/>
  <c r="AY115" i="3"/>
  <c r="AY117" i="3"/>
  <c r="AY119" i="3"/>
  <c r="AY121" i="3"/>
  <c r="AY123" i="3"/>
  <c r="AY125" i="3"/>
  <c r="AY127" i="3"/>
  <c r="AY129" i="3"/>
  <c r="AY131" i="3"/>
  <c r="AY133" i="3"/>
  <c r="AY135" i="3"/>
  <c r="AY137" i="3"/>
  <c r="AY139" i="3"/>
  <c r="AY141" i="3"/>
  <c r="AY143" i="3"/>
  <c r="AY145" i="3"/>
  <c r="AY147" i="3"/>
  <c r="AY149" i="3"/>
  <c r="AY151" i="3"/>
  <c r="AY153" i="3"/>
  <c r="AY155" i="3"/>
  <c r="AY157" i="3"/>
  <c r="AY159" i="3"/>
  <c r="AY161" i="3"/>
  <c r="AY163" i="3"/>
  <c r="AY165" i="3"/>
  <c r="AY167" i="3"/>
  <c r="AY169" i="3"/>
  <c r="AY171" i="3"/>
  <c r="AY173" i="3"/>
  <c r="AY175" i="3"/>
  <c r="AY177" i="3"/>
  <c r="AY179" i="3"/>
  <c r="AY181" i="3"/>
  <c r="AY183" i="3"/>
  <c r="AY185" i="3"/>
  <c r="AY187" i="3"/>
  <c r="AY189" i="3"/>
  <c r="AY191" i="3"/>
  <c r="AY193" i="3"/>
  <c r="AY195" i="3"/>
  <c r="AY197" i="3"/>
  <c r="AY199" i="3"/>
  <c r="AY201" i="3"/>
  <c r="AY203" i="3"/>
  <c r="AY205" i="3"/>
  <c r="AY207" i="3"/>
  <c r="AY209" i="3"/>
  <c r="AY211" i="3"/>
  <c r="AY213" i="3"/>
  <c r="AY215" i="3"/>
  <c r="AY217" i="3"/>
  <c r="AY219" i="3"/>
  <c r="AY221" i="3"/>
  <c r="AY223" i="3"/>
  <c r="AY225" i="3"/>
  <c r="AY227" i="3"/>
  <c r="AY229" i="3"/>
  <c r="AY231" i="3"/>
  <c r="AY233" i="3"/>
  <c r="AY235" i="3"/>
  <c r="AY237" i="3"/>
  <c r="AY239" i="3"/>
  <c r="AY241" i="3"/>
  <c r="AY243" i="3"/>
  <c r="AY245" i="3"/>
  <c r="AY247" i="3"/>
  <c r="AY249" i="3"/>
  <c r="AY251" i="3"/>
  <c r="AY253" i="3"/>
  <c r="AY255" i="3"/>
  <c r="AY257" i="3"/>
  <c r="AY259" i="3"/>
  <c r="AY261" i="3"/>
  <c r="AY263" i="3"/>
  <c r="AY265" i="3"/>
  <c r="AY267" i="3"/>
  <c r="AY269" i="3"/>
  <c r="AY271" i="3"/>
  <c r="AY273" i="3"/>
  <c r="AY275" i="3"/>
  <c r="AY277" i="3"/>
  <c r="AY279" i="3"/>
  <c r="AY281" i="3"/>
  <c r="AY283" i="3"/>
  <c r="AY285" i="3"/>
  <c r="AY287" i="3"/>
  <c r="AY289" i="3"/>
  <c r="AY291" i="3"/>
  <c r="AY293" i="3"/>
  <c r="AY295" i="3"/>
  <c r="AY297" i="3"/>
  <c r="AY299" i="3"/>
  <c r="AY301" i="3"/>
  <c r="AY303" i="3"/>
  <c r="AY305" i="3"/>
  <c r="AY307" i="3"/>
  <c r="AY308" i="3"/>
  <c r="AY310" i="3"/>
  <c r="AY312" i="3"/>
  <c r="AY314" i="3"/>
  <c r="AY316" i="3"/>
  <c r="AY318" i="3"/>
  <c r="AY320" i="3"/>
  <c r="AY322" i="3"/>
  <c r="AY324" i="3"/>
  <c r="AY326" i="3"/>
  <c r="AY328" i="3"/>
  <c r="AY330" i="3"/>
  <c r="AY332" i="3"/>
  <c r="AY334" i="3"/>
  <c r="AY336" i="3"/>
  <c r="AY338" i="3"/>
  <c r="AY340" i="3"/>
  <c r="AY342" i="3"/>
  <c r="AY344" i="3"/>
  <c r="AY346" i="3"/>
  <c r="AY348" i="3"/>
  <c r="AY350" i="3"/>
  <c r="AY352" i="3"/>
  <c r="AY354" i="3"/>
  <c r="AY356" i="3"/>
  <c r="AY358" i="3"/>
  <c r="AY360" i="3"/>
  <c r="AY362" i="3"/>
  <c r="AY364" i="3"/>
  <c r="AY366" i="3"/>
  <c r="AY368" i="3"/>
  <c r="AY370" i="3"/>
  <c r="AY372" i="3"/>
  <c r="AY374" i="3"/>
  <c r="AY376" i="3"/>
  <c r="AY378" i="3"/>
  <c r="AY380" i="3"/>
  <c r="AY382" i="3"/>
  <c r="AY384" i="3"/>
  <c r="AY386" i="3"/>
  <c r="AY388" i="3"/>
  <c r="AY390" i="3"/>
  <c r="AY392" i="3"/>
  <c r="AY394" i="3"/>
  <c r="AY396" i="3"/>
  <c r="AY398" i="3"/>
  <c r="AY400" i="3"/>
  <c r="AY402" i="3"/>
  <c r="AY404" i="3"/>
  <c r="AY406" i="3"/>
  <c r="AY408" i="3"/>
  <c r="AY410" i="3"/>
  <c r="AY412" i="3"/>
  <c r="AY414" i="3"/>
  <c r="AY416" i="3"/>
  <c r="AY418" i="3"/>
  <c r="AY420" i="3"/>
  <c r="AY422" i="3"/>
  <c r="AY424" i="3"/>
  <c r="AY426" i="3"/>
  <c r="AY428" i="3"/>
  <c r="AY430" i="3"/>
  <c r="AY432" i="3"/>
  <c r="AY434" i="3"/>
  <c r="AY436" i="3"/>
  <c r="AY438" i="3"/>
  <c r="AY440" i="3"/>
  <c r="AY442" i="3"/>
  <c r="AY444" i="3"/>
  <c r="AY446" i="3"/>
  <c r="AY448" i="3"/>
  <c r="AY450" i="3"/>
  <c r="AY452" i="3"/>
  <c r="AY454" i="3"/>
  <c r="AY456" i="3"/>
  <c r="AY458" i="3"/>
  <c r="AY460" i="3"/>
  <c r="AY462" i="3"/>
  <c r="AY464" i="3"/>
  <c r="AY466" i="3"/>
  <c r="AY468" i="3"/>
  <c r="AY470" i="3"/>
  <c r="AY472" i="3"/>
  <c r="AY474" i="3"/>
  <c r="AY476" i="3"/>
  <c r="AY478" i="3"/>
  <c r="AY480" i="3"/>
  <c r="AY482" i="3"/>
  <c r="AY484" i="3"/>
  <c r="AY486" i="3"/>
  <c r="AY488" i="3"/>
  <c r="AY490" i="3"/>
  <c r="AY492" i="3"/>
  <c r="AY494" i="3"/>
  <c r="AY496" i="3"/>
  <c r="AY498" i="3"/>
  <c r="AY500" i="3"/>
  <c r="AY502" i="3"/>
  <c r="AY504" i="3"/>
  <c r="AY506" i="3"/>
  <c r="AY508" i="3"/>
  <c r="AY510" i="3"/>
  <c r="AY512" i="3"/>
  <c r="AY514" i="3"/>
  <c r="AY516" i="3"/>
  <c r="AY518" i="3"/>
  <c r="I118" i="46"/>
  <c r="J118" i="46" s="1"/>
  <c r="K118" i="46" s="1"/>
  <c r="L118" i="46" s="1"/>
  <c r="M118" i="46" s="1"/>
  <c r="G118" i="46"/>
  <c r="H118" i="46" s="1"/>
  <c r="I117" i="46"/>
  <c r="J117" i="46" s="1"/>
  <c r="K117" i="46" s="1"/>
  <c r="L117" i="46" s="1"/>
  <c r="M117" i="46" s="1"/>
  <c r="I116" i="46"/>
  <c r="J116" i="46" s="1"/>
  <c r="K116" i="46" s="1"/>
  <c r="L116" i="46" s="1"/>
  <c r="M116" i="46" s="1"/>
  <c r="I115" i="46"/>
  <c r="J115" i="46" s="1"/>
  <c r="K115" i="46" s="1"/>
  <c r="L115" i="46" s="1"/>
  <c r="M115" i="46" s="1"/>
  <c r="B118" i="46"/>
  <c r="C118" i="46" s="1"/>
  <c r="B117" i="46"/>
  <c r="C117" i="46" s="1"/>
  <c r="B116" i="46"/>
  <c r="C116" i="46" s="1"/>
  <c r="B115" i="46"/>
  <c r="D117" i="46"/>
  <c r="E117" i="46" s="1"/>
  <c r="F117" i="46" s="1"/>
  <c r="G117" i="46" s="1"/>
  <c r="H117" i="46" s="1"/>
  <c r="D115" i="46"/>
  <c r="E115" i="46" s="1"/>
  <c r="F115" i="46" s="1"/>
  <c r="G115" i="46" s="1"/>
  <c r="H115" i="46" s="1"/>
  <c r="D116" i="46"/>
  <c r="E116" i="46" s="1"/>
  <c r="F116" i="46" s="1"/>
  <c r="G116" i="46" s="1"/>
  <c r="H116" i="46" s="1"/>
  <c r="I3" i="6"/>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J6" i="3"/>
  <c r="L6" i="3"/>
  <c r="N6" i="3"/>
  <c r="P6" i="3"/>
  <c r="R6" i="3"/>
  <c r="T6" i="3"/>
  <c r="V6" i="3"/>
  <c r="X6" i="3"/>
  <c r="Z6" i="3"/>
  <c r="AB6" i="3"/>
  <c r="AD6" i="3"/>
  <c r="AF6" i="3"/>
  <c r="AH6" i="3"/>
  <c r="AJ6" i="3"/>
  <c r="AL6" i="3"/>
  <c r="AN6" i="3"/>
  <c r="AP6" i="3"/>
  <c r="AR6" i="3"/>
  <c r="BA6" i="3"/>
  <c r="BC6" i="3"/>
  <c r="BE6" i="3"/>
  <c r="BG6" i="3"/>
  <c r="BI6" i="3"/>
  <c r="BK6" i="3"/>
  <c r="BM6" i="3"/>
  <c r="BO6" i="3"/>
  <c r="BQ6" i="3"/>
  <c r="BS6" i="3"/>
  <c r="E13" i="3"/>
  <c r="AY14" i="3"/>
  <c r="E15" i="3"/>
  <c r="AY16" i="3"/>
  <c r="E17" i="3"/>
  <c r="AY18" i="3"/>
  <c r="E19" i="3"/>
  <c r="AY20" i="3"/>
  <c r="E21" i="3"/>
  <c r="AY22" i="3"/>
  <c r="E23" i="3"/>
  <c r="AY24" i="3"/>
  <c r="E25" i="3"/>
  <c r="AY26" i="3"/>
  <c r="E27" i="3"/>
  <c r="AY28" i="3"/>
  <c r="E29" i="3"/>
  <c r="AY30" i="3"/>
  <c r="E31" i="3"/>
  <c r="AY32" i="3"/>
  <c r="E33" i="3"/>
  <c r="AY34" i="3"/>
  <c r="E35" i="3"/>
  <c r="AY36" i="3"/>
  <c r="E37" i="3"/>
  <c r="AY38" i="3"/>
  <c r="E39" i="3"/>
  <c r="AY40" i="3"/>
  <c r="E41" i="3"/>
  <c r="AY42" i="3"/>
  <c r="E43" i="3"/>
  <c r="AY44" i="3"/>
  <c r="E45" i="3"/>
  <c r="AY46" i="3"/>
  <c r="E47" i="3"/>
  <c r="AY48" i="3"/>
  <c r="E49" i="3"/>
  <c r="AY50" i="3"/>
  <c r="E51" i="3"/>
  <c r="AY52" i="3"/>
  <c r="E53" i="3"/>
  <c r="AY54" i="3"/>
  <c r="E55" i="3"/>
  <c r="AY56" i="3"/>
  <c r="E57" i="3"/>
  <c r="AY58" i="3"/>
  <c r="E59" i="3"/>
  <c r="AY60" i="3"/>
  <c r="E61" i="3"/>
  <c r="AY62" i="3"/>
  <c r="E63" i="3"/>
  <c r="AY64" i="3"/>
  <c r="E65" i="3"/>
  <c r="AY66" i="3"/>
  <c r="E67" i="3"/>
  <c r="AY68" i="3"/>
  <c r="E69" i="3"/>
  <c r="AY70" i="3"/>
  <c r="E71" i="3"/>
  <c r="AY72" i="3"/>
  <c r="E73" i="3"/>
  <c r="AY74" i="3"/>
  <c r="E75" i="3"/>
  <c r="AY76" i="3"/>
  <c r="E77" i="3"/>
  <c r="AY78" i="3"/>
  <c r="E79" i="3"/>
  <c r="AY80" i="3"/>
  <c r="E81" i="3"/>
  <c r="AY82" i="3"/>
  <c r="E83" i="3"/>
  <c r="AY84" i="3"/>
  <c r="E85" i="3"/>
  <c r="AY86" i="3"/>
  <c r="E87" i="3"/>
  <c r="AY88" i="3"/>
  <c r="E89" i="3"/>
  <c r="AY90" i="3"/>
  <c r="E91" i="3"/>
  <c r="AY92" i="3"/>
  <c r="E93" i="3"/>
  <c r="AY94" i="3"/>
  <c r="E95" i="3"/>
  <c r="AY96" i="3"/>
  <c r="E97" i="3"/>
  <c r="AY98" i="3"/>
  <c r="E99" i="3"/>
  <c r="AY100" i="3"/>
  <c r="E101" i="3"/>
  <c r="AY102" i="3"/>
  <c r="E103" i="3"/>
  <c r="AY104" i="3"/>
  <c r="E105" i="3"/>
  <c r="AY106" i="3"/>
  <c r="E107" i="3"/>
  <c r="AY108" i="3"/>
  <c r="E109" i="3"/>
  <c r="AY110" i="3"/>
  <c r="E111" i="3"/>
  <c r="AY112" i="3"/>
  <c r="E113" i="3"/>
  <c r="AY114" i="3"/>
  <c r="E115" i="3"/>
  <c r="AY116" i="3"/>
  <c r="E117" i="3"/>
  <c r="AY118" i="3"/>
  <c r="E119" i="3"/>
  <c r="AY120" i="3"/>
  <c r="E121" i="3"/>
  <c r="AY122" i="3"/>
  <c r="E123" i="3"/>
  <c r="AY124" i="3"/>
  <c r="E125" i="3"/>
  <c r="AY126" i="3"/>
  <c r="E127" i="3"/>
  <c r="AY128" i="3"/>
  <c r="E129" i="3"/>
  <c r="AY130" i="3"/>
  <c r="E131" i="3"/>
  <c r="AY132" i="3"/>
  <c r="E133" i="3"/>
  <c r="AY134" i="3"/>
  <c r="E135" i="3"/>
  <c r="AY136" i="3"/>
  <c r="E137" i="3"/>
  <c r="AY138" i="3"/>
  <c r="E139" i="3"/>
  <c r="AY140" i="3"/>
  <c r="E141" i="3"/>
  <c r="AY142" i="3"/>
  <c r="E143" i="3"/>
  <c r="AY144" i="3"/>
  <c r="E145" i="3"/>
  <c r="AY146" i="3"/>
  <c r="E147" i="3"/>
  <c r="AY148" i="3"/>
  <c r="E149" i="3"/>
  <c r="AY150" i="3"/>
  <c r="E151" i="3"/>
  <c r="AY152" i="3"/>
  <c r="E153" i="3"/>
  <c r="AY154" i="3"/>
  <c r="E155" i="3"/>
  <c r="AY156" i="3"/>
  <c r="E157" i="3"/>
  <c r="AY158" i="3"/>
  <c r="E159" i="3"/>
  <c r="AY160" i="3"/>
  <c r="E161" i="3"/>
  <c r="AY162" i="3"/>
  <c r="E163" i="3"/>
  <c r="AY164" i="3"/>
  <c r="E165" i="3"/>
  <c r="AY166" i="3"/>
  <c r="E167" i="3"/>
  <c r="AY168" i="3"/>
  <c r="E169" i="3"/>
  <c r="AY170" i="3"/>
  <c r="E171" i="3"/>
  <c r="AY172" i="3"/>
  <c r="E173" i="3"/>
  <c r="AY174" i="3"/>
  <c r="E175" i="3"/>
  <c r="AY176" i="3"/>
  <c r="E177" i="3"/>
  <c r="AY178" i="3"/>
  <c r="E179" i="3"/>
  <c r="AY180" i="3"/>
  <c r="E181" i="3"/>
  <c r="AY182" i="3"/>
  <c r="E183" i="3"/>
  <c r="AY184" i="3"/>
  <c r="E185" i="3"/>
  <c r="AY186" i="3"/>
  <c r="E187" i="3"/>
  <c r="AY188" i="3"/>
  <c r="E189" i="3"/>
  <c r="AY190" i="3"/>
  <c r="E191" i="3"/>
  <c r="AY192" i="3"/>
  <c r="E193" i="3"/>
  <c r="AY194" i="3"/>
  <c r="E195" i="3"/>
  <c r="AY196" i="3"/>
  <c r="E197" i="3"/>
  <c r="AY198" i="3"/>
  <c r="E199" i="3"/>
  <c r="AY200" i="3"/>
  <c r="E201" i="3"/>
  <c r="AY202" i="3"/>
  <c r="E203" i="3"/>
  <c r="AY204" i="3"/>
  <c r="E205" i="3"/>
  <c r="AY206" i="3"/>
  <c r="E207" i="3"/>
  <c r="AY208" i="3"/>
  <c r="E209" i="3"/>
  <c r="AY210" i="3"/>
  <c r="E211" i="3"/>
  <c r="AY212" i="3"/>
  <c r="E213" i="3"/>
  <c r="AY214" i="3"/>
  <c r="E215" i="3"/>
  <c r="AY216" i="3"/>
  <c r="E217" i="3"/>
  <c r="AY218" i="3"/>
  <c r="E219" i="3"/>
  <c r="AY220" i="3"/>
  <c r="E221" i="3"/>
  <c r="AY222" i="3"/>
  <c r="E223" i="3"/>
  <c r="AY224" i="3"/>
  <c r="E225" i="3"/>
  <c r="AY226" i="3"/>
  <c r="E227" i="3"/>
  <c r="AY228" i="3"/>
  <c r="E229" i="3"/>
  <c r="AY230" i="3"/>
  <c r="E231" i="3"/>
  <c r="AY232" i="3"/>
  <c r="E233" i="3"/>
  <c r="AY234" i="3"/>
  <c r="E235" i="3"/>
  <c r="AY236" i="3"/>
  <c r="E237" i="3"/>
  <c r="AY238" i="3"/>
  <c r="E239" i="3"/>
  <c r="AY240" i="3"/>
  <c r="E241" i="3"/>
  <c r="AY242" i="3"/>
  <c r="E243" i="3"/>
  <c r="AY244" i="3"/>
  <c r="E245" i="3"/>
  <c r="AY246" i="3"/>
  <c r="E247" i="3"/>
  <c r="AY248" i="3"/>
  <c r="E249" i="3"/>
  <c r="AY250" i="3"/>
  <c r="E251" i="3"/>
  <c r="AY252" i="3"/>
  <c r="E253" i="3"/>
  <c r="AY254" i="3"/>
  <c r="E255" i="3"/>
  <c r="AY256" i="3"/>
  <c r="E257" i="3"/>
  <c r="AY258" i="3"/>
  <c r="E259" i="3"/>
  <c r="AY260" i="3"/>
  <c r="E261" i="3"/>
  <c r="AY262" i="3"/>
  <c r="E263" i="3"/>
  <c r="AY264" i="3"/>
  <c r="E265" i="3"/>
  <c r="AY266" i="3"/>
  <c r="E267" i="3"/>
  <c r="AY268" i="3"/>
  <c r="E269" i="3"/>
  <c r="AY270" i="3"/>
  <c r="E271" i="3"/>
  <c r="AY272" i="3"/>
  <c r="E273" i="3"/>
  <c r="AY274" i="3"/>
  <c r="E275" i="3"/>
  <c r="AY276" i="3"/>
  <c r="E277" i="3"/>
  <c r="AY278" i="3"/>
  <c r="E279" i="3"/>
  <c r="AY280" i="3"/>
  <c r="E281" i="3"/>
  <c r="AY282" i="3"/>
  <c r="E283" i="3"/>
  <c r="AY284" i="3"/>
  <c r="E285" i="3"/>
  <c r="AY286" i="3"/>
  <c r="E287" i="3"/>
  <c r="AY288" i="3"/>
  <c r="E289" i="3"/>
  <c r="AY290" i="3"/>
  <c r="E291" i="3"/>
  <c r="AY292" i="3"/>
  <c r="E293" i="3"/>
  <c r="AY294" i="3"/>
  <c r="E295" i="3"/>
  <c r="AY296" i="3"/>
  <c r="E297" i="3"/>
  <c r="AY298" i="3"/>
  <c r="E299" i="3"/>
  <c r="AY300" i="3"/>
  <c r="E301" i="3"/>
  <c r="AY302" i="3"/>
  <c r="E303" i="3"/>
  <c r="AY304" i="3"/>
  <c r="E305" i="3"/>
  <c r="AY306" i="3"/>
  <c r="E307" i="3"/>
  <c r="C109" i="46"/>
  <c r="C106" i="46"/>
  <c r="C104" i="46"/>
  <c r="C102" i="46"/>
  <c r="K102" i="46"/>
  <c r="C103" i="46"/>
  <c r="K105" i="46"/>
  <c r="C107" i="46"/>
  <c r="D118" i="46"/>
  <c r="E118" i="46" s="1"/>
  <c r="F118" i="46" s="1"/>
  <c r="G103" i="46"/>
  <c r="G105" i="46"/>
  <c r="N104" i="45"/>
  <c r="N101" i="46"/>
  <c r="L101" i="46"/>
  <c r="J101" i="46"/>
  <c r="H101" i="46"/>
  <c r="F101" i="46"/>
  <c r="D101" i="46"/>
  <c r="C23" i="46"/>
  <c r="C21" i="46" s="1"/>
  <c r="C29" i="46" s="1"/>
  <c r="J22" i="46"/>
  <c r="G22" i="46"/>
  <c r="E22" i="46"/>
  <c r="S4" i="46"/>
  <c r="T4" i="46" s="1"/>
  <c r="V4" i="46" s="1"/>
  <c r="S7" i="46"/>
  <c r="T7" i="46" s="1"/>
  <c r="V7" i="46" s="1"/>
  <c r="Z7" i="46"/>
  <c r="Z11" i="46"/>
  <c r="Z13" i="46" s="1"/>
  <c r="AB11" i="46"/>
  <c r="AB13" i="46" s="1"/>
  <c r="AD11" i="46"/>
  <c r="AD13" i="46" s="1"/>
  <c r="AF11" i="46"/>
  <c r="AF13" i="46" s="1"/>
  <c r="AH11" i="46"/>
  <c r="AH13" i="46" s="1"/>
  <c r="AJ11" i="46"/>
  <c r="AJ13" i="46" s="1"/>
  <c r="H22" i="46"/>
  <c r="E101" i="46"/>
  <c r="I101" i="46"/>
  <c r="M101" i="46"/>
  <c r="C16" i="12"/>
  <c r="E4" i="52"/>
  <c r="E5" i="52"/>
  <c r="E6" i="52"/>
  <c r="E7" i="52"/>
  <c r="E8" i="52"/>
  <c r="E9" i="52"/>
  <c r="C4" i="4" s="1"/>
  <c r="B20" i="55" s="1"/>
  <c r="B70" i="63" s="1"/>
  <c r="E10" i="52"/>
  <c r="E11" i="52"/>
  <c r="B14" i="52"/>
  <c r="E16" i="52"/>
  <c r="B22" i="52"/>
  <c r="B23" i="52"/>
  <c r="B4" i="52"/>
  <c r="B5" i="52"/>
  <c r="B6" i="52"/>
  <c r="B7" i="52"/>
  <c r="B8" i="52"/>
  <c r="B9" i="52"/>
  <c r="B10" i="52"/>
  <c r="B11" i="52"/>
  <c r="B13" i="52"/>
  <c r="B16" i="52"/>
  <c r="E21" i="52"/>
  <c r="C20" i="12"/>
  <c r="C17" i="12"/>
  <c r="C17" i="43"/>
  <c r="C18" i="43" s="1"/>
  <c r="H6" i="3" l="1"/>
  <c r="K107" i="46"/>
  <c r="K103" i="46"/>
  <c r="K104" i="46"/>
  <c r="K109" i="46"/>
  <c r="I109" i="46"/>
  <c r="I107" i="46"/>
  <c r="I106" i="46"/>
  <c r="I105" i="46"/>
  <c r="I104" i="46"/>
  <c r="I103" i="46"/>
  <c r="I102" i="46"/>
  <c r="M109" i="46"/>
  <c r="M107" i="46"/>
  <c r="M106" i="46"/>
  <c r="M105" i="46"/>
  <c r="M104" i="46"/>
  <c r="M103" i="46"/>
  <c r="M102" i="46"/>
  <c r="E109" i="46"/>
  <c r="E107" i="46"/>
  <c r="E106" i="46"/>
  <c r="E105" i="46"/>
  <c r="E104" i="46"/>
  <c r="E103" i="46"/>
  <c r="E102" i="46"/>
  <c r="E29" i="46"/>
  <c r="C26" i="46" s="1"/>
  <c r="B2" i="46" s="1"/>
  <c r="C30" i="46"/>
  <c r="E30" i="46" s="1"/>
  <c r="C27" i="46" s="1"/>
  <c r="F109" i="46"/>
  <c r="F107" i="46"/>
  <c r="F106" i="46"/>
  <c r="F105" i="46"/>
  <c r="F104" i="46"/>
  <c r="F103" i="46"/>
  <c r="F102" i="46"/>
  <c r="J109" i="46"/>
  <c r="J107" i="46"/>
  <c r="J106" i="46"/>
  <c r="J105" i="46"/>
  <c r="J104" i="46"/>
  <c r="J103" i="46"/>
  <c r="J102" i="46"/>
  <c r="N109" i="46"/>
  <c r="N107" i="46"/>
  <c r="N106" i="46"/>
  <c r="N105" i="46"/>
  <c r="N104" i="46"/>
  <c r="N103" i="46"/>
  <c r="N102" i="46"/>
  <c r="AC6" i="3"/>
  <c r="E6" i="3" s="1"/>
  <c r="C115" i="46"/>
  <c r="D113" i="46" s="1"/>
  <c r="F46" i="9"/>
  <c r="E45" i="9"/>
  <c r="K38" i="9"/>
  <c r="C14" i="66" s="1"/>
  <c r="B2" i="66" s="1"/>
  <c r="D25" i="6"/>
  <c r="H24" i="6"/>
  <c r="D23" i="6"/>
  <c r="H22" i="6"/>
  <c r="D22" i="6"/>
  <c r="H21" i="6"/>
  <c r="D20" i="6"/>
  <c r="H19" i="6"/>
  <c r="D9" i="6"/>
  <c r="D8" i="6"/>
  <c r="D5" i="6"/>
  <c r="C40" i="39"/>
  <c r="D29" i="6"/>
  <c r="D28" i="6"/>
  <c r="H26" i="6"/>
  <c r="D26" i="6"/>
  <c r="H25" i="6"/>
  <c r="D19" i="6"/>
  <c r="D15" i="6"/>
  <c r="D14" i="6"/>
  <c r="D13" i="6"/>
  <c r="D12" i="6"/>
  <c r="D11" i="6"/>
  <c r="D10" i="6"/>
  <c r="D6" i="6"/>
  <c r="E63" i="40"/>
  <c r="F63" i="40" s="1"/>
  <c r="B2" i="40" s="1"/>
  <c r="E46" i="9"/>
  <c r="F45" i="9"/>
  <c r="D24" i="6"/>
  <c r="H23" i="6"/>
  <c r="D21" i="6"/>
  <c r="H20" i="6"/>
  <c r="C22" i="4"/>
  <c r="D22" i="46"/>
  <c r="D109" i="46"/>
  <c r="D107" i="46"/>
  <c r="D106" i="46"/>
  <c r="D105" i="46"/>
  <c r="D104" i="46"/>
  <c r="D103" i="46"/>
  <c r="D102" i="46"/>
  <c r="H109" i="46"/>
  <c r="H107" i="46"/>
  <c r="H106" i="46"/>
  <c r="H105" i="46"/>
  <c r="H104" i="46"/>
  <c r="H103" i="46"/>
  <c r="H102" i="46"/>
  <c r="L109" i="46"/>
  <c r="L107" i="46"/>
  <c r="L106" i="46"/>
  <c r="L105" i="46"/>
  <c r="L104" i="46"/>
  <c r="L103" i="46"/>
  <c r="L102" i="46"/>
  <c r="C18" i="12"/>
  <c r="C23" i="12" s="1"/>
  <c r="C19" i="43"/>
  <c r="R21" i="6" l="1"/>
  <c r="R8" i="1" s="1"/>
  <c r="R24" i="6"/>
  <c r="R11" i="1" s="1"/>
  <c r="R22" i="6"/>
  <c r="R9" i="1" s="1"/>
  <c r="R26" i="6"/>
  <c r="R25" i="6"/>
  <c r="R12" i="1" s="1"/>
  <c r="R19" i="6"/>
  <c r="D27" i="6"/>
  <c r="N5" i="54"/>
  <c r="B43" i="63" s="1"/>
  <c r="A6" i="64"/>
  <c r="A20" i="51"/>
  <c r="B15" i="63" s="1"/>
  <c r="A20" i="64"/>
  <c r="A6" i="51"/>
  <c r="B7" i="63" s="1"/>
  <c r="D30" i="6"/>
  <c r="J40" i="39"/>
  <c r="H40" i="39"/>
  <c r="F40" i="39"/>
  <c r="D16" i="6"/>
  <c r="H27" i="6"/>
  <c r="D8" i="66"/>
  <c r="D7" i="66"/>
  <c r="B4" i="46"/>
  <c r="D4" i="46"/>
  <c r="B3" i="46"/>
  <c r="B4" i="40"/>
  <c r="B3" i="40"/>
  <c r="B5" i="40"/>
  <c r="R20" i="6"/>
  <c r="R7" i="1" s="1"/>
  <c r="R23" i="6"/>
  <c r="R10" i="1" s="1"/>
  <c r="C25" i="43"/>
  <c r="C24" i="43" s="1"/>
  <c r="AB40" i="39" l="1"/>
  <c r="U40" i="39"/>
  <c r="D31" i="6"/>
  <c r="S40" i="39"/>
  <c r="AA40" i="39"/>
  <c r="AC40" i="39"/>
  <c r="W40" i="39"/>
  <c r="R6" i="1"/>
  <c r="R16" i="1" s="1"/>
  <c r="R27" i="6"/>
  <c r="I5" i="6" l="1"/>
  <c r="I6" i="6"/>
  <c r="C13" i="39" s="1"/>
  <c r="C14" i="72"/>
  <c r="M6" i="74"/>
  <c r="L47" i="71"/>
  <c r="F16" i="71"/>
  <c r="J5" i="65"/>
  <c r="F7" i="72"/>
  <c r="I5" i="65"/>
  <c r="M28" i="72"/>
  <c r="B14" i="67"/>
  <c r="F37" i="70"/>
  <c r="L48" i="70"/>
  <c r="M6" i="15"/>
  <c r="F35" i="15"/>
  <c r="J15" i="71"/>
  <c r="L47" i="15"/>
  <c r="F37" i="15"/>
  <c r="C16" i="44"/>
  <c r="M26" i="70"/>
  <c r="F9" i="74"/>
  <c r="M9" i="70"/>
  <c r="F13" i="71"/>
  <c r="M9" i="74"/>
  <c r="M23" i="71"/>
  <c r="F36" i="72"/>
  <c r="L49" i="44"/>
  <c r="C14" i="71"/>
  <c r="J36" i="70"/>
  <c r="F38" i="70"/>
  <c r="M26" i="15"/>
  <c r="F40" i="74"/>
  <c r="B11" i="67"/>
  <c r="M8" i="71"/>
  <c r="M24" i="15"/>
  <c r="M23" i="15"/>
  <c r="B10" i="67"/>
  <c r="M28" i="15"/>
  <c r="F12" i="67"/>
  <c r="M21" i="15"/>
  <c r="F6" i="71"/>
  <c r="M30" i="44"/>
  <c r="M6" i="71"/>
  <c r="F42" i="15"/>
  <c r="F10" i="44"/>
  <c r="F8" i="15"/>
  <c r="F35" i="71"/>
  <c r="E14" i="67"/>
  <c r="E12" i="67"/>
  <c r="F7" i="74"/>
  <c r="B13" i="67"/>
  <c r="M27" i="74"/>
  <c r="F26" i="72"/>
  <c r="E9" i="67"/>
  <c r="F35" i="74"/>
  <c r="F37" i="44"/>
  <c r="J6" i="65"/>
  <c r="I4" i="65"/>
  <c r="F11" i="67"/>
  <c r="F42" i="74"/>
  <c r="F35" i="72"/>
  <c r="M10" i="44"/>
  <c r="M21" i="74"/>
  <c r="M21" i="71"/>
  <c r="M26" i="74"/>
  <c r="F38" i="71"/>
  <c r="F16" i="74"/>
  <c r="F8" i="70"/>
  <c r="M29" i="74"/>
  <c r="F43" i="71"/>
  <c r="F13" i="72"/>
  <c r="J36" i="72"/>
  <c r="L47" i="72"/>
  <c r="F6" i="70"/>
  <c r="M27" i="70"/>
  <c r="F36" i="74"/>
  <c r="N7" i="65"/>
  <c r="M23" i="74"/>
  <c r="J36" i="71"/>
  <c r="M28" i="70"/>
  <c r="M26" i="72"/>
  <c r="M6" i="70"/>
  <c r="F16" i="15"/>
  <c r="M23" i="72"/>
  <c r="M8" i="15"/>
  <c r="F13" i="15"/>
  <c r="B12" i="67"/>
  <c r="F37" i="72"/>
  <c r="L48" i="44"/>
  <c r="E13" i="67"/>
  <c r="J3" i="65"/>
  <c r="B9" i="67"/>
  <c r="J15" i="72"/>
  <c r="F6" i="74"/>
  <c r="F35" i="70"/>
  <c r="M31" i="44"/>
  <c r="M25" i="44"/>
  <c r="I6" i="65"/>
  <c r="N6" i="65"/>
  <c r="F40" i="71"/>
  <c r="M28" i="71"/>
  <c r="F42" i="70"/>
  <c r="F11" i="44"/>
  <c r="F36" i="15"/>
  <c r="F18" i="44"/>
  <c r="N4" i="65"/>
  <c r="F7" i="15"/>
  <c r="F39" i="44"/>
  <c r="M28" i="44"/>
  <c r="J15" i="15"/>
  <c r="J36" i="74"/>
  <c r="M22" i="15"/>
  <c r="M24" i="70"/>
  <c r="F43" i="15"/>
  <c r="J36" i="15"/>
  <c r="F9" i="70"/>
  <c r="F42" i="71"/>
  <c r="F40" i="72"/>
  <c r="E10" i="67"/>
  <c r="M22" i="74"/>
  <c r="J15" i="74"/>
  <c r="F38" i="74"/>
  <c r="J4" i="65"/>
  <c r="F26" i="74"/>
  <c r="F14" i="67"/>
  <c r="F6" i="72"/>
  <c r="F38" i="72"/>
  <c r="M8" i="74"/>
  <c r="F36" i="71"/>
  <c r="F26" i="71"/>
  <c r="J15" i="70"/>
  <c r="C14" i="70"/>
  <c r="F38" i="44"/>
  <c r="M24" i="72"/>
  <c r="E11" i="67"/>
  <c r="F9" i="71"/>
  <c r="F43" i="72"/>
  <c r="B7" i="67"/>
  <c r="M8" i="72"/>
  <c r="F43" i="44"/>
  <c r="M22" i="72"/>
  <c r="M22" i="70"/>
  <c r="F13" i="67"/>
  <c r="M6" i="72"/>
  <c r="F46" i="44"/>
  <c r="M29" i="70"/>
  <c r="M9" i="71"/>
  <c r="F16" i="70"/>
  <c r="F13" i="70"/>
  <c r="M29" i="44"/>
  <c r="L47" i="70"/>
  <c r="B8" i="67"/>
  <c r="F9" i="67"/>
  <c r="M23" i="44"/>
  <c r="M24" i="71"/>
  <c r="F8" i="72"/>
  <c r="M28" i="74"/>
  <c r="F43" i="70"/>
  <c r="M26" i="71"/>
  <c r="L48" i="72"/>
  <c r="N3" i="65"/>
  <c r="F36" i="70"/>
  <c r="M24" i="44"/>
  <c r="F40" i="15"/>
  <c r="J7" i="65"/>
  <c r="F26" i="15"/>
  <c r="E7" i="67"/>
  <c r="M21" i="70"/>
  <c r="M11" i="44"/>
  <c r="L48" i="74"/>
  <c r="I7" i="65"/>
  <c r="F16" i="72"/>
  <c r="F13" i="74"/>
  <c r="J17" i="44"/>
  <c r="F8" i="71"/>
  <c r="F45" i="44"/>
  <c r="M27" i="72"/>
  <c r="M9" i="72"/>
  <c r="F15" i="44"/>
  <c r="M29" i="71"/>
  <c r="C19" i="44"/>
  <c r="M23" i="70"/>
  <c r="F40" i="70"/>
  <c r="F8" i="74"/>
  <c r="M8" i="44"/>
  <c r="F38" i="15"/>
  <c r="M29" i="15"/>
  <c r="F10" i="67"/>
  <c r="F7" i="71"/>
  <c r="E2" i="65"/>
  <c r="F9" i="44"/>
  <c r="F28" i="44"/>
  <c r="L48" i="71"/>
  <c r="M8" i="70"/>
  <c r="M9" i="15"/>
  <c r="F9" i="72"/>
  <c r="L48" i="15"/>
  <c r="F8" i="44"/>
  <c r="F6" i="15"/>
  <c r="F7" i="70"/>
  <c r="N5" i="65"/>
  <c r="E8" i="67"/>
  <c r="C14" i="74"/>
  <c r="M29" i="72"/>
  <c r="M26" i="44"/>
  <c r="M27" i="15"/>
  <c r="C14" i="15"/>
  <c r="M27" i="71"/>
  <c r="F43" i="74"/>
  <c r="F26" i="70"/>
  <c r="F42" i="72"/>
  <c r="I3" i="65"/>
  <c r="M24" i="74"/>
  <c r="L47" i="74"/>
  <c r="F37" i="74"/>
  <c r="F8" i="67"/>
  <c r="F37" i="71"/>
  <c r="F9" i="15"/>
  <c r="M22" i="71"/>
  <c r="F40" i="44"/>
  <c r="M21" i="72"/>
  <c r="J20" i="72" l="1"/>
  <c r="F64" i="71"/>
  <c r="F64" i="74"/>
  <c r="L59" i="74"/>
  <c r="Q62" i="74" s="1"/>
  <c r="L58" i="74"/>
  <c r="Q61" i="74" s="1"/>
  <c r="C27" i="70"/>
  <c r="F70" i="74"/>
  <c r="C15" i="15"/>
  <c r="C18" i="15"/>
  <c r="C15" i="74"/>
  <c r="C18" i="74"/>
  <c r="F49" i="70"/>
  <c r="M7" i="70"/>
  <c r="J6" i="70" s="1"/>
  <c r="C6" i="15"/>
  <c r="C8" i="44"/>
  <c r="J60" i="15"/>
  <c r="Q49" i="15" s="1"/>
  <c r="J57" i="15"/>
  <c r="J55" i="15" s="1"/>
  <c r="J58" i="15" s="1"/>
  <c r="Q51" i="15" s="1"/>
  <c r="J59" i="15"/>
  <c r="J53" i="15"/>
  <c r="F1" i="15" s="1"/>
  <c r="L56" i="15"/>
  <c r="L60" i="15"/>
  <c r="Q58" i="15" s="1"/>
  <c r="L56" i="71"/>
  <c r="L60" i="71"/>
  <c r="J53" i="71"/>
  <c r="Q53" i="71" s="1"/>
  <c r="I54" i="71"/>
  <c r="L57" i="71"/>
  <c r="J57" i="71"/>
  <c r="J55" i="71" s="1"/>
  <c r="J58" i="71" s="1"/>
  <c r="Q51" i="71" s="1"/>
  <c r="J60" i="71"/>
  <c r="Q49" i="71" s="1"/>
  <c r="J59" i="71"/>
  <c r="C29" i="44"/>
  <c r="M9" i="44"/>
  <c r="J8" i="44" s="1"/>
  <c r="B40" i="1"/>
  <c r="F26" i="44" s="1"/>
  <c r="C26" i="44" s="1"/>
  <c r="M7" i="71"/>
  <c r="J6" i="71" s="1"/>
  <c r="F49" i="71"/>
  <c r="F65" i="15"/>
  <c r="F50" i="74"/>
  <c r="F67" i="70"/>
  <c r="F50" i="71"/>
  <c r="C48" i="71" s="1"/>
  <c r="L56" i="74"/>
  <c r="J60" i="74"/>
  <c r="Q49" i="74" s="1"/>
  <c r="J59" i="74"/>
  <c r="J53" i="74"/>
  <c r="Q53" i="74" s="1"/>
  <c r="J57" i="74"/>
  <c r="J55" i="74" s="1"/>
  <c r="J58" i="74" s="1"/>
  <c r="Q51" i="74" s="1"/>
  <c r="L60" i="74"/>
  <c r="Q58" i="74" s="1"/>
  <c r="J20" i="70"/>
  <c r="E3" i="67"/>
  <c r="C27" i="15"/>
  <c r="F67" i="15"/>
  <c r="F63" i="70"/>
  <c r="L60" i="72"/>
  <c r="Q67" i="72" s="1"/>
  <c r="J60" i="72"/>
  <c r="Q49" i="72" s="1"/>
  <c r="L56" i="72"/>
  <c r="L57" i="72"/>
  <c r="J59" i="72"/>
  <c r="I54" i="72"/>
  <c r="J57" i="72"/>
  <c r="J55" i="72" s="1"/>
  <c r="J58" i="72" s="1"/>
  <c r="Q51" i="72" s="1"/>
  <c r="J53" i="72"/>
  <c r="F1" i="72" s="1"/>
  <c r="F70" i="70"/>
  <c r="F50" i="72"/>
  <c r="J22" i="44"/>
  <c r="L58" i="70"/>
  <c r="Q61" i="70" s="1"/>
  <c r="L59" i="70"/>
  <c r="Q75" i="70" s="1"/>
  <c r="Q73" i="44"/>
  <c r="B2" i="67"/>
  <c r="F70" i="72"/>
  <c r="C18" i="70"/>
  <c r="C15" i="70"/>
  <c r="C27" i="71"/>
  <c r="F63" i="71"/>
  <c r="F65" i="72"/>
  <c r="C6" i="72"/>
  <c r="C27" i="74"/>
  <c r="F65" i="74"/>
  <c r="F67" i="72"/>
  <c r="Q72" i="15"/>
  <c r="F70" i="15"/>
  <c r="Q72" i="74"/>
  <c r="M7" i="15"/>
  <c r="J6" i="15" s="1"/>
  <c r="F49" i="15"/>
  <c r="C4" i="65"/>
  <c r="B39" i="1" s="1"/>
  <c r="F63" i="15"/>
  <c r="F67" i="71"/>
  <c r="C34" i="70"/>
  <c r="F62" i="70"/>
  <c r="C61" i="70" s="1"/>
  <c r="C6" i="74"/>
  <c r="J1" i="65"/>
  <c r="L60" i="44"/>
  <c r="Q76" i="44" s="1"/>
  <c r="L59" i="44"/>
  <c r="Q75" i="44" s="1"/>
  <c r="F64" i="72"/>
  <c r="Q72" i="71"/>
  <c r="F63" i="74"/>
  <c r="C6" i="70"/>
  <c r="L58" i="72"/>
  <c r="Q61" i="72" s="1"/>
  <c r="L59" i="72"/>
  <c r="Q75" i="72" s="1"/>
  <c r="Q72" i="72"/>
  <c r="F70" i="71"/>
  <c r="F50" i="70"/>
  <c r="F65" i="71"/>
  <c r="J20" i="71"/>
  <c r="J20" i="74"/>
  <c r="C34" i="72"/>
  <c r="F62" i="72"/>
  <c r="C61" i="72" s="1"/>
  <c r="E20" i="46"/>
  <c r="C36" i="44"/>
  <c r="C34" i="74"/>
  <c r="F62" i="74"/>
  <c r="C61" i="74" s="1"/>
  <c r="C27" i="72"/>
  <c r="F49" i="74"/>
  <c r="M7" i="74"/>
  <c r="J6" i="74" s="1"/>
  <c r="F62" i="71"/>
  <c r="C61" i="71" s="1"/>
  <c r="C34" i="71"/>
  <c r="F50" i="15"/>
  <c r="C48" i="15" s="1"/>
  <c r="C6" i="71"/>
  <c r="J20" i="15"/>
  <c r="F67" i="74"/>
  <c r="F65" i="70"/>
  <c r="Q72" i="70"/>
  <c r="C18" i="71"/>
  <c r="C15" i="71"/>
  <c r="J54" i="44"/>
  <c r="F1" i="44" s="1"/>
  <c r="J61" i="44"/>
  <c r="Q50" i="44" s="1"/>
  <c r="I55" i="44"/>
  <c r="L57" i="44"/>
  <c r="J58" i="44"/>
  <c r="J56" i="44" s="1"/>
  <c r="J59" i="44" s="1"/>
  <c r="Q52" i="44" s="1"/>
  <c r="J60" i="44"/>
  <c r="F63" i="72"/>
  <c r="C20" i="44"/>
  <c r="C17" i="44"/>
  <c r="F64" i="15"/>
  <c r="L59" i="15"/>
  <c r="Q62" i="15" s="1"/>
  <c r="L58" i="15"/>
  <c r="Q61" i="15" s="1"/>
  <c r="C34" i="15"/>
  <c r="F62" i="15"/>
  <c r="C61" i="15" s="1"/>
  <c r="J53" i="70"/>
  <c r="J57" i="70"/>
  <c r="J55" i="70" s="1"/>
  <c r="J58" i="70" s="1"/>
  <c r="Q51" i="70" s="1"/>
  <c r="L57" i="70"/>
  <c r="L56" i="70"/>
  <c r="I54" i="70"/>
  <c r="L60" i="70"/>
  <c r="Q58" i="70" s="1"/>
  <c r="F64" i="70"/>
  <c r="M7" i="72"/>
  <c r="J6" i="72" s="1"/>
  <c r="F49" i="72"/>
  <c r="L59" i="71"/>
  <c r="Q75" i="71" s="1"/>
  <c r="L58" i="71"/>
  <c r="Q74" i="71" s="1"/>
  <c r="C15" i="72"/>
  <c r="C18" i="72"/>
  <c r="F21" i="43"/>
  <c r="C23" i="43" s="1"/>
  <c r="D21" i="43" s="1"/>
  <c r="Q74" i="72"/>
  <c r="F24" i="15"/>
  <c r="C24" i="15" s="1"/>
  <c r="L47" i="44"/>
  <c r="F13" i="44"/>
  <c r="C12" i="44" s="1"/>
  <c r="C7" i="44" s="1"/>
  <c r="C40" i="44" s="1"/>
  <c r="F24" i="72"/>
  <c r="C24" i="72" s="1"/>
  <c r="F24" i="70"/>
  <c r="C24" i="70" s="1"/>
  <c r="Q75" i="15"/>
  <c r="F1" i="71"/>
  <c r="O17" i="46"/>
  <c r="Q54" i="44"/>
  <c r="Q61" i="71"/>
  <c r="F11" i="74"/>
  <c r="C10" i="74" s="1"/>
  <c r="C5" i="74" s="1"/>
  <c r="C33" i="74" s="1"/>
  <c r="M11" i="15"/>
  <c r="J10" i="15" s="1"/>
  <c r="J5" i="15" s="1"/>
  <c r="M11" i="74"/>
  <c r="J10" i="74" s="1"/>
  <c r="J5" i="74" s="1"/>
  <c r="J24" i="74" s="1"/>
  <c r="Q74" i="74"/>
  <c r="F24" i="74"/>
  <c r="C24" i="74" s="1"/>
  <c r="N17" i="46"/>
  <c r="Q75" i="74"/>
  <c r="F26" i="12"/>
  <c r="C27" i="12" s="1"/>
  <c r="D26" i="12" s="1"/>
  <c r="C32" i="12" s="1"/>
  <c r="D30" i="12" s="1"/>
  <c r="Q62" i="71"/>
  <c r="F24" i="71"/>
  <c r="C24" i="71" s="1"/>
  <c r="Q63" i="44"/>
  <c r="Q74" i="70"/>
  <c r="Q58" i="72"/>
  <c r="B3" i="67"/>
  <c r="C48" i="72"/>
  <c r="C48" i="70"/>
  <c r="C48" i="74"/>
  <c r="Q74" i="15"/>
  <c r="F11" i="72"/>
  <c r="C52" i="72" s="1"/>
  <c r="M11" i="72"/>
  <c r="J10" i="72" s="1"/>
  <c r="J5" i="72" s="1"/>
  <c r="J18" i="72" s="1"/>
  <c r="Q67" i="15"/>
  <c r="Q62" i="70"/>
  <c r="M13" i="44"/>
  <c r="J12" i="44" s="1"/>
  <c r="J7" i="44" s="1"/>
  <c r="J28" i="44" s="1"/>
  <c r="J31" i="44" s="1"/>
  <c r="Q67" i="44" s="1"/>
  <c r="F11" i="70"/>
  <c r="C52" i="70" s="1"/>
  <c r="Q62" i="44"/>
  <c r="M11" i="70"/>
  <c r="J10" i="70" s="1"/>
  <c r="J5" i="70" s="1"/>
  <c r="J24" i="70" s="1"/>
  <c r="F1" i="74"/>
  <c r="F11" i="15"/>
  <c r="C52" i="15" s="1"/>
  <c r="C47" i="15" s="1"/>
  <c r="Q53" i="72"/>
  <c r="Q67" i="70"/>
  <c r="Q62" i="72"/>
  <c r="Q53" i="15"/>
  <c r="Q67" i="74"/>
  <c r="P17" i="46"/>
  <c r="J13" i="39"/>
  <c r="H13" i="39"/>
  <c r="F13" i="39"/>
  <c r="C22" i="43"/>
  <c r="C21" i="43" s="1"/>
  <c r="C28" i="43" s="1"/>
  <c r="C30" i="43" s="1"/>
  <c r="C32" i="43" s="1"/>
  <c r="B2" i="43" s="1"/>
  <c r="B3" i="43" s="1"/>
  <c r="AE11" i="1"/>
  <c r="F41" i="72" s="1"/>
  <c r="C17" i="70"/>
  <c r="C17" i="15"/>
  <c r="C18" i="44"/>
  <c r="E3" i="65"/>
  <c r="C16" i="15"/>
  <c r="C16" i="74"/>
  <c r="F7" i="67"/>
  <c r="C16" i="71"/>
  <c r="L52" i="44"/>
  <c r="C17" i="74"/>
  <c r="AE8" i="1"/>
  <c r="F41" i="15" s="1"/>
  <c r="C16" i="72"/>
  <c r="C16" i="70"/>
  <c r="C17" i="72"/>
  <c r="C17" i="71"/>
  <c r="AE10" i="1"/>
  <c r="F41" i="74"/>
  <c r="C19" i="70" l="1"/>
  <c r="C20" i="70" s="1"/>
  <c r="C26" i="70" s="1"/>
  <c r="C19" i="72"/>
  <c r="C20" i="72" s="1"/>
  <c r="F68" i="15"/>
  <c r="C19" i="71"/>
  <c r="C20" i="71" s="1"/>
  <c r="E4" i="67"/>
  <c r="B4" i="67" s="1"/>
  <c r="C19" i="74"/>
  <c r="C19" i="15"/>
  <c r="C20" i="15" s="1"/>
  <c r="C26" i="15" s="1"/>
  <c r="F17" i="11"/>
  <c r="C17" i="11" s="1"/>
  <c r="C19" i="11" s="1"/>
  <c r="C20" i="11" s="1"/>
  <c r="C21" i="11" s="1"/>
  <c r="C22" i="11" s="1"/>
  <c r="C23" i="11" s="1"/>
  <c r="B2" i="11" s="1"/>
  <c r="B3" i="11" s="1"/>
  <c r="C21" i="44"/>
  <c r="C22" i="44" s="1"/>
  <c r="C28" i="44" s="1"/>
  <c r="F68" i="72"/>
  <c r="Q53" i="70"/>
  <c r="F1" i="70"/>
  <c r="F11" i="71"/>
  <c r="M11" i="71"/>
  <c r="J10" i="71" s="1"/>
  <c r="J5" i="71" s="1"/>
  <c r="J26" i="71" s="1"/>
  <c r="Q67" i="71"/>
  <c r="Q58" i="71"/>
  <c r="M17" i="46"/>
  <c r="J24" i="72"/>
  <c r="J18" i="70"/>
  <c r="J26" i="15"/>
  <c r="J29" i="15" s="1"/>
  <c r="J18" i="15"/>
  <c r="J24" i="15"/>
  <c r="J26" i="74"/>
  <c r="J18" i="71"/>
  <c r="J26" i="72"/>
  <c r="J29" i="72" s="1"/>
  <c r="J24" i="71"/>
  <c r="C25" i="44"/>
  <c r="C31" i="44" s="1"/>
  <c r="C38" i="44" s="1"/>
  <c r="J26" i="70"/>
  <c r="C47" i="72"/>
  <c r="C60" i="72" s="1"/>
  <c r="Q49" i="44"/>
  <c r="Q55" i="44" s="1"/>
  <c r="C38" i="74"/>
  <c r="C52" i="74"/>
  <c r="C47" i="74" s="1"/>
  <c r="C60" i="74" s="1"/>
  <c r="C32" i="74"/>
  <c r="Q58" i="44"/>
  <c r="B4" i="11"/>
  <c r="J18" i="74"/>
  <c r="L58" i="44"/>
  <c r="L61" i="44" s="1"/>
  <c r="Q68" i="44" s="1"/>
  <c r="Q77" i="44" s="1"/>
  <c r="Q69" i="44"/>
  <c r="B5" i="11"/>
  <c r="C10" i="72"/>
  <c r="C5" i="72" s="1"/>
  <c r="C38" i="72" s="1"/>
  <c r="C23" i="15"/>
  <c r="C29" i="15" s="1"/>
  <c r="J19" i="15" s="1"/>
  <c r="C34" i="44"/>
  <c r="C26" i="72"/>
  <c r="J26" i="44"/>
  <c r="J20" i="44"/>
  <c r="C47" i="70"/>
  <c r="C60" i="70" s="1"/>
  <c r="C60" i="15"/>
  <c r="C59" i="15"/>
  <c r="C23" i="70"/>
  <c r="C29" i="70" s="1"/>
  <c r="J59" i="70" s="1"/>
  <c r="J60" i="70" s="1"/>
  <c r="Q49" i="70" s="1"/>
  <c r="C65" i="70"/>
  <c r="C65" i="15"/>
  <c r="B5" i="43"/>
  <c r="C10" i="70"/>
  <c r="C5" i="70" s="1"/>
  <c r="C38" i="70" s="1"/>
  <c r="C10" i="15"/>
  <c r="C5" i="15" s="1"/>
  <c r="C38" i="15" s="1"/>
  <c r="F68" i="74"/>
  <c r="J29" i="74"/>
  <c r="C20" i="74"/>
  <c r="C23" i="74" s="1"/>
  <c r="C33" i="15"/>
  <c r="AB13" i="39"/>
  <c r="T49" i="39" s="1"/>
  <c r="G49" i="39" s="1"/>
  <c r="U13" i="39"/>
  <c r="S13" i="39"/>
  <c r="AA13" i="39"/>
  <c r="R49" i="39" s="1"/>
  <c r="AC13" i="39"/>
  <c r="V49" i="39" s="1"/>
  <c r="I49" i="39" s="1"/>
  <c r="W13" i="39"/>
  <c r="C33" i="70"/>
  <c r="C35" i="44"/>
  <c r="C32" i="72"/>
  <c r="B4" i="43"/>
  <c r="C31" i="74"/>
  <c r="F41" i="71"/>
  <c r="AE9" i="1"/>
  <c r="F68" i="71" l="1"/>
  <c r="J29" i="71"/>
  <c r="C23" i="72"/>
  <c r="C26" i="71"/>
  <c r="C29" i="71" s="1"/>
  <c r="C56" i="71" s="1"/>
  <c r="C63" i="71" s="1"/>
  <c r="C23" i="71"/>
  <c r="C10" i="71"/>
  <c r="C5" i="71" s="1"/>
  <c r="C52" i="71"/>
  <c r="C47" i="71" s="1"/>
  <c r="J16" i="44"/>
  <c r="J24" i="44" s="1"/>
  <c r="C15" i="44"/>
  <c r="Q72" i="44" s="1"/>
  <c r="C65" i="72"/>
  <c r="C59" i="72"/>
  <c r="C58" i="72" s="1"/>
  <c r="J21" i="44"/>
  <c r="Q51" i="44"/>
  <c r="J17" i="15"/>
  <c r="C56" i="70"/>
  <c r="C63" i="70" s="1"/>
  <c r="Q50" i="15"/>
  <c r="C33" i="72"/>
  <c r="C31" i="72" s="1"/>
  <c r="C33" i="44"/>
  <c r="C59" i="70"/>
  <c r="C58" i="70" s="1"/>
  <c r="C59" i="74"/>
  <c r="C58" i="74" s="1"/>
  <c r="C65" i="74"/>
  <c r="J19" i="44"/>
  <c r="Q59" i="44"/>
  <c r="Q64" i="44" s="1"/>
  <c r="C29" i="72"/>
  <c r="C13" i="72" s="1"/>
  <c r="C58" i="15"/>
  <c r="C13" i="70"/>
  <c r="C55" i="70" s="1"/>
  <c r="C64" i="70" s="1"/>
  <c r="J14" i="15"/>
  <c r="J22" i="15" s="1"/>
  <c r="C36" i="70"/>
  <c r="J14" i="70"/>
  <c r="J13" i="70" s="1"/>
  <c r="J23" i="70" s="1"/>
  <c r="Q50" i="70"/>
  <c r="J19" i="70"/>
  <c r="J17" i="70" s="1"/>
  <c r="C13" i="15"/>
  <c r="C37" i="15" s="1"/>
  <c r="C56" i="15"/>
  <c r="C63" i="15" s="1"/>
  <c r="C36" i="15"/>
  <c r="C32" i="15"/>
  <c r="C31" i="15" s="1"/>
  <c r="C32" i="70"/>
  <c r="C31" i="70" s="1"/>
  <c r="C26" i="74"/>
  <c r="C29" i="74" s="1"/>
  <c r="R50" i="39"/>
  <c r="E49" i="39"/>
  <c r="I54" i="39" s="1"/>
  <c r="J54" i="39" s="1"/>
  <c r="I53" i="39"/>
  <c r="J53" i="39" s="1"/>
  <c r="G53" i="39"/>
  <c r="H53" i="39" s="1"/>
  <c r="G54" i="39"/>
  <c r="H54" i="39" s="1"/>
  <c r="J15" i="44"/>
  <c r="J25" i="44" s="1"/>
  <c r="Q71" i="15"/>
  <c r="Q50" i="71"/>
  <c r="J35" i="15"/>
  <c r="C36" i="71"/>
  <c r="F41" i="70"/>
  <c r="F68" i="70" l="1"/>
  <c r="J29" i="70"/>
  <c r="C32" i="71"/>
  <c r="C33" i="71"/>
  <c r="C31" i="71" s="1"/>
  <c r="C38" i="71"/>
  <c r="J14" i="71"/>
  <c r="J19" i="71"/>
  <c r="J17" i="71" s="1"/>
  <c r="C13" i="71"/>
  <c r="Q71" i="71" s="1"/>
  <c r="C43" i="44"/>
  <c r="C60" i="71"/>
  <c r="C59" i="71"/>
  <c r="C65" i="71"/>
  <c r="C39" i="44"/>
  <c r="J18" i="44"/>
  <c r="J27" i="44" s="1"/>
  <c r="C32" i="44"/>
  <c r="C42" i="44" s="1"/>
  <c r="Q50" i="72"/>
  <c r="Q71" i="70"/>
  <c r="J35" i="70"/>
  <c r="J19" i="72"/>
  <c r="J17" i="72" s="1"/>
  <c r="C56" i="72"/>
  <c r="C63" i="72" s="1"/>
  <c r="C57" i="70"/>
  <c r="C66" i="70" s="1"/>
  <c r="C67" i="70" s="1"/>
  <c r="C70" i="70" s="1"/>
  <c r="C30" i="15"/>
  <c r="C39" i="15" s="1"/>
  <c r="Q70" i="15" s="1"/>
  <c r="Q69" i="15" s="1"/>
  <c r="C55" i="15"/>
  <c r="C64" i="15" s="1"/>
  <c r="C57" i="15" s="1"/>
  <c r="C66" i="15" s="1"/>
  <c r="C67" i="15" s="1"/>
  <c r="C70" i="15" s="1"/>
  <c r="J13" i="15"/>
  <c r="J23" i="15" s="1"/>
  <c r="J16" i="15" s="1"/>
  <c r="J25" i="15" s="1"/>
  <c r="C37" i="70"/>
  <c r="C30" i="70" s="1"/>
  <c r="C39" i="70" s="1"/>
  <c r="C40" i="70" s="1"/>
  <c r="C46" i="70" s="1"/>
  <c r="C37" i="72"/>
  <c r="C55" i="72"/>
  <c r="C64" i="72" s="1"/>
  <c r="J35" i="72"/>
  <c r="Q71" i="72"/>
  <c r="J14" i="72"/>
  <c r="C36" i="72"/>
  <c r="J22" i="70"/>
  <c r="J16" i="70" s="1"/>
  <c r="J25" i="70" s="1"/>
  <c r="C56" i="74"/>
  <c r="C63" i="74" s="1"/>
  <c r="C13" i="74"/>
  <c r="C36" i="74"/>
  <c r="J14" i="74"/>
  <c r="J19" i="74"/>
  <c r="J17" i="74" s="1"/>
  <c r="Q50" i="74"/>
  <c r="E54" i="39"/>
  <c r="F54" i="39" s="1"/>
  <c r="E53" i="39"/>
  <c r="F53" i="39" s="1"/>
  <c r="C50" i="39"/>
  <c r="C49" i="39"/>
  <c r="C44" i="44"/>
  <c r="C45" i="44" s="1"/>
  <c r="B2" i="44" s="1"/>
  <c r="B5" i="44" s="1"/>
  <c r="C55" i="71"/>
  <c r="C64" i="71" s="1"/>
  <c r="C37" i="71"/>
  <c r="C30" i="71" s="1"/>
  <c r="C39" i="71" s="1"/>
  <c r="J35" i="71"/>
  <c r="Q71" i="44"/>
  <c r="Q70" i="44" s="1"/>
  <c r="L51" i="71"/>
  <c r="L51" i="70"/>
  <c r="L51" i="15"/>
  <c r="J22" i="71" l="1"/>
  <c r="J13" i="71"/>
  <c r="J23" i="71" s="1"/>
  <c r="C58" i="71"/>
  <c r="C57" i="71" s="1"/>
  <c r="C66" i="71" s="1"/>
  <c r="C67" i="71" s="1"/>
  <c r="C70" i="71" s="1"/>
  <c r="C57" i="72"/>
  <c r="C66" i="72" s="1"/>
  <c r="C67" i="72" s="1"/>
  <c r="C70" i="72" s="1"/>
  <c r="Q68" i="15"/>
  <c r="L57" i="15"/>
  <c r="J39" i="15"/>
  <c r="J40" i="15" s="1"/>
  <c r="C40" i="15"/>
  <c r="Q57" i="15" s="1"/>
  <c r="Q63" i="15" s="1"/>
  <c r="C30" i="72"/>
  <c r="C39" i="72" s="1"/>
  <c r="J39" i="72" s="1"/>
  <c r="J40" i="72" s="1"/>
  <c r="C40" i="72"/>
  <c r="J13" i="72"/>
  <c r="J23" i="72" s="1"/>
  <c r="J22" i="72"/>
  <c r="Q66" i="15"/>
  <c r="Q76" i="15" s="1"/>
  <c r="Q70" i="70"/>
  <c r="Q69" i="70" s="1"/>
  <c r="C46" i="15"/>
  <c r="Q68" i="70"/>
  <c r="J13" i="74"/>
  <c r="J23" i="74" s="1"/>
  <c r="J22" i="74"/>
  <c r="C37" i="74"/>
  <c r="C30" i="74" s="1"/>
  <c r="C39" i="74" s="1"/>
  <c r="J35" i="74"/>
  <c r="Q71" i="74"/>
  <c r="C55" i="74"/>
  <c r="C64" i="74" s="1"/>
  <c r="C57" i="74" s="1"/>
  <c r="C66" i="74" s="1"/>
  <c r="C67" i="74" s="1"/>
  <c r="C70" i="74" s="1"/>
  <c r="J39" i="70"/>
  <c r="J40" i="70" s="1"/>
  <c r="B67" i="39"/>
  <c r="F67" i="39" s="1"/>
  <c r="B66" i="39"/>
  <c r="F66" i="39" s="1"/>
  <c r="B65" i="39"/>
  <c r="F65" i="39" s="1"/>
  <c r="B64" i="39"/>
  <c r="F64" i="39" s="1"/>
  <c r="B63" i="39"/>
  <c r="F63" i="39" s="1"/>
  <c r="B61" i="39"/>
  <c r="F61" i="39" s="1"/>
  <c r="B58" i="39"/>
  <c r="F58" i="39" s="1"/>
  <c r="B62" i="39"/>
  <c r="F62" i="39" s="1"/>
  <c r="B60" i="39"/>
  <c r="F60" i="39" s="1"/>
  <c r="B59" i="39"/>
  <c r="F59" i="39" s="1"/>
  <c r="B3" i="44"/>
  <c r="Q70" i="71"/>
  <c r="Q69" i="71" s="1"/>
  <c r="C40" i="71"/>
  <c r="Q66" i="71" s="1"/>
  <c r="Q76" i="71" s="1"/>
  <c r="B4" i="44"/>
  <c r="Q57" i="70"/>
  <c r="Q63" i="70" s="1"/>
  <c r="Q68" i="71"/>
  <c r="J39" i="71"/>
  <c r="J40" i="71" s="1"/>
  <c r="Q66" i="72"/>
  <c r="Q76" i="72" s="1"/>
  <c r="J42" i="70"/>
  <c r="J43" i="70" s="1"/>
  <c r="Q48" i="70"/>
  <c r="Q54" i="70" s="1"/>
  <c r="C43" i="70"/>
  <c r="B2" i="70"/>
  <c r="B3" i="70" s="1"/>
  <c r="Q66" i="70"/>
  <c r="Q76" i="70" s="1"/>
  <c r="L51" i="72"/>
  <c r="L51" i="74"/>
  <c r="C46" i="71" l="1"/>
  <c r="C46" i="72"/>
  <c r="J16" i="71"/>
  <c r="J25" i="71" s="1"/>
  <c r="B2" i="15"/>
  <c r="B3" i="15" s="1"/>
  <c r="E8" i="12" s="1"/>
  <c r="Q48" i="15"/>
  <c r="Q54" i="15" s="1"/>
  <c r="C43" i="72"/>
  <c r="Q48" i="72"/>
  <c r="Q54" i="72" s="1"/>
  <c r="C43" i="15"/>
  <c r="J42" i="15"/>
  <c r="J43" i="15" s="1"/>
  <c r="Q68" i="72"/>
  <c r="B2" i="72"/>
  <c r="H10" i="12" s="1"/>
  <c r="J42" i="72"/>
  <c r="J43" i="72" s="1"/>
  <c r="Q57" i="72"/>
  <c r="Q63" i="72" s="1"/>
  <c r="J16" i="72"/>
  <c r="J25" i="72" s="1"/>
  <c r="Q70" i="72"/>
  <c r="Q69" i="72" s="1"/>
  <c r="Q48" i="71"/>
  <c r="Q54" i="71" s="1"/>
  <c r="L57" i="74"/>
  <c r="Q68" i="74"/>
  <c r="Q70" i="74"/>
  <c r="Q69" i="74" s="1"/>
  <c r="C40" i="74"/>
  <c r="J39" i="74"/>
  <c r="J40" i="74" s="1"/>
  <c r="J16" i="74"/>
  <c r="J25" i="74" s="1"/>
  <c r="F68" i="39"/>
  <c r="B2" i="39" s="1"/>
  <c r="B2" i="71"/>
  <c r="G10" i="12" s="1"/>
  <c r="L11" i="12" s="1"/>
  <c r="J42" i="71"/>
  <c r="J43" i="71" s="1"/>
  <c r="Q57" i="71"/>
  <c r="Q63" i="71" s="1"/>
  <c r="C43" i="71"/>
  <c r="D19" i="9"/>
  <c r="E10" i="12" l="1"/>
  <c r="B3" i="71"/>
  <c r="G8" i="12" s="1"/>
  <c r="B3" i="72"/>
  <c r="H8" i="12" s="1"/>
  <c r="C46" i="74"/>
  <c r="Q48" i="74"/>
  <c r="Q54" i="74" s="1"/>
  <c r="B2" i="74"/>
  <c r="B3" i="74" s="1"/>
  <c r="C43" i="74"/>
  <c r="Q57" i="74"/>
  <c r="Q63" i="74" s="1"/>
  <c r="Q66" i="74"/>
  <c r="Q76" i="74" s="1"/>
  <c r="J42" i="74"/>
  <c r="J43" i="74" s="1"/>
  <c r="L44" i="9"/>
  <c r="B5" i="39"/>
  <c r="B3" i="39"/>
  <c r="B4" i="39"/>
  <c r="C6" i="12"/>
  <c r="D21" i="9"/>
  <c r="D20" i="9"/>
  <c r="C29" i="12" l="1"/>
  <c r="C24" i="12"/>
  <c r="C28" i="12" l="1"/>
  <c r="C26" i="12" s="1"/>
  <c r="C31" i="12" s="1"/>
  <c r="C30" i="12" s="1"/>
  <c r="C35" i="12"/>
  <c r="C33" i="12" s="1"/>
  <c r="C36" i="12" l="1"/>
  <c r="B2" i="12" s="1"/>
  <c r="C19" i="9"/>
  <c r="D22" i="9" l="1"/>
  <c r="L43" i="9"/>
  <c r="G19" i="9"/>
  <c r="B4" i="12"/>
  <c r="B3" i="12"/>
  <c r="B5" i="12"/>
  <c r="C20" i="9"/>
  <c r="C21" i="9"/>
  <c r="G21" i="9" l="1"/>
  <c r="G20" i="9"/>
  <c r="C32" i="9"/>
  <c r="N43" i="9"/>
  <c r="G22" i="9"/>
  <c r="O43" i="9" l="1"/>
  <c r="C35" i="9"/>
  <c r="F42" i="9" s="1"/>
  <c r="C33" i="9"/>
  <c r="C42" i="9"/>
  <c r="C34" i="9"/>
  <c r="O38" i="9"/>
  <c r="K25" i="9" l="1"/>
  <c r="K26" i="9"/>
  <c r="C44" i="9"/>
  <c r="R5" i="54"/>
  <c r="B48" i="63" s="1"/>
  <c r="D63" i="9"/>
  <c r="N68" i="9"/>
  <c r="D14" i="66"/>
  <c r="M38" i="9"/>
  <c r="K27" i="9" s="1"/>
  <c r="E42" i="9"/>
  <c r="P5" i="54" s="1"/>
  <c r="B46" i="63" s="1"/>
  <c r="N38" i="9"/>
  <c r="K28" i="9" s="1"/>
  <c r="D42" i="9"/>
  <c r="Q5" i="54" s="1"/>
  <c r="B47" i="63" s="1"/>
  <c r="E14" i="66" l="1"/>
  <c r="B5" i="66"/>
  <c r="F14" i="66"/>
  <c r="C103" i="9"/>
  <c r="C82" i="9"/>
  <c r="C81" i="9" s="1"/>
  <c r="C85" i="9" s="1"/>
  <c r="C86" i="9" s="1"/>
  <c r="D72" i="9" s="1"/>
  <c r="D77" i="9"/>
  <c r="N75" i="9" s="1"/>
  <c r="D70" i="9"/>
  <c r="C111" i="9"/>
  <c r="C104" i="9" s="1"/>
  <c r="C90" i="9"/>
  <c r="C96" i="9"/>
  <c r="C91" i="9" s="1"/>
  <c r="D71" i="9"/>
  <c r="D66" i="9" s="1"/>
  <c r="N72" i="9" s="1"/>
  <c r="E44" i="9"/>
  <c r="G14" i="66"/>
  <c r="B6" i="66" s="1"/>
  <c r="O39" i="9"/>
  <c r="N69" i="9"/>
  <c r="D44" i="9"/>
  <c r="F44" i="9"/>
  <c r="R6" i="54" l="1"/>
  <c r="B50" i="63" s="1"/>
  <c r="K29" i="9"/>
  <c r="K30" i="9" s="1"/>
  <c r="C113" i="9"/>
  <c r="D5" i="66"/>
  <c r="C5" i="66"/>
  <c r="M87" i="9"/>
  <c r="N87" i="9" s="1"/>
  <c r="M85" i="9"/>
  <c r="N85" i="9" s="1"/>
  <c r="M83" i="9"/>
  <c r="N83" i="9" s="1"/>
  <c r="M88" i="9"/>
  <c r="N88" i="9" s="1"/>
  <c r="M86" i="9"/>
  <c r="N86" i="9" s="1"/>
  <c r="M84" i="9"/>
  <c r="N84" i="9" s="1"/>
  <c r="D6" i="66"/>
  <c r="C6" i="66"/>
  <c r="C97" i="9"/>
  <c r="C98" i="9" l="1"/>
  <c r="E98" i="9" s="1"/>
  <c r="E99" i="9" s="1"/>
  <c r="N89" i="9"/>
  <c r="O89" i="9" s="1"/>
  <c r="C114" i="9"/>
  <c r="E114" i="9" s="1"/>
  <c r="E115" i="9" s="1"/>
  <c r="C99" i="9" l="1"/>
  <c r="C115" i="9"/>
  <c r="D76" i="9" s="1"/>
  <c r="D74" i="9" s="1"/>
  <c r="N74" i="9" s="1"/>
  <c r="O77" i="9" s="1"/>
  <c r="O78" i="9" s="1"/>
  <c r="Q77" i="9" l="1"/>
  <c r="O79" i="9"/>
  <c r="O80" i="9" s="1"/>
  <c r="O8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sony</author>
  </authors>
  <commentList>
    <comment ref="E88" authorId="0" shapeId="0">
      <text>
        <r>
          <rPr>
            <b/>
            <sz val="9"/>
            <color indexed="81"/>
            <rFont val="宋体"/>
            <family val="3"/>
            <charset val="134"/>
          </rPr>
          <t>sony:</t>
        </r>
        <r>
          <rPr>
            <sz val="9"/>
            <color indexed="81"/>
            <rFont val="宋体"/>
            <family val="3"/>
            <charset val="134"/>
          </rPr>
          <t xml:space="preserve">
车库</t>
        </r>
      </text>
    </comment>
  </commentList>
</comments>
</file>

<file path=xl/comments5.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<sst xmlns="http://schemas.openxmlformats.org/spreadsheetml/2006/main" count="9193" uniqueCount="3402">
  <si>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</si>
  <si>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</si>
  <si>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</si>
  <si>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</si>
  <si>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</si>
  <si>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</si>
  <si>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</si>
  <si>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</si>
  <si>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</si>
  <si>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</si>
  <si>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</si>
  <si>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</si>
  <si>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</si>
  <si>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</si>
  <si>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</si>
  <si>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</si>
  <si>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</si>
  <si>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</si>
  <si>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</si>
  <si>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</si>
  <si>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</si>
  <si>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</si>
  <si>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</si>
  <si>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</si>
  <si>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</si>
  <si>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</si>
  <si>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</si>
  <si>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</si>
  <si>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</si>
  <si>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</si>
  <si>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</si>
  <si>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</si>
  <si>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</si>
  <si>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</si>
  <si>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</si>
  <si>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</si>
  <si>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</si>
  <si>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</si>
  <si>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</si>
  <si>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</si>
  <si>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</si>
  <si>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</si>
  <si>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</si>
  <si>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</si>
  <si>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</si>
  <si>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</si>
  <si>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</si>
  <si>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</si>
  <si>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</si>
  <si>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</si>
  <si>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</si>
  <si>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</si>
  <si>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</si>
  <si>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</si>
  <si>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</si>
  <si>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</si>
  <si>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</si>
  <si>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</si>
  <si>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</si>
  <si>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</si>
  <si>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</si>
  <si>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</si>
  <si>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</si>
  <si>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</si>
  <si>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</si>
  <si>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</si>
  <si>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</si>
  <si>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</si>
  <si>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</si>
  <si>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</si>
  <si>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</si>
  <si>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</si>
  <si>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</si>
  <si>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</si>
  <si>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</si>
  <si>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</si>
  <si>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</si>
  <si>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</si>
  <si>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</si>
  <si>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</si>
  <si>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</si>
  <si>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</si>
  <si>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</si>
  <si>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</si>
  <si>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</si>
  <si>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</si>
  <si>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</si>
  <si>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</si>
  <si>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</si>
  <si>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</si>
  <si>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</si>
  <si>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</si>
  <si>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</si>
  <si>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</si>
  <si>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</si>
  <si>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</si>
  <si>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</si>
  <si>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</si>
  <si>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</si>
  <si>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</si>
  <si>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</si>
  <si>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</si>
  <si>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</si>
  <si>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</si>
  <si>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</si>
  <si>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</si>
  <si>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</si>
  <si>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</si>
  <si>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</si>
  <si>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</si>
  <si>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</si>
  <si>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</si>
  <si>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</si>
  <si>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</si>
  <si>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</si>
  <si>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</si>
  <si>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</si>
  <si>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</si>
  <si>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</si>
  <si>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</si>
  <si>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</si>
  <si>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</si>
  <si>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</si>
  <si>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</si>
  <si>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</si>
  <si>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</si>
  <si>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</si>
  <si>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</si>
  <si>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</si>
  <si>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</si>
  <si>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</si>
  <si>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</si>
  <si>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</si>
  <si>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</si>
  <si>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</si>
  <si>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</si>
  <si>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</si>
  <si>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</si>
  <si>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</si>
  <si>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</si>
  <si>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</si>
  <si>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</si>
  <si>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</si>
  <si>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</si>
  <si>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</si>
  <si>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</si>
  <si>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</si>
  <si>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</si>
  <si>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</si>
  <si>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</si>
  <si>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</si>
  <si>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</si>
  <si>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</si>
  <si>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</si>
  <si>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</si>
  <si>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</si>
  <si>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</si>
  <si>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</si>
  <si>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</si>
  <si>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</si>
  <si>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</si>
  <si>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</si>
  <si>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</si>
  <si>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</si>
  <si>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</si>
  <si>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</si>
  <si>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</si>
  <si>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</si>
  <si>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</si>
  <si>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</si>
  <si>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</si>
  <si>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</si>
  <si>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</si>
  <si>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</si>
  <si>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</si>
  <si>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</si>
  <si>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</si>
  <si>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</si>
  <si>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</si>
  <si>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</si>
  <si>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</si>
  <si>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</si>
  <si>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</si>
  <si>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</si>
  <si>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</si>
  <si>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</si>
  <si>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</si>
  <si>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</si>
  <si>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</si>
  <si>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</si>
  <si>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</si>
  <si>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</si>
  <si>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</si>
  <si>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</si>
  <si>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</si>
  <si>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</si>
  <si>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</si>
  <si>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</si>
  <si>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</si>
  <si>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</si>
  <si>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</si>
  <si>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</si>
  <si>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</si>
  <si>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</si>
  <si>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</si>
  <si>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</si>
  <si>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</si>
  <si>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</si>
  <si>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</si>
  <si>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</si>
  <si>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</si>
  <si>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</si>
  <si>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</si>
  <si>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</si>
  <si>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</si>
  <si>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</si>
  <si>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</si>
  <si>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</si>
  <si>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</si>
  <si>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</si>
  <si>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</si>
  <si>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</si>
  <si>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</si>
  <si>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</si>
  <si>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</si>
  <si>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</si>
  <si>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</si>
  <si>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</si>
  <si>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</si>
  <si>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</si>
  <si>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</si>
  <si>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</si>
  <si>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</si>
  <si>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</si>
  <si>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</si>
  <si>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</si>
  <si>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</si>
  <si>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</si>
  <si>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</si>
  <si>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</si>
  <si>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</si>
  <si>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</si>
  <si>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</si>
  <si>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</si>
  <si>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</si>
  <si>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</si>
  <si>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</si>
  <si>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</si>
  <si>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</si>
  <si>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</si>
  <si>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</si>
  <si>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</si>
  <si>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</si>
  <si>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</si>
  <si>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</si>
  <si>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</si>
  <si>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</si>
  <si>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</si>
  <si>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</si>
  <si>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</si>
  <si>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</si>
  <si>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</si>
  <si>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</si>
  <si>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</si>
  <si>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</si>
  <si>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</si>
  <si>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</si>
  <si>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</si>
  <si>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</si>
  <si>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</si>
  <si>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</si>
  <si>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</si>
  <si>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</si>
  <si>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</si>
  <si>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</si>
  <si>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</si>
  <si>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</si>
  <si>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</si>
  <si>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</si>
  <si>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</si>
  <si>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</si>
  <si>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</si>
  <si>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</si>
  <si>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</si>
  <si>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</si>
  <si>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</si>
  <si>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</si>
  <si>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</si>
  <si>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</si>
  <si>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</si>
  <si>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</si>
  <si>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</si>
  <si>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</si>
  <si>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</si>
  <si>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</si>
  <si>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</si>
  <si>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</si>
  <si>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</si>
  <si>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</si>
  <si>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</si>
  <si>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</si>
  <si>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</si>
  <si>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</si>
  <si>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</si>
  <si>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</si>
  <si>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</si>
  <si>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</si>
  <si>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</si>
  <si>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</si>
  <si>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</si>
  <si>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</si>
  <si>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</si>
  <si>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</si>
  <si>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</si>
  <si>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</si>
  <si>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</si>
  <si>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</si>
  <si>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</si>
  <si>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</si>
  <si>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</si>
  <si>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</si>
  <si>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</si>
  <si>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</si>
  <si>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</si>
  <si>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</si>
  <si>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</si>
  <si>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</si>
  <si>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</si>
  <si>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</si>
  <si>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</si>
  <si>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</si>
  <si>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</si>
  <si>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</si>
  <si>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</si>
  <si>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</si>
  <si>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</si>
  <si>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</si>
  <si>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</si>
  <si>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</si>
  <si>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</si>
  <si>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</si>
  <si>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</si>
  <si>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</si>
  <si>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</si>
  <si>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</si>
  <si>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</si>
  <si>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</si>
  <si>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</si>
  <si>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</si>
  <si>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</si>
  <si>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</si>
  <si>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</si>
  <si>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</si>
  <si>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</si>
  <si>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</si>
  <si>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</si>
  <si>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</si>
  <si>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</si>
  <si>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</si>
  <si>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</si>
  <si>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</si>
  <si>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</si>
  <si>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</si>
  <si>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</si>
  <si>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</si>
  <si>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</si>
  <si>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</si>
  <si>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</si>
  <si>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</si>
  <si>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</si>
  <si>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</si>
  <si>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</si>
  <si>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</si>
  <si>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</si>
  <si>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</si>
  <si>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</si>
  <si>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</si>
  <si>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</si>
  <si>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</si>
  <si>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</si>
  <si>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</si>
  <si>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</si>
  <si>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</si>
  <si>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</si>
  <si>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</si>
  <si>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</si>
  <si>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</si>
  <si>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</si>
  <si>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</si>
  <si>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</si>
  <si>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</si>
  <si>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</si>
  <si>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</si>
  <si>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</si>
  <si>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</si>
  <si>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</si>
  <si>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</si>
  <si>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</si>
  <si>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</si>
  <si>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</si>
  <si>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</si>
  <si>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</si>
  <si>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</si>
  <si>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</si>
  <si>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</si>
  <si>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</si>
  <si>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</si>
  <si>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</si>
  <si>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</si>
  <si>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</si>
  <si>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</si>
  <si>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</si>
  <si>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</si>
  <si>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</si>
  <si>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</si>
  <si>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</si>
  <si>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</si>
  <si>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</si>
  <si>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</si>
  <si>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</si>
  <si>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</si>
  <si>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</si>
  <si>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</si>
  <si>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</si>
  <si>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</si>
  <si>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</si>
  <si>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</si>
  <si>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</si>
  <si>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</si>
  <si>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</si>
  <si>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</si>
  <si>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</si>
  <si>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</si>
  <si>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</si>
  <si>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</si>
  <si>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</si>
  <si>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</si>
  <si>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</si>
  <si>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</si>
  <si>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</si>
  <si>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</si>
  <si>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</si>
  <si>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</si>
  <si>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</si>
  <si>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</si>
  <si>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</si>
  <si>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</si>
  <si>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</si>
  <si>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</si>
  <si>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</si>
  <si>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</si>
  <si>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</si>
  <si>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</si>
  <si>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</si>
  <si>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</si>
  <si>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</si>
  <si>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</si>
  <si>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</si>
  <si>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</si>
  <si>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</si>
  <si>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</si>
  <si>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</si>
  <si>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</si>
  <si>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</si>
  <si>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</si>
  <si>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</si>
  <si>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</si>
  <si>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</si>
  <si>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</si>
  <si>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</si>
  <si>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</si>
  <si>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</si>
  <si>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</si>
  <si>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</si>
  <si>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</si>
  <si>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</si>
  <si>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</si>
  <si>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</si>
  <si>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</si>
  <si>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</si>
  <si>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</si>
  <si>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</si>
  <si>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</si>
  <si>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</si>
  <si>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</si>
  <si>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</si>
  <si>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</si>
  <si>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</si>
  <si>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</si>
  <si>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</si>
  <si>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</si>
  <si>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</si>
  <si>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</si>
  <si>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</si>
  <si>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</si>
  <si>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</si>
  <si>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</si>
  <si>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</si>
  <si>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</si>
  <si>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</si>
  <si>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</si>
  <si>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</si>
  <si>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</si>
  <si>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</si>
  <si>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</si>
  <si>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</si>
  <si>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</si>
  <si>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</si>
  <si>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</si>
  <si>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</si>
  <si>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</si>
  <si>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</si>
  <si>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</si>
  <si>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</si>
  <si>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</si>
  <si>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</si>
  <si>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</si>
  <si>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</si>
  <si>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</si>
  <si>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</si>
  <si>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</si>
  <si>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</si>
  <si>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</si>
  <si>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</si>
  <si>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</si>
  <si>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</si>
  <si>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</si>
  <si>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</si>
  <si>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</si>
  <si>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</si>
  <si>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</si>
  <si>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</si>
  <si>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</si>
  <si>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</si>
  <si>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</si>
  <si>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</si>
  <si>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</si>
  <si>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</si>
  <si>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</si>
  <si>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</si>
  <si>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</si>
  <si>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</si>
  <si>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</si>
  <si>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</si>
  <si>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</si>
  <si>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</si>
  <si>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</si>
  <si>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</si>
  <si>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</si>
  <si>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</si>
  <si>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</si>
  <si>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</si>
  <si>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</si>
  <si>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</si>
  <si>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</si>
  <si>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</si>
  <si>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</si>
  <si>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</si>
  <si>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</si>
  <si>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</si>
  <si>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</si>
  <si>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</si>
  <si>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</si>
  <si>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</si>
  <si>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</si>
  <si>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</si>
  <si>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</si>
  <si>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</si>
  <si>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</si>
  <si>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</si>
  <si>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</si>
  <si>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</si>
  <si>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</si>
  <si>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</si>
  <si>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</si>
  <si>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</si>
  <si>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</si>
  <si>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</si>
  <si>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</si>
  <si>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</si>
  <si>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</si>
  <si>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</si>
  <si>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</si>
  <si>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</si>
  <si>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</si>
  <si>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</si>
  <si>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</si>
  <si>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</si>
  <si>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</si>
  <si>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</si>
  <si>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</si>
  <si>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</si>
  <si>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</si>
  <si>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</si>
  <si>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</si>
  <si>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</si>
  <si>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</si>
  <si>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</si>
  <si>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</si>
  <si>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</si>
  <si>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</si>
  <si>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</si>
  <si>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</si>
  <si>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</si>
  <si>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</si>
  <si>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</si>
  <si>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</si>
  <si>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</si>
  <si>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</si>
  <si>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</si>
  <si>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</si>
  <si>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</si>
  <si>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</si>
  <si>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</si>
  <si>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</si>
  <si>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</si>
  <si>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</si>
  <si>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</si>
  <si>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</si>
  <si>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</si>
  <si>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</si>
  <si>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</si>
  <si>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</si>
  <si>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</si>
  <si>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</si>
  <si>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</si>
  <si>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</si>
  <si>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</si>
  <si>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</si>
  <si>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</si>
  <si>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</si>
  <si>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</si>
  <si>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</si>
  <si>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</si>
  <si>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</si>
  <si>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</si>
  <si>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</si>
  <si>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</si>
  <si>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</si>
  <si>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</si>
  <si>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</si>
  <si>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</si>
  <si>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</si>
  <si>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</si>
  <si>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</si>
  <si>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</si>
  <si>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</si>
  <si>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</si>
  <si>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</si>
  <si>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</si>
  <si>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</si>
  <si>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</si>
  <si>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</si>
  <si>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</si>
  <si>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</si>
  <si>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</si>
  <si>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</si>
  <si>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</si>
  <si>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</si>
  <si>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</si>
  <si>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</si>
  <si>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</si>
  <si>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</si>
  <si>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</si>
  <si>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</si>
  <si>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</si>
  <si>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</si>
  <si>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</si>
  <si>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</si>
  <si>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</si>
  <si>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</si>
  <si>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</si>
  <si>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</si>
  <si>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</si>
  <si>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</si>
  <si>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</si>
  <si>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</si>
  <si>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</si>
  <si>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</si>
  <si>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</si>
  <si>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</si>
  <si>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</si>
  <si>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</si>
  <si>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</si>
  <si>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</si>
  <si>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</si>
  <si>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</si>
  <si>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</si>
  <si>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</si>
  <si>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</si>
  <si>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</si>
  <si>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</si>
  <si>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</si>
  <si>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</si>
  <si>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</si>
  <si>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</si>
  <si>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</si>
  <si>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</si>
  <si>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</si>
  <si>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</si>
  <si>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</si>
  <si>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</si>
  <si>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</si>
  <si>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</si>
  <si>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</si>
  <si>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</si>
  <si>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</si>
  <si>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</si>
  <si>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</si>
  <si>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</si>
  <si>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</si>
  <si>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</si>
  <si>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</si>
  <si>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</si>
  <si>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</si>
  <si>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</si>
  <si>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</si>
  <si>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</si>
  <si>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</si>
  <si>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</si>
  <si>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</si>
  <si>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</si>
  <si>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</si>
  <si>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</si>
  <si>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</si>
  <si>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</si>
  <si>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</si>
  <si>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</si>
  <si>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</si>
  <si>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</si>
  <si>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</si>
  <si>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</si>
  <si>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</si>
  <si>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</si>
  <si>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</si>
  <si>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</si>
  <si>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</si>
  <si>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</si>
  <si>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</si>
  <si>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</si>
  <si>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</si>
  <si>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</si>
  <si>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</si>
  <si>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</si>
  <si>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</si>
  <si>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</si>
  <si>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</si>
  <si>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</si>
  <si>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</si>
  <si>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</si>
  <si>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</si>
  <si>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</si>
  <si>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</si>
  <si>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</si>
  <si>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</si>
  <si>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</si>
  <si>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</si>
  <si>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</si>
  <si>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</si>
  <si>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</si>
  <si>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</si>
  <si>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</si>
  <si>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</si>
  <si>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</si>
  <si>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</si>
  <si>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</si>
  <si>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</si>
  <si>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</si>
  <si>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</si>
  <si>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</si>
  <si>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</si>
  <si>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</si>
  <si>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</si>
  <si>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</si>
  <si>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</si>
  <si>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</si>
  <si>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</si>
  <si>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</si>
  <si>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</si>
  <si>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</si>
  <si>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</si>
  <si>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</si>
  <si>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</si>
  <si>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</si>
  <si>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</si>
  <si>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</si>
  <si>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</si>
  <si>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</si>
  <si>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</si>
  <si>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</si>
  <si>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</si>
  <si>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</si>
  <si>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</si>
  <si>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</si>
  <si>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</si>
  <si>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</si>
  <si>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</si>
  <si>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</si>
  <si>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</si>
  <si>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</si>
  <si>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</si>
  <si>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</si>
  <si>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</si>
  <si>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</si>
  <si>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</si>
  <si>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</si>
  <si>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</si>
  <si>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</si>
  <si>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</si>
  <si>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</si>
  <si>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</si>
  <si>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</si>
  <si>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</si>
  <si>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</si>
  <si>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</si>
  <si>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</si>
  <si>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</si>
  <si>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</si>
  <si>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</si>
  <si>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</si>
  <si>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</si>
  <si>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</si>
  <si>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</si>
  <si>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</si>
  <si>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</si>
  <si>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</si>
  <si>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</si>
  <si>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</si>
  <si>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</si>
  <si>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</si>
  <si>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</si>
  <si>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</si>
  <si>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</si>
  <si>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</si>
  <si>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</si>
  <si>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</si>
  <si>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</si>
  <si>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</si>
  <si>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</si>
  <si>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</si>
  <si>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</si>
  <si>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</si>
  <si>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</si>
  <si>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</si>
  <si>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</si>
  <si>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</si>
  <si>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</si>
  <si>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</si>
  <si>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</si>
  <si>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</si>
  <si>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</si>
  <si>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</si>
  <si>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</si>
  <si>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</si>
  <si>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</si>
  <si>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</si>
  <si>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</si>
  <si>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</si>
  <si>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</si>
  <si>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</si>
  <si>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</si>
  <si>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</si>
  <si>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</si>
  <si>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</si>
  <si>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</si>
  <si>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</si>
  <si>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</si>
  <si>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</si>
  <si>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</si>
  <si>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</si>
  <si>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</si>
  <si>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</si>
  <si>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</si>
  <si>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</si>
  <si>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</si>
  <si>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</si>
  <si>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</si>
  <si>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</si>
  <si>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</si>
  <si>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</si>
  <si>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</si>
  <si>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</si>
  <si>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</si>
  <si>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</si>
  <si>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</si>
  <si>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</si>
  <si>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</si>
  <si>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</si>
  <si>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</si>
  <si>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</si>
  <si>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</si>
  <si>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</si>
  <si>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</si>
  <si>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</si>
  <si>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</si>
  <si>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</si>
  <si>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</si>
  <si>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</si>
  <si>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</si>
  <si>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</si>
  <si>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</si>
  <si>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</si>
  <si>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</si>
  <si>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</si>
  <si>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</si>
  <si>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</si>
  <si>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</si>
  <si>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</si>
  <si>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</si>
  <si>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</si>
  <si>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</si>
  <si>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</si>
  <si>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</si>
  <si>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</si>
  <si>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</si>
  <si>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</si>
  <si>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</si>
  <si>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</si>
  <si>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</si>
  <si>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</si>
  <si>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</si>
  <si>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</si>
  <si>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</si>
  <si>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</si>
  <si>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</si>
  <si>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</si>
  <si>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</si>
  <si>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</si>
  <si>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</si>
  <si>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</si>
  <si>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</si>
  <si>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</si>
  <si>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</si>
  <si>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</si>
  <si>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</si>
  <si>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</si>
  <si>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</si>
  <si>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</si>
  <si>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</si>
  <si>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</si>
  <si>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</si>
  <si>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</si>
  <si>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</si>
  <si>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</si>
  <si>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</si>
  <si>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</si>
  <si>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</si>
  <si>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</si>
  <si>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</si>
  <si>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</si>
  <si>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</si>
  <si>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</si>
  <si>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</si>
  <si>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</si>
  <si>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</si>
  <si>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</si>
  <si>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</si>
  <si>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</si>
  <si>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</si>
  <si>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</si>
  <si>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</si>
  <si>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</si>
  <si>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</si>
  <si>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</si>
  <si>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</si>
  <si>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</si>
  <si>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</si>
  <si>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</si>
  <si>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</si>
  <si>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</si>
  <si>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</si>
  <si>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</si>
  <si>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</si>
  <si>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</si>
  <si>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</si>
  <si>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</si>
  <si>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</si>
  <si>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</si>
  <si>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</si>
  <si>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</si>
  <si>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</si>
  <si>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</si>
  <si>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</si>
  <si>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</si>
  <si>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</si>
  <si>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</si>
  <si>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</si>
  <si>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</si>
  <si>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</si>
  <si>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</si>
  <si>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</si>
  <si>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</si>
  <si>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</si>
  <si>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</si>
  <si>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</si>
  <si>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</si>
  <si>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</si>
  <si>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</si>
  <si>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</si>
  <si>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</si>
  <si>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</si>
  <si>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</si>
  <si>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</si>
  <si>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</si>
  <si>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</si>
  <si>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</si>
  <si>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</si>
  <si>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</si>
  <si>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</si>
  <si>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</si>
  <si>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</si>
  <si>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</si>
  <si>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</si>
  <si>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</si>
  <si>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</si>
  <si>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</si>
  <si>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</si>
  <si>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</si>
  <si>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</si>
  <si>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</si>
  <si>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</si>
  <si>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</si>
  <si>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</si>
  <si>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</si>
  <si>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</si>
  <si>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</si>
  <si>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</si>
  <si>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</si>
  <si>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</si>
  <si>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</si>
  <si>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</si>
  <si>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</si>
  <si>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</si>
  <si>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</si>
  <si>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</si>
  <si>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</si>
  <si>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</si>
  <si>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</si>
  <si>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</si>
  <si>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</si>
  <si>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</si>
  <si>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</si>
  <si>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</si>
  <si>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</si>
  <si>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</si>
  <si>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</si>
  <si>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</si>
  <si>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</si>
  <si>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</si>
  <si>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</si>
  <si>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</si>
  <si>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</si>
  <si>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</si>
  <si>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</si>
  <si>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</si>
  <si>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</si>
  <si>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</si>
  <si>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</si>
  <si>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</si>
  <si>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</si>
  <si>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</si>
  <si>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</si>
  <si>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</si>
  <si>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</si>
  <si>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</si>
  <si>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</si>
  <si>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</si>
  <si>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</si>
  <si>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</si>
  <si>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</si>
  <si>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</si>
  <si>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</si>
  <si>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</si>
  <si>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</si>
  <si>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</si>
  <si>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</si>
  <si>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</si>
  <si>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</si>
  <si>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</si>
  <si>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</si>
  <si>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</si>
  <si>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</si>
  <si>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</si>
  <si>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</si>
  <si>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</si>
  <si>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</si>
  <si>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</si>
  <si>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</si>
  <si>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</si>
  <si>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</si>
  <si>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</si>
  <si>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</si>
  <si>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</si>
  <si>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</si>
  <si>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</si>
  <si>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</si>
  <si>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</si>
  <si>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</si>
  <si>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</si>
  <si>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</si>
  <si>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</si>
  <si>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</si>
  <si>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</si>
  <si>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</si>
  <si>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</si>
  <si>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</si>
  <si>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</si>
  <si>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</si>
  <si>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</si>
  <si>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</si>
  <si>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</si>
  <si>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</si>
  <si>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</si>
  <si>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</si>
  <si>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</si>
  <si>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</si>
  <si>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</si>
  <si>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</si>
  <si>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</si>
  <si>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</si>
  <si>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</si>
  <si>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</si>
  <si>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</si>
  <si>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</si>
  <si>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</si>
  <si>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</si>
  <si>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</si>
  <si>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</si>
  <si>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</si>
  <si>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</si>
  <si>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</si>
  <si>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</si>
  <si>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</si>
  <si>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</si>
  <si>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</si>
  <si>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</si>
  <si>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</si>
  <si>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</si>
  <si>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</si>
  <si>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</si>
  <si>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</si>
  <si>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</si>
  <si>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</si>
  <si>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</si>
  <si>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</si>
  <si>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</si>
  <si>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</si>
  <si>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</si>
  <si>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</si>
  <si>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</si>
  <si>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</si>
  <si>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</si>
  <si>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</si>
  <si>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</si>
  <si>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</si>
  <si>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</si>
  <si>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</si>
  <si>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</si>
  <si>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</si>
  <si>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</si>
  <si>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</si>
  <si>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</si>
  <si>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</si>
  <si>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</si>
  <si>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</si>
  <si>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</si>
  <si>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</si>
  <si>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</si>
  <si>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</si>
  <si>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</si>
  <si>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</si>
  <si>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</si>
  <si>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</si>
  <si>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</si>
  <si>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</si>
  <si>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</si>
  <si>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</si>
  <si>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</si>
  <si>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</si>
  <si>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</si>
  <si>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</si>
  <si>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</si>
  <si>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</si>
  <si>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</si>
  <si>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</si>
  <si>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</si>
  <si>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</si>
  <si>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</si>
  <si>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</si>
  <si>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</si>
  <si>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</si>
  <si>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</si>
  <si>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</si>
  <si>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</si>
  <si>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</si>
  <si>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</si>
  <si>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</si>
  <si>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</si>
  <si>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</si>
  <si>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</si>
  <si>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</si>
  <si>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</si>
  <si>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</si>
  <si>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</si>
  <si>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</si>
  <si>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</si>
  <si>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</si>
  <si>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</si>
  <si>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</si>
  <si>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</si>
  <si>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</si>
  <si>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</si>
  <si>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</si>
  <si>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</si>
  <si>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</si>
  <si>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</si>
  <si>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</si>
  <si>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</si>
  <si>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</si>
  <si>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</si>
  <si>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</si>
  <si>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</si>
  <si>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</si>
  <si>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</si>
  <si>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</si>
  <si>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</si>
  <si>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</si>
  <si>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</si>
  <si>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</si>
  <si>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</si>
  <si>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</si>
  <si>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</si>
  <si>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</si>
  <si>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</si>
  <si>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</si>
  <si>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</si>
  <si>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</si>
  <si>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</si>
  <si>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</si>
  <si>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</si>
  <si>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</si>
  <si>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</si>
  <si>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</si>
  <si>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</si>
  <si>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</si>
  <si>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</si>
  <si>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</si>
  <si>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</si>
  <si>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</si>
  <si>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</si>
  <si>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</si>
  <si>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</si>
  <si>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</si>
  <si>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</si>
  <si>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</si>
  <si>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</si>
  <si>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</si>
  <si>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</si>
  <si>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</si>
  <si>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</si>
  <si>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</si>
  <si>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</si>
  <si>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</si>
  <si>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</si>
  <si>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</si>
  <si>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</si>
  <si>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</si>
  <si>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</si>
  <si>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</si>
  <si>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</si>
  <si>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</si>
  <si>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</si>
  <si>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</si>
  <si>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</si>
  <si>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</si>
  <si>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</si>
  <si>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</si>
  <si>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</si>
  <si>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</si>
  <si>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</si>
  <si>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</si>
  <si>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</si>
  <si>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</si>
  <si>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</si>
  <si>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</si>
  <si>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</si>
  <si>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</si>
  <si>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</si>
  <si>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</si>
  <si>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</si>
  <si>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</si>
  <si>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</si>
  <si>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</si>
  <si>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</si>
  <si>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</si>
  <si>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</si>
  <si>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</si>
  <si>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</si>
  <si>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</si>
  <si>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</si>
  <si>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</si>
  <si>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</si>
  <si>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</si>
  <si>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</si>
  <si>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</si>
  <si>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</si>
  <si>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</si>
  <si>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</si>
  <si>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</si>
  <si>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</si>
  <si>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</si>
  <si>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</si>
  <si>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</si>
  <si>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</si>
  <si>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</si>
  <si>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</si>
  <si>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</si>
  <si>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</si>
  <si>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</si>
  <si>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</si>
  <si>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</si>
  <si>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</si>
  <si>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</si>
  <si>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</si>
  <si>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</si>
  <si>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</si>
  <si>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</si>
  <si>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</si>
  <si>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</si>
  <si>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</si>
  <si>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</si>
  <si>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</si>
  <si>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</si>
  <si>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</si>
  <si>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</si>
  <si>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</si>
  <si>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</si>
  <si>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</si>
  <si>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</si>
  <si>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</si>
  <si>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</si>
  <si>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</si>
  <si>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</si>
  <si>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</si>
  <si>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</si>
  <si>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</si>
  <si>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</si>
  <si>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</si>
  <si>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</si>
  <si>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</si>
  <si>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</si>
  <si>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</si>
  <si>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</si>
  <si>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</si>
  <si>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</si>
  <si>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</si>
  <si>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</si>
  <si>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</si>
  <si>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</si>
  <si>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</si>
  <si>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</si>
  <si>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</si>
  <si>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</si>
  <si>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</si>
  <si>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</si>
  <si>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</si>
  <si>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</si>
  <si>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</si>
  <si>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</si>
  <si>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</si>
  <si>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</si>
  <si>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</si>
  <si>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</si>
  <si>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</si>
  <si>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</si>
  <si>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</si>
  <si>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</si>
  <si>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</si>
  <si>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</si>
  <si>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</si>
  <si>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</si>
  <si>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</si>
  <si>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</si>
  <si>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</si>
  <si>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</si>
  <si>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</si>
  <si>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</si>
  <si>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</si>
  <si>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</si>
  <si>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</si>
  <si>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</si>
  <si>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</si>
  <si>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</si>
  <si>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</si>
  <si>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</si>
  <si>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</si>
  <si>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</si>
  <si>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</si>
  <si>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</si>
  <si>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</si>
  <si>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</si>
  <si>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</si>
  <si>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</si>
  <si>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</si>
  <si>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</si>
  <si>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</si>
  <si>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</si>
  <si>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</si>
  <si>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</si>
  <si>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</si>
  <si>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</si>
  <si>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</si>
  <si>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</si>
  <si>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</si>
  <si>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</si>
  <si>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</si>
  <si>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</si>
  <si>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</si>
  <si>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</si>
  <si>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</si>
  <si>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</si>
  <si>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</si>
  <si>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</si>
  <si>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</si>
  <si>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</si>
  <si>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</si>
  <si>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</si>
  <si>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</si>
  <si>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</si>
  <si>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</si>
  <si>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</si>
  <si>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</si>
  <si>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</si>
  <si>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</si>
  <si>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</si>
  <si>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</si>
  <si>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</si>
  <si>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</si>
  <si>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</si>
  <si>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</si>
  <si>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</si>
  <si>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</si>
  <si>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</si>
  <si>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</si>
  <si>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</si>
  <si>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</si>
  <si>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</si>
  <si>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</si>
  <si>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</si>
  <si>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</si>
  <si>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</si>
  <si>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</si>
  <si>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</si>
  <si>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</si>
  <si>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</si>
  <si>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</si>
  <si>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</si>
  <si>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</si>
  <si>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</si>
  <si>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</si>
  <si>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</si>
  <si>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</si>
  <si>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</si>
  <si>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</si>
  <si>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</si>
  <si>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</si>
  <si>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</si>
  <si>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</si>
  <si>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</si>
  <si>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</si>
  <si>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</si>
  <si>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</si>
  <si>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</si>
  <si>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</si>
  <si>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</si>
  <si>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</si>
  <si>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</si>
  <si>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</si>
  <si>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</si>
  <si>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</si>
  <si>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</si>
  <si>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</si>
  <si>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</si>
  <si>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</si>
  <si>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</si>
  <si>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</si>
  <si>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</si>
  <si>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</si>
  <si>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</si>
  <si>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</si>
  <si>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</si>
  <si>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</si>
  <si>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</si>
  <si>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</si>
  <si>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</si>
  <si>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</si>
  <si>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</si>
  <si>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</si>
  <si>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</si>
  <si>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</si>
  <si>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</si>
  <si>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</si>
  <si>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</si>
  <si>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</si>
  <si>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</si>
  <si>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</si>
  <si>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</si>
  <si>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</si>
  <si>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</si>
  <si>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</si>
  <si>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</si>
  <si>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</si>
  <si>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</si>
  <si>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</si>
  <si>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</si>
  <si>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</si>
  <si>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</si>
  <si>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</si>
  <si>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</si>
  <si>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</si>
  <si>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</si>
  <si>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</si>
  <si>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</si>
  <si>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</si>
  <si>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</si>
  <si>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</si>
  <si>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</si>
  <si>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</si>
  <si>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</si>
  <si>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</si>
  <si>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</si>
  <si>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</si>
  <si>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</si>
  <si>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</si>
  <si>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</si>
  <si>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</si>
  <si>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</si>
  <si>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</si>
  <si>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</si>
  <si>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</si>
  <si>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</si>
  <si>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</si>
  <si>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</si>
  <si>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</si>
  <si>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</si>
  <si>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</si>
  <si>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</si>
  <si>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</si>
  <si>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</si>
  <si>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</si>
  <si>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</si>
  <si>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</si>
  <si>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</si>
  <si>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</si>
  <si>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</si>
  <si>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</si>
  <si>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</si>
  <si>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</si>
  <si>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</si>
  <si>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</si>
  <si>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</si>
  <si>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</si>
  <si>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</si>
  <si>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</si>
  <si>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</si>
  <si>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</si>
  <si>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</si>
  <si>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</si>
  <si>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</si>
  <si>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</si>
  <si>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</si>
  <si>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</si>
  <si>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</si>
  <si>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</si>
  <si>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</si>
  <si>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</si>
  <si>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</si>
  <si>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</si>
  <si>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</si>
  <si>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</si>
  <si>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</si>
  <si>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</si>
  <si>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</si>
  <si>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</si>
  <si>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</si>
  <si>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</si>
  <si>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</si>
  <si>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</si>
  <si>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</si>
  <si>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</si>
  <si>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</si>
  <si>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</si>
  <si>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</si>
  <si>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</si>
  <si>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</si>
  <si>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</si>
  <si>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</si>
  <si>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</si>
  <si>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</si>
  <si>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</si>
  <si>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</si>
  <si>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</si>
  <si>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</si>
  <si>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</si>
  <si>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</si>
  <si>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</si>
  <si>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</si>
  <si>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</si>
  <si>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</si>
  <si>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</si>
  <si>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</si>
  <si>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</si>
  <si>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</si>
  <si>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</si>
  <si>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</si>
  <si>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</si>
  <si>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</si>
  <si>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</si>
  <si>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</si>
  <si>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</si>
  <si>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</si>
  <si>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</si>
  <si>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</si>
  <si>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</si>
  <si>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</si>
  <si>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</si>
  <si>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</si>
  <si>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</si>
  <si>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</si>
  <si>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</si>
  <si>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</si>
  <si>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</si>
  <si>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</si>
  <si>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</si>
  <si>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</si>
  <si>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</si>
  <si>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</si>
  <si>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</si>
  <si>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</si>
  <si>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</si>
  <si>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</si>
  <si>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</si>
  <si>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</si>
  <si>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</si>
  <si>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</si>
  <si>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</si>
  <si>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</si>
  <si>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</si>
  <si>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</si>
  <si>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</si>
  <si>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</si>
  <si>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</si>
  <si>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</si>
  <si>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</si>
  <si>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</si>
  <si>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</si>
  <si>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</si>
  <si>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</si>
  <si>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</si>
  <si>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</si>
  <si>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</si>
  <si>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</si>
  <si>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</si>
  <si>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</si>
  <si>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</si>
  <si>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</si>
  <si>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</si>
  <si>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</si>
  <si>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</si>
  <si>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</si>
  <si>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</si>
  <si>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</si>
  <si>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</si>
  <si>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</si>
  <si>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</si>
  <si>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</si>
  <si>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</si>
  <si>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</si>
  <si>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</si>
  <si>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</si>
  <si>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</si>
  <si>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</si>
  <si>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</si>
  <si>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</si>
  <si>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</si>
  <si>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</si>
  <si>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</si>
  <si>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</si>
  <si>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</si>
  <si>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</si>
  <si>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</si>
  <si>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</si>
  <si>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</si>
  <si>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</si>
  <si>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</si>
  <si>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</si>
  <si>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</si>
  <si>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</si>
  <si>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</si>
  <si>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</si>
  <si>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</si>
  <si>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</si>
  <si>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</si>
  <si>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</si>
  <si>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</si>
  <si>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</si>
  <si>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</si>
  <si>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</si>
  <si>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</si>
  <si>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</si>
  <si>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</si>
  <si>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</si>
  <si>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</si>
  <si>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</si>
  <si>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</si>
  <si>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</si>
  <si>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</si>
  <si>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</si>
  <si>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</si>
  <si>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</si>
  <si>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</si>
  <si>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</si>
  <si>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</si>
  <si>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</si>
  <si>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</si>
  <si>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</si>
  <si>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</si>
  <si>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</si>
  <si>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</si>
  <si>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</si>
  <si>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</si>
  <si>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</si>
  <si>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</si>
  <si>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</si>
  <si>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</si>
  <si>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</si>
  <si>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</si>
  <si>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</si>
  <si>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</si>
  <si>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</si>
  <si>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</si>
  <si>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</si>
  <si>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</si>
  <si>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</si>
  <si>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</si>
  <si>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</si>
  <si>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</si>
  <si>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</si>
  <si>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</si>
  <si>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</si>
  <si>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</si>
  <si>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</si>
  <si>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</si>
  <si>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</si>
  <si>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</si>
  <si>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</si>
  <si>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</si>
  <si>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</si>
  <si>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</si>
  <si>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</si>
  <si>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</si>
  <si>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</si>
  <si>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</si>
  <si>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</si>
  <si>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</si>
  <si>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</si>
  <si>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</si>
  <si>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</si>
  <si>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</si>
  <si>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</si>
  <si>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</si>
  <si>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</si>
  <si>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</si>
  <si>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</si>
  <si>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</si>
  <si>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</si>
  <si>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</si>
  <si>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</si>
  <si>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</si>
  <si>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</si>
  <si>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</si>
  <si>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</si>
  <si>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</si>
  <si>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</si>
  <si>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</si>
  <si>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</si>
  <si>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</si>
  <si>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</si>
  <si>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</si>
  <si>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</si>
  <si>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</si>
  <si>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</si>
  <si>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</si>
  <si>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</si>
  <si>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</si>
  <si>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</si>
  <si>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</si>
  <si>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</si>
  <si>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</si>
  <si>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</si>
  <si>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</si>
  <si>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</si>
  <si>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</si>
  <si>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</si>
  <si>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</si>
  <si>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</si>
  <si>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</si>
  <si>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</si>
  <si>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</si>
  <si>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</si>
  <si>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</si>
  <si>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</si>
  <si>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</si>
  <si>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</si>
  <si>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</si>
  <si>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</si>
  <si>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</si>
  <si>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</si>
  <si>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</si>
  <si>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</si>
  <si>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</si>
  <si>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</si>
  <si>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</si>
  <si>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</si>
  <si>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</si>
  <si>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</si>
  <si>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</si>
  <si>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</si>
  <si>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</si>
  <si>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</si>
  <si>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</si>
  <si>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</si>
  <si>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</si>
  <si>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</si>
  <si>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</si>
  <si>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</si>
  <si>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</si>
  <si>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</si>
  <si>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</si>
  <si>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</si>
  <si>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</si>
  <si>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</si>
  <si>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</si>
  <si>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</si>
  <si>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</si>
  <si>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</si>
  <si>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</si>
  <si>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</si>
  <si>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</si>
  <si>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</si>
  <si>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</si>
  <si>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</si>
  <si>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</si>
  <si>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</si>
  <si>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</si>
  <si>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</si>
  <si>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</si>
  <si>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</si>
  <si>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</si>
  <si>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</si>
  <si>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</si>
  <si>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</si>
  <si>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</si>
  <si>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</si>
  <si>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</si>
  <si>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</si>
  <si>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</si>
  <si>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</si>
  <si>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</si>
  <si>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</si>
  <si>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</si>
  <si>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</si>
  <si>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</si>
  <si>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</si>
  <si>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</si>
  <si>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</si>
  <si>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</si>
  <si>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</si>
  <si>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</si>
  <si>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</si>
  <si>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</si>
  <si>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</si>
  <si>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</si>
  <si>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</si>
  <si>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</si>
  <si>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</si>
  <si>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</si>
  <si>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</si>
  <si>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</si>
  <si>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</si>
  <si>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</si>
  <si>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</si>
  <si>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</si>
  <si>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</si>
  <si>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</si>
  <si>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</si>
  <si>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</si>
  <si>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</si>
  <si>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</si>
  <si>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</si>
  <si>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</si>
  <si>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</si>
  <si>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</si>
  <si>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</si>
  <si>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</si>
  <si>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</si>
  <si>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</si>
  <si>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</si>
  <si>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</si>
  <si>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</si>
  <si>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</si>
  <si>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</si>
  <si>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</si>
  <si>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</si>
  <si>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</si>
  <si>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</si>
  <si>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</si>
  <si>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</si>
  <si>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</si>
  <si>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</si>
  <si>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</si>
  <si>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</si>
  <si>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</si>
  <si>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</si>
  <si>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</si>
  <si>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</si>
  <si>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</si>
  <si>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</si>
  <si>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</si>
  <si>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</si>
  <si>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</si>
  <si>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</si>
  <si>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</si>
  <si>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</si>
  <si>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</si>
  <si>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</si>
  <si>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</si>
  <si>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</si>
  <si>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</si>
  <si>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</si>
  <si>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</si>
  <si>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</si>
  <si>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</si>
  <si>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</si>
  <si>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</si>
  <si>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</si>
  <si>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</si>
  <si>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</si>
  <si>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</si>
  <si>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</si>
  <si>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</si>
  <si>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</si>
  <si>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</si>
  <si>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</si>
  <si>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</si>
  <si>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</si>
  <si>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</si>
  <si>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</si>
  <si>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</si>
  <si>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</si>
  <si>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</si>
  <si>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</si>
  <si>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</si>
  <si>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</si>
  <si>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</si>
  <si>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</si>
  <si>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</si>
  <si>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</si>
  <si>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</si>
  <si>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</si>
  <si>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</si>
  <si>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</si>
  <si>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</si>
  <si>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</si>
  <si>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</si>
  <si>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</si>
  <si>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</si>
  <si>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</si>
  <si>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</si>
  <si>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</si>
  <si>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</si>
  <si>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</si>
  <si>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</si>
  <si>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</si>
  <si>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</si>
  <si>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</si>
  <si>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</si>
  <si>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</si>
  <si>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</si>
  <si>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</si>
  <si>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</si>
  <si>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</si>
  <si>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</si>
  <si>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</si>
  <si>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</si>
  <si>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</si>
  <si>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</si>
  <si>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</si>
  <si>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</si>
  <si>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</si>
  <si>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</si>
  <si>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</si>
  <si>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</si>
  <si>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</si>
  <si>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</si>
  <si>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</si>
  <si>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</si>
  <si>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</si>
  <si>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</si>
  <si>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</si>
  <si>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</si>
  <si>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</si>
  <si>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</si>
  <si>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</si>
  <si>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</si>
  <si>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</si>
  <si>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</si>
  <si>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</si>
  <si>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</si>
  <si>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</si>
  <si>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</si>
  <si>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</si>
  <si>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</si>
  <si>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</si>
  <si>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</si>
  <si>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</si>
  <si>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</si>
  <si>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</si>
  <si>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</si>
  <si>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</si>
  <si>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</si>
  <si>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</si>
  <si>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</si>
  <si>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</si>
  <si>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</si>
  <si>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</si>
  <si>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</si>
  <si>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</si>
  <si>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</si>
  <si>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</si>
  <si>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</si>
  <si>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</si>
  <si>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</si>
  <si>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</si>
  <si>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</si>
  <si>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</si>
  <si>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</si>
  <si>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</si>
  <si>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</si>
  <si>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</si>
  <si>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</si>
  <si>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</si>
  <si>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</si>
  <si>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</si>
  <si>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</si>
  <si>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</si>
  <si>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</si>
  <si>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</si>
  <si>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</si>
  <si>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</si>
  <si>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</si>
  <si>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</si>
  <si>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</si>
  <si>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</si>
  <si>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</si>
  <si>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</si>
  <si>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</si>
  <si>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</si>
  <si>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</si>
  <si>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</si>
  <si>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</si>
  <si>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</si>
  <si>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</si>
  <si>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</si>
  <si>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</si>
  <si>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</si>
  <si>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</si>
  <si>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</si>
  <si>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</si>
  <si>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</si>
  <si>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</si>
  <si>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</si>
  <si>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</si>
  <si>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</si>
  <si>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</si>
  <si>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</si>
  <si>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</si>
  <si>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</si>
  <si>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</si>
  <si>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</si>
  <si>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</si>
  <si>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</si>
  <si>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</si>
  <si>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</si>
  <si>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</si>
  <si>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</si>
  <si>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</si>
  <si>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</si>
  <si>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</si>
  <si>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</si>
  <si>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</si>
  <si>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</si>
  <si>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</si>
  <si>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</si>
  <si>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</si>
  <si>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</si>
  <si>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</si>
  <si>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</si>
  <si>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</si>
  <si>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</si>
  <si>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</si>
  <si>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</si>
  <si>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</si>
  <si>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</si>
  <si>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</si>
  <si>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</si>
  <si>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</si>
  <si>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</si>
  <si>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</si>
  <si>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</si>
  <si>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</si>
  <si>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</si>
  <si>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</si>
  <si>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</si>
  <si>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</si>
  <si>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</si>
  <si>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</si>
  <si>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</si>
  <si>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</si>
  <si>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</si>
  <si>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</si>
  <si>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</si>
  <si>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</si>
  <si>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</si>
  <si>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</si>
  <si>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</si>
  <si>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</si>
  <si>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</si>
  <si>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</si>
  <si>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</si>
  <si>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</si>
  <si>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</si>
  <si>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</si>
  <si>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</si>
  <si>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</si>
  <si>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</si>
  <si>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</si>
  <si>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</si>
  <si>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</si>
  <si>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</si>
  <si>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</si>
  <si>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</si>
  <si>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</si>
  <si>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</si>
  <si>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</si>
  <si>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</si>
  <si>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</si>
  <si>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</si>
  <si>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</si>
  <si>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</si>
  <si>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</si>
  <si>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</si>
  <si>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</si>
  <si>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</si>
  <si>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</si>
  <si>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</si>
  <si>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</si>
  <si>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</si>
  <si>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</si>
  <si>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</si>
  <si>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</si>
  <si>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</si>
  <si>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</si>
  <si>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</si>
  <si>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</si>
  <si>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</si>
  <si>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</si>
  <si>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</si>
  <si>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</si>
  <si>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</si>
  <si>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</si>
  <si>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</si>
  <si>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</si>
  <si>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</si>
  <si>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</si>
  <si>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</si>
  <si>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</si>
  <si>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</si>
  <si>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</si>
  <si>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</si>
  <si>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</si>
  <si>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</si>
  <si>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</si>
  <si>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</si>
  <si>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</si>
  <si>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</si>
  <si>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</si>
  <si>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</si>
  <si>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</si>
  <si>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</si>
  <si>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</si>
  <si>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</si>
  <si>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</si>
  <si>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</si>
  <si>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</si>
  <si>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</si>
  <si>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</si>
  <si>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</si>
  <si>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</si>
  <si>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</si>
  <si>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</si>
  <si>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</si>
  <si>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</si>
  <si>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</si>
  <si>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</si>
  <si>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</si>
  <si>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</si>
  <si>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</si>
  <si>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</si>
  <si>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</si>
  <si>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</si>
  <si>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</si>
  <si>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</si>
  <si>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</si>
  <si>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</si>
  <si>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</si>
  <si>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</si>
  <si>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</si>
  <si>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</si>
  <si>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</si>
  <si>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</si>
  <si>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</si>
  <si>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</si>
  <si>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</si>
  <si>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</si>
  <si>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</si>
  <si>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</si>
  <si>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</si>
  <si>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</si>
  <si>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</si>
  <si>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</si>
  <si>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</si>
  <si>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</si>
  <si>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</si>
  <si>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</si>
  <si>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</si>
  <si>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</si>
  <si>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</si>
  <si>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</si>
  <si>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</si>
  <si>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</si>
  <si>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</si>
  <si>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</si>
  <si>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</si>
  <si>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</si>
  <si>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</si>
  <si>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</si>
  <si>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</si>
  <si>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</si>
  <si>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</si>
  <si>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</si>
  <si>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</si>
  <si>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</si>
  <si>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</si>
  <si>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</si>
  <si>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</si>
  <si>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</si>
  <si>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</si>
  <si>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</si>
  <si>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</si>
  <si>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</si>
  <si>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</si>
  <si>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</si>
  <si>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</si>
  <si>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</si>
  <si>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</si>
  <si>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</si>
  <si>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</si>
  <si>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</si>
  <si>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</si>
  <si>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</si>
  <si>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</si>
  <si>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</si>
  <si>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</si>
  <si>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</si>
  <si>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</si>
  <si>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</si>
  <si>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</si>
  <si>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</si>
  <si>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</si>
  <si>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</si>
  <si>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</si>
  <si>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</si>
  <si>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</si>
  <si>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</si>
  <si>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</si>
  <si>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</si>
  <si>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</si>
  <si>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</si>
  <si>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</si>
  <si>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</si>
  <si>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</si>
  <si>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</si>
  <si>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</si>
  <si>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</si>
  <si>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</si>
  <si>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</si>
  <si>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</si>
  <si>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</si>
  <si>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</si>
  <si>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</si>
  <si>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</si>
  <si>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</si>
  <si>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</si>
  <si>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</si>
  <si>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</si>
  <si>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</si>
  <si>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</si>
  <si>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</si>
  <si>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</si>
  <si>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</si>
  <si>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</si>
  <si>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</si>
  <si>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</si>
  <si>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</si>
  <si>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</si>
  <si>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</si>
  <si>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</si>
  <si>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</si>
  <si>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</si>
  <si>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</si>
  <si>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</si>
  <si>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</si>
  <si>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</si>
  <si>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</si>
  <si>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</si>
  <si>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</si>
  <si>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</si>
  <si>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</si>
  <si>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</si>
  <si>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</si>
  <si>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</si>
  <si>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</si>
  <si>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</si>
  <si>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</si>
  <si>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</si>
  <si>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</si>
  <si>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</si>
  <si>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</si>
  <si>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</si>
  <si>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</si>
  <si>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</si>
  <si>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</si>
  <si>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</si>
  <si>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</si>
  <si>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</si>
  <si>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</si>
  <si>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</si>
  <si>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</si>
  <si>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</si>
  <si>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</si>
  <si>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</si>
  <si>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</si>
  <si>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</si>
  <si>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</si>
  <si>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</si>
  <si>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</si>
  <si>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</si>
  <si>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</si>
  <si>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</si>
  <si>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</si>
  <si>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</si>
  <si>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</si>
  <si>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</si>
  <si>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</si>
  <si>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</si>
  <si>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</si>
  <si>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</si>
  <si>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</si>
  <si>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</si>
  <si>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</si>
  <si>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</si>
  <si>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</si>
  <si>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</si>
  <si>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</si>
  <si>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</si>
  <si>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</si>
  <si>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</si>
  <si>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</si>
  <si>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</si>
  <si>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</si>
  <si>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</si>
  <si>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</si>
  <si>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</si>
  <si>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</si>
  <si>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</si>
  <si>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</si>
  <si>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</si>
  <si>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</si>
  <si>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</si>
  <si>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</si>
  <si>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</si>
  <si>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</si>
  <si>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</si>
  <si>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</si>
  <si>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</si>
  <si>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</si>
  <si>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</si>
  <si>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</si>
  <si>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</si>
  <si>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</si>
  <si>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</si>
  <si>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</si>
  <si>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</si>
  <si>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</si>
  <si>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</si>
  <si>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</si>
  <si>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</si>
  <si>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</si>
  <si>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</si>
  <si>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</si>
  <si>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</si>
  <si>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</si>
  <si>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</si>
  <si>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</si>
  <si>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</si>
  <si>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</si>
  <si>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</si>
  <si>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</si>
  <si>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</si>
  <si>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</si>
  <si>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</si>
  <si>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</si>
  <si>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</si>
  <si>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</si>
  <si>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</si>
  <si>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</si>
  <si>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</si>
  <si>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</si>
  <si>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</si>
  <si>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</si>
  <si>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</si>
  <si>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</si>
  <si>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</si>
  <si>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</si>
  <si>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</si>
  <si>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</si>
  <si>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</si>
  <si>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</si>
  <si>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</si>
  <si>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</si>
  <si>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</si>
  <si>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</si>
  <si>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</si>
  <si>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</si>
  <si>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</si>
  <si>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</si>
  <si>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</si>
  <si>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</si>
  <si>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</si>
  <si>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</si>
  <si>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</si>
  <si>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</si>
  <si>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</si>
  <si>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</si>
  <si>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</si>
  <si>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</si>
  <si>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</si>
  <si>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</si>
  <si>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</si>
  <si>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</si>
  <si>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</si>
  <si>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</si>
  <si>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</si>
  <si>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</si>
  <si>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</si>
  <si>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</si>
  <si>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</si>
  <si>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</si>
  <si>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</si>
  <si>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</si>
  <si>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</si>
  <si>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</si>
  <si>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</si>
  <si>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</si>
  <si>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</si>
  <si>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</si>
  <si>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</si>
  <si>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</si>
  <si>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</si>
  <si>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</si>
  <si>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</si>
  <si>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</si>
  <si>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</si>
  <si>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</si>
  <si>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</si>
  <si>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</si>
  <si>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</si>
  <si>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</si>
  <si>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</si>
  <si>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</si>
  <si>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</si>
  <si>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</si>
  <si>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</si>
  <si>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</si>
  <si>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</si>
  <si>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</si>
  <si>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</si>
  <si>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</si>
  <si>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</si>
  <si>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</si>
  <si>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</si>
  <si>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</si>
  <si>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</si>
  <si>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</si>
  <si>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</si>
  <si>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</si>
  <si>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</si>
  <si>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</si>
  <si>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</si>
  <si>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</si>
  <si>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</si>
  <si>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</si>
  <si>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</si>
  <si>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</si>
  <si>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</si>
  <si>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</si>
  <si>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</si>
  <si>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</si>
  <si>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</si>
  <si>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</si>
  <si>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</si>
  <si>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</si>
  <si>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</si>
  <si>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</si>
  <si>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</si>
  <si>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</si>
  <si>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</si>
  <si>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</si>
  <si>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</si>
  <si>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</si>
  <si>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</si>
  <si>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</si>
  <si>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</si>
  <si>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</si>
  <si>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</si>
  <si>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</si>
  <si>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</si>
  <si>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</si>
  <si>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</si>
  <si>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</si>
  <si>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</si>
  <si>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</si>
  <si>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</si>
  <si>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</si>
  <si>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</si>
  <si>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</si>
  <si>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</si>
  <si>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</si>
  <si>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</si>
  <si>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</si>
  <si>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</si>
  <si>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</si>
  <si>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</si>
  <si>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</si>
  <si>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</si>
  <si>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</si>
  <si>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</si>
  <si>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</si>
  <si>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</si>
  <si>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</si>
  <si>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</si>
  <si>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</si>
  <si>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</si>
  <si>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</si>
  <si>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</si>
  <si>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</si>
  <si>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</si>
  <si>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4" type="noConversion"/>
  </si>
  <si>
    <t>2017-2</t>
    <phoneticPr fontId="4" type="noConversion"/>
  </si>
  <si>
    <t>2017-1</t>
    <phoneticPr fontId="4"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</si>
  <si>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</si>
  <si>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</si>
  <si>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</si>
  <si>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</si>
  <si>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</si>
  <si>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</si>
  <si>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</si>
  <si>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</si>
  <si>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</si>
  <si>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</si>
  <si>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</si>
  <si>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</si>
  <si>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</si>
  <si>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</si>
  <si>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</si>
  <si>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</si>
  <si>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</si>
  <si>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</si>
  <si>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</si>
  <si>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</si>
  <si>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</si>
  <si>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</si>
  <si>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</si>
  <si>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</si>
  <si>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</si>
  <si>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</si>
  <si>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</si>
  <si>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</si>
  <si>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</si>
  <si>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</si>
  <si>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</si>
  <si>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</si>
  <si>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</si>
  <si>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</si>
  <si>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</si>
  <si>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</si>
  <si>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</si>
  <si>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</si>
  <si>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</si>
  <si>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</si>
  <si>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</si>
  <si>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</si>
  <si>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</si>
  <si>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</si>
  <si>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</si>
  <si>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</si>
  <si>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</si>
  <si>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</si>
  <si>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</si>
  <si>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</si>
  <si>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</si>
  <si>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</si>
  <si>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</si>
  <si>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</si>
  <si>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</si>
  <si>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</si>
  <si>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</si>
  <si>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基准季度</t>
    <phoneticPr fontId="234"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</si>
  <si>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</si>
  <si>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</si>
  <si>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</si>
  <si>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</si>
  <si>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</si>
  <si>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</si>
  <si>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</si>
  <si>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</si>
  <si>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</si>
  <si>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</si>
  <si>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</si>
  <si>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</si>
  <si>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</si>
  <si>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</si>
  <si>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</si>
  <si>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</si>
  <si>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</si>
  <si>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</si>
  <si>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</si>
  <si>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</si>
  <si>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</si>
  <si>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</si>
  <si>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</si>
  <si>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</si>
  <si>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</si>
  <si>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</si>
  <si>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</si>
  <si>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</si>
  <si>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</si>
  <si>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</si>
  <si>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</si>
  <si>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</si>
  <si>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</si>
  <si>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</si>
  <si>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</si>
  <si>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</si>
  <si>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5"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</si>
  <si>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</si>
  <si>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</si>
  <si>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</si>
  <si>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</si>
  <si>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</si>
  <si>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</si>
  <si>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</si>
  <si>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</si>
  <si>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</si>
  <si>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</si>
  <si>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</si>
  <si>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</si>
  <si>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</si>
  <si>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</si>
  <si>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</si>
  <si>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</si>
  <si>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</si>
  <si>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</si>
  <si>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</si>
  <si>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</si>
  <si>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</si>
  <si>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</si>
  <si>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</si>
  <si>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</si>
  <si>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</si>
  <si>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</si>
  <si>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5" type="noConversion"/>
  </si>
  <si>
    <r>
      <t>金融机构</t>
    </r>
    <r>
      <rPr>
        <sz val="10"/>
        <color indexed="8"/>
        <rFont val="仿宋_GB2312"/>
        <family val="3"/>
        <charset val="134"/>
      </rPr>
      <t>(贷款方)</t>
    </r>
    <phoneticPr fontId="4" type="noConversion"/>
  </si>
  <si>
    <t>借款方</t>
    <phoneticPr fontId="7" type="noConversion"/>
  </si>
  <si>
    <t>致函-估价目的</t>
    <phoneticPr fontId="234"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</si>
  <si>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</si>
  <si>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</si>
  <si>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</si>
  <si>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</si>
  <si>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</si>
  <si>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</si>
  <si>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</si>
  <si>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</si>
  <si>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</si>
  <si>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</si>
  <si>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</si>
  <si>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</si>
  <si>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</si>
  <si>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</si>
  <si>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</si>
  <si>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</si>
  <si>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</si>
  <si>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</si>
  <si>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</si>
  <si>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</si>
  <si>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</si>
  <si>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</si>
  <si>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</si>
  <si>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</si>
  <si>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5" type="noConversion"/>
  </si>
  <si>
    <t>致函-估价结果-表-地号(标题）</t>
    <phoneticPr fontId="245" type="noConversion"/>
  </si>
  <si>
    <t>土地使用证编号/不动产权证书编号</t>
    <phoneticPr fontId="138"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</si>
  <si>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</si>
  <si>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</si>
  <si>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</si>
  <si>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</si>
  <si>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</si>
  <si>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</si>
  <si>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</si>
  <si>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</si>
  <si>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</si>
  <si>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</si>
  <si>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</si>
  <si>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</si>
  <si>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</si>
  <si>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</si>
  <si>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</si>
  <si>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</si>
  <si>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</si>
  <si>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</si>
  <si>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</si>
  <si>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</si>
  <si>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</si>
  <si>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</si>
  <si>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</si>
  <si>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</si>
  <si>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</si>
  <si>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</si>
  <si>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</si>
  <si>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</si>
  <si>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</si>
  <si>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</si>
  <si>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</si>
  <si>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</si>
  <si>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</si>
  <si>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</si>
  <si>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</si>
  <si>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</si>
  <si>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</si>
  <si>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</si>
  <si>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</si>
  <si>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</si>
  <si>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</si>
  <si>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</si>
  <si>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</si>
  <si>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</si>
  <si>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</si>
  <si>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</si>
  <si>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</si>
  <si>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</si>
  <si>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</si>
  <si>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</si>
  <si>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</si>
  <si>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5" type="noConversion"/>
  </si>
  <si>
    <t>价值时点</t>
    <phoneticPr fontId="4" type="noConversion"/>
  </si>
  <si>
    <t>贷款利率</t>
    <phoneticPr fontId="4" type="noConversion"/>
  </si>
  <si>
    <t>贷款利率</t>
    <phoneticPr fontId="234" type="noConversion"/>
  </si>
  <si>
    <t>存款利率</t>
    <phoneticPr fontId="2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</si>
  <si>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</si>
  <si>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</si>
  <si>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</si>
  <si>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</si>
  <si>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</si>
  <si>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</si>
  <si>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</si>
  <si>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</si>
  <si>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</si>
  <si>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</si>
  <si>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</si>
  <si>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</si>
  <si>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</si>
  <si>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</si>
  <si>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</si>
  <si>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</si>
  <si>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</si>
  <si>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</si>
  <si>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</si>
  <si>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</si>
  <si>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</si>
  <si>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</si>
  <si>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</si>
  <si>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</si>
  <si>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</si>
  <si>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</si>
  <si>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</si>
  <si>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34" type="noConversion"/>
  </si>
  <si>
    <t>1年期存款利率</t>
    <phoneticPr fontId="4" type="noConversion"/>
  </si>
  <si>
    <t>土地开发期</t>
    <phoneticPr fontId="234"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</si>
  <si>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</si>
  <si>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</si>
  <si>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</si>
  <si>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</si>
  <si>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</si>
  <si>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</si>
  <si>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</si>
  <si>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</si>
  <si>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</si>
  <si>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</si>
  <si>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</si>
  <si>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</si>
  <si>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</si>
  <si>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</si>
  <si>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</si>
  <si>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</si>
  <si>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</si>
  <si>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</si>
  <si>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</si>
  <si>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</si>
  <si>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</si>
  <si>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</si>
  <si>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</si>
  <si>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</si>
  <si>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</si>
  <si>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</si>
  <si>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</si>
  <si>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</si>
  <si>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</si>
  <si>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</si>
  <si>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</si>
  <si>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</si>
  <si>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</si>
  <si>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</si>
  <si>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</si>
  <si>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</si>
  <si>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</si>
  <si>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</si>
  <si>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</si>
  <si>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</si>
  <si>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</si>
  <si>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</si>
  <si>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</si>
  <si>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</si>
  <si>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</si>
  <si>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</si>
  <si>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</si>
  <si>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</si>
  <si>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</si>
  <si>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</si>
  <si>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</si>
  <si>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</si>
  <si>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</si>
  <si>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</si>
  <si>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</si>
  <si>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</si>
  <si>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</si>
  <si>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</si>
  <si>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</si>
  <si>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</si>
  <si>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</si>
  <si>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</si>
  <si>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</si>
  <si>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</si>
  <si>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</si>
  <si>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</si>
  <si>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</si>
  <si>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</si>
  <si>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</si>
  <si>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</si>
  <si>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</si>
  <si>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</si>
  <si>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</si>
  <si>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</si>
  <si>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</si>
  <si>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</si>
  <si>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</si>
  <si>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</si>
  <si>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</si>
  <si>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</si>
  <si>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</si>
  <si>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</si>
  <si>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</si>
  <si>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</si>
  <si>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</si>
  <si>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</si>
  <si>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</si>
  <si>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</si>
  <si>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</si>
  <si>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</si>
  <si>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</si>
  <si>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</si>
  <si>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</si>
  <si>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</si>
  <si>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</si>
  <si>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</si>
  <si>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</si>
  <si>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</si>
  <si>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</si>
  <si>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</si>
  <si>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</si>
  <si>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</si>
  <si>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</si>
  <si>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宗地容积率</t>
  </si>
  <si>
    <t>地价指数</t>
  </si>
  <si>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</si>
  <si>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</si>
  <si>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</si>
  <si>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</si>
  <si>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</si>
  <si>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</si>
  <si>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</si>
  <si>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</si>
  <si>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</si>
  <si>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</si>
  <si>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</si>
  <si>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</si>
  <si>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</si>
  <si>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</si>
  <si>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34" type="noConversion"/>
  </si>
  <si>
    <t>基准地价</t>
  </si>
  <si>
    <t>土地面积</t>
    <phoneticPr fontId="234" type="noConversion"/>
  </si>
  <si>
    <t>单位面积地价</t>
    <phoneticPr fontId="234" type="noConversion"/>
  </si>
  <si>
    <t>汇总土地面积</t>
    <phoneticPr fontId="234"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</si>
  <si>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</si>
  <si>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</si>
  <si>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</si>
  <si>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</si>
  <si>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</si>
  <si>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</si>
  <si>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</si>
  <si>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</si>
  <si>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</si>
  <si>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</si>
  <si>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</si>
  <si>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</si>
  <si>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</si>
  <si>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</si>
  <si>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</si>
  <si>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4"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</si>
  <si>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</si>
  <si>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</si>
  <si>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</si>
  <si>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</si>
  <si>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</si>
  <si>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</si>
  <si>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白景生</t>
    <phoneticPr fontId="4" type="noConversion"/>
  </si>
  <si>
    <t>楼面地价</t>
    <phoneticPr fontId="234" type="noConversion"/>
  </si>
  <si>
    <t>收益期（按照规范取最低值，住宅取高）</t>
    <phoneticPr fontId="4" type="noConversion"/>
  </si>
  <si>
    <t>2018-3</t>
    <phoneticPr fontId="4" type="noConversion"/>
  </si>
  <si>
    <t>2018-2</t>
    <phoneticPr fontId="4"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</si>
  <si>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</si>
  <si>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</si>
  <si>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</si>
  <si>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</si>
  <si>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</si>
  <si>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</si>
  <si>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</si>
  <si>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</si>
  <si>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</si>
  <si>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</si>
  <si>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</si>
  <si>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</si>
  <si>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住宅用地</t>
  </si>
  <si>
    <t>挂牌</t>
  </si>
  <si>
    <t>北京建工地产有限责任公司</t>
  </si>
  <si>
    <t>综合用地(含住宅)</t>
  </si>
  <si>
    <t>中铁置业集团北京有限公司</t>
  </si>
  <si>
    <t>北京市顺义区牛栏山镇SY00-0017-6001等地块B1商业用地、R2二类居住用地、F1住宅混合公建用地</t>
  </si>
  <si>
    <t>2017-12-14</t>
  </si>
  <si>
    <t>北京亚通房地产开发有限责任公司(石榴)</t>
  </si>
  <si>
    <t>中粮地产(北京)有限公司、北京天恒正同资产管理有限公司、北京旭辉企业管理有限公司和北京盛平置业有限公司联合体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</si>
  <si>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</si>
  <si>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</si>
  <si>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</si>
  <si>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</si>
  <si>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</si>
  <si>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</si>
  <si>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</si>
  <si>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</si>
  <si>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</si>
  <si>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</si>
  <si>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</si>
  <si>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顺义区后沙峪镇SY00-0022-0614地块</t>
  </si>
  <si>
    <t>2016-06-02</t>
  </si>
  <si>
    <t>福建宏辉房地产开发有限公司</t>
  </si>
  <si>
    <t>顺义区仁和镇05-02-15-1地块</t>
  </si>
  <si>
    <t>2015-12-28</t>
  </si>
  <si>
    <t>北京首开中晟置业有限责任公司</t>
  </si>
  <si>
    <t>顺义区仁和镇SY00-0005-6007、6005地块</t>
  </si>
  <si>
    <t>2015-11-16</t>
  </si>
  <si>
    <t>北京城建兴顺房地产开发有限公司</t>
  </si>
  <si>
    <t>顺义区仁和镇SY00-0005-6001等地块</t>
  </si>
  <si>
    <t>顺义区后沙峪镇后沙峪村SY-0019-076、SY-0019-079地块</t>
  </si>
  <si>
    <t>2015-10-23</t>
  </si>
  <si>
    <t>北京金隅大成开发有限公司</t>
  </si>
  <si>
    <t>顺义新城第17街区17-12-09、SY-1713-L02R2二类居住用地、SY-1713-L01A61机构养老设施用地</t>
  </si>
  <si>
    <t>2015-02-03</t>
  </si>
  <si>
    <t>北京朗园置业有限公司</t>
  </si>
  <si>
    <t>顺义区后沙峪镇SY00-0022-6012R2二类居住用地限价商品住房项目</t>
  </si>
  <si>
    <t>2014-11-02</t>
  </si>
  <si>
    <t>北京紫乔房地产开发有限公司</t>
  </si>
  <si>
    <t>自持</t>
    <phoneticPr fontId="234" type="noConversion"/>
  </si>
  <si>
    <t>应按照30%的比例配套建设保障性住房或“两限”商品住房，具体配建比例由建设行政主管部门确定，两限商品住房套型面积应小于90平方米，配套建设的保障性住房和“两限”商品住房应在普通商品住房完成总规模的80%之前竣工验收。</t>
    <phoneticPr fontId="234" type="noConversion"/>
  </si>
  <si>
    <r>
      <rPr>
        <sz val="11"/>
        <rFont val="仿宋_GB2312"/>
        <family val="3"/>
        <charset val="134"/>
      </rPr>
      <t>项目位置</t>
    </r>
    <phoneticPr fontId="4" type="noConversion"/>
  </si>
  <si>
    <r>
      <rPr>
        <sz val="11"/>
        <rFont val="仿宋_GB2312"/>
        <family val="3"/>
        <charset val="134"/>
      </rPr>
      <t>系数</t>
    </r>
    <r>
      <rPr>
        <sz val="11"/>
        <rFont val="Arial"/>
        <family val="2"/>
      </rPr>
      <t>%</t>
    </r>
    <phoneticPr fontId="4" type="noConversion"/>
  </si>
  <si>
    <r>
      <rPr>
        <sz val="11"/>
        <rFont val="仿宋_GB2312"/>
        <family val="3"/>
        <charset val="134"/>
      </rPr>
      <t>估价对象名称</t>
    </r>
    <phoneticPr fontId="4" type="noConversion"/>
  </si>
  <si>
    <r>
      <rPr>
        <sz val="11"/>
        <rFont val="仿宋_GB2312"/>
        <family val="3"/>
        <charset val="134"/>
      </rPr>
      <t>项目位置</t>
    </r>
    <phoneticPr fontId="4" type="noConversion"/>
  </si>
  <si>
    <t>正常</t>
  </si>
  <si>
    <t>抵押</t>
  </si>
  <si>
    <t>抵押价格</t>
  </si>
  <si>
    <t>企业</t>
  </si>
  <si>
    <t>一致</t>
  </si>
  <si>
    <t>出让</t>
  </si>
  <si>
    <t>商业</t>
  </si>
  <si>
    <t>否</t>
    <phoneticPr fontId="27" type="noConversion"/>
  </si>
  <si>
    <t>是</t>
    <phoneticPr fontId="27" type="noConversion"/>
  </si>
  <si>
    <t>综合用地（含住宅）</t>
  </si>
  <si>
    <t>综合用地（含住宅）</t>
    <phoneticPr fontId="27" type="noConversion"/>
  </si>
  <si>
    <t>是否自持</t>
    <phoneticPr fontId="27" type="noConversion"/>
  </si>
  <si>
    <t>否</t>
    <phoneticPr fontId="27" type="noConversion"/>
  </si>
  <si>
    <t>快速</t>
    <phoneticPr fontId="27" type="noConversion"/>
  </si>
  <si>
    <t>主干道</t>
    <phoneticPr fontId="27" type="noConversion"/>
  </si>
  <si>
    <t>次干道</t>
    <phoneticPr fontId="27" type="noConversion"/>
  </si>
  <si>
    <t>支路</t>
    <phoneticPr fontId="27" type="noConversion"/>
  </si>
  <si>
    <t>规则</t>
    <phoneticPr fontId="27" type="noConversion"/>
  </si>
  <si>
    <t>较规则</t>
    <phoneticPr fontId="27" type="noConversion"/>
  </si>
  <si>
    <t>较不规则</t>
    <phoneticPr fontId="27" type="noConversion"/>
  </si>
  <si>
    <t>不规则</t>
    <phoneticPr fontId="27" type="noConversion"/>
  </si>
  <si>
    <t>七通</t>
    <phoneticPr fontId="27" type="noConversion"/>
  </si>
  <si>
    <t>六通</t>
  </si>
  <si>
    <t>六通</t>
    <phoneticPr fontId="27" type="noConversion"/>
  </si>
  <si>
    <t>五通</t>
    <phoneticPr fontId="27" type="noConversion"/>
  </si>
  <si>
    <t>四通</t>
    <phoneticPr fontId="27" type="noConversion"/>
  </si>
  <si>
    <t>三通</t>
    <phoneticPr fontId="27" type="noConversion"/>
  </si>
  <si>
    <t>临三通</t>
  </si>
  <si>
    <t>临三通</t>
    <phoneticPr fontId="27" type="noConversion"/>
  </si>
  <si>
    <t>良好</t>
    <phoneticPr fontId="27" type="noConversion"/>
  </si>
  <si>
    <t>一般</t>
    <phoneticPr fontId="27" type="noConversion"/>
  </si>
  <si>
    <t>规证一</t>
    <phoneticPr fontId="234" type="noConversion"/>
  </si>
  <si>
    <r>
      <t>1</t>
    </r>
    <r>
      <rPr>
        <sz val="11"/>
        <color theme="1"/>
        <rFont val="宋体"/>
        <family val="3"/>
        <charset val="134"/>
        <scheme val="minor"/>
      </rPr>
      <t>-1#</t>
    </r>
    <phoneticPr fontId="234" type="noConversion"/>
  </si>
  <si>
    <t>住宅楼</t>
    <phoneticPr fontId="234" type="noConversion"/>
  </si>
  <si>
    <t>地上</t>
  </si>
  <si>
    <t>地上</t>
    <phoneticPr fontId="234" type="noConversion"/>
  </si>
  <si>
    <t>地下</t>
  </si>
  <si>
    <t>地下</t>
    <phoneticPr fontId="234" type="noConversion"/>
  </si>
  <si>
    <t>地上楼层</t>
    <phoneticPr fontId="234" type="noConversion"/>
  </si>
  <si>
    <t>地下楼层</t>
    <phoneticPr fontId="234" type="noConversion"/>
  </si>
  <si>
    <t>栋数</t>
    <phoneticPr fontId="234" type="noConversion"/>
  </si>
  <si>
    <t>户数</t>
    <phoneticPr fontId="234" type="noConversion"/>
  </si>
  <si>
    <t>住宅</t>
    <phoneticPr fontId="234" type="noConversion"/>
  </si>
  <si>
    <t>其他</t>
    <phoneticPr fontId="234" type="noConversion"/>
  </si>
  <si>
    <t>设备</t>
    <phoneticPr fontId="234" type="noConversion"/>
  </si>
  <si>
    <t>库房</t>
  </si>
  <si>
    <t>库房</t>
    <phoneticPr fontId="234" type="noConversion"/>
  </si>
  <si>
    <t>装配式建筑</t>
    <phoneticPr fontId="234" type="noConversion"/>
  </si>
  <si>
    <r>
      <t>1</t>
    </r>
    <r>
      <rPr>
        <sz val="11"/>
        <color theme="1"/>
        <rFont val="宋体"/>
        <family val="3"/>
        <charset val="134"/>
        <scheme val="minor"/>
      </rPr>
      <t>-2#</t>
    </r>
    <phoneticPr fontId="234" type="noConversion"/>
  </si>
  <si>
    <t>住宅楼</t>
    <phoneticPr fontId="234" type="noConversion"/>
  </si>
  <si>
    <t>1-3#</t>
    <phoneticPr fontId="234" type="noConversion"/>
  </si>
  <si>
    <r>
      <t>1</t>
    </r>
    <r>
      <rPr>
        <sz val="11"/>
        <color theme="1"/>
        <rFont val="宋体"/>
        <family val="3"/>
        <charset val="134"/>
        <scheme val="minor"/>
      </rPr>
      <t>-4#</t>
    </r>
    <r>
      <rPr>
        <sz val="11"/>
        <color theme="1"/>
        <rFont val="宋体"/>
        <family val="2"/>
        <charset val="134"/>
        <scheme val="minor"/>
      </rPr>
      <t/>
    </r>
  </si>
  <si>
    <r>
      <t>1</t>
    </r>
    <r>
      <rPr>
        <sz val="11"/>
        <color theme="1"/>
        <rFont val="宋体"/>
        <family val="3"/>
        <charset val="134"/>
        <scheme val="minor"/>
      </rPr>
      <t>-5#</t>
    </r>
    <r>
      <rPr>
        <sz val="11"/>
        <color theme="1"/>
        <rFont val="宋体"/>
        <family val="2"/>
        <charset val="134"/>
        <scheme val="minor"/>
      </rPr>
      <t/>
    </r>
  </si>
  <si>
    <t>1-6#</t>
  </si>
  <si>
    <r>
      <t>1</t>
    </r>
    <r>
      <rPr>
        <sz val="11"/>
        <color theme="1"/>
        <rFont val="宋体"/>
        <family val="3"/>
        <charset val="134"/>
        <scheme val="minor"/>
      </rPr>
      <t>-7#</t>
    </r>
    <r>
      <rPr>
        <sz val="11"/>
        <color theme="1"/>
        <rFont val="宋体"/>
        <family val="2"/>
        <charset val="134"/>
        <scheme val="minor"/>
      </rPr>
      <t/>
    </r>
  </si>
  <si>
    <r>
      <t>1</t>
    </r>
    <r>
      <rPr>
        <sz val="11"/>
        <color theme="1"/>
        <rFont val="宋体"/>
        <family val="3"/>
        <charset val="134"/>
        <scheme val="minor"/>
      </rPr>
      <t>-8#</t>
    </r>
    <r>
      <rPr>
        <sz val="11"/>
        <color theme="1"/>
        <rFont val="宋体"/>
        <family val="2"/>
        <charset val="134"/>
        <scheme val="minor"/>
      </rPr>
      <t/>
    </r>
  </si>
  <si>
    <t>1-9#</t>
  </si>
  <si>
    <r>
      <t>1</t>
    </r>
    <r>
      <rPr>
        <sz val="11"/>
        <color theme="1"/>
        <rFont val="宋体"/>
        <family val="3"/>
        <charset val="134"/>
        <scheme val="minor"/>
      </rPr>
      <t>-10#</t>
    </r>
    <r>
      <rPr>
        <sz val="11"/>
        <color theme="1"/>
        <rFont val="宋体"/>
        <family val="2"/>
        <charset val="134"/>
        <scheme val="minor"/>
      </rPr>
      <t/>
    </r>
  </si>
  <si>
    <r>
      <t>1</t>
    </r>
    <r>
      <rPr>
        <sz val="11"/>
        <color theme="1"/>
        <rFont val="宋体"/>
        <family val="3"/>
        <charset val="134"/>
        <scheme val="minor"/>
      </rPr>
      <t>-11#</t>
    </r>
    <r>
      <rPr>
        <sz val="11"/>
        <color theme="1"/>
        <rFont val="宋体"/>
        <family val="2"/>
        <charset val="134"/>
        <scheme val="minor"/>
      </rPr>
      <t/>
    </r>
  </si>
  <si>
    <t>1-12#</t>
  </si>
  <si>
    <r>
      <t>1</t>
    </r>
    <r>
      <rPr>
        <sz val="11"/>
        <color theme="1"/>
        <rFont val="宋体"/>
        <family val="3"/>
        <charset val="134"/>
        <scheme val="minor"/>
      </rPr>
      <t>-13#</t>
    </r>
    <r>
      <rPr>
        <sz val="11"/>
        <color theme="1"/>
        <rFont val="宋体"/>
        <family val="2"/>
        <charset val="134"/>
        <scheme val="minor"/>
      </rPr>
      <t/>
    </r>
  </si>
  <si>
    <r>
      <t>1</t>
    </r>
    <r>
      <rPr>
        <sz val="11"/>
        <color theme="1"/>
        <rFont val="宋体"/>
        <family val="3"/>
        <charset val="134"/>
        <scheme val="minor"/>
      </rPr>
      <t>-14#</t>
    </r>
    <r>
      <rPr>
        <sz val="11"/>
        <color theme="1"/>
        <rFont val="宋体"/>
        <family val="2"/>
        <charset val="134"/>
        <scheme val="minor"/>
      </rPr>
      <t/>
    </r>
  </si>
  <si>
    <t>1-15#</t>
  </si>
  <si>
    <r>
      <t>1</t>
    </r>
    <r>
      <rPr>
        <sz val="11"/>
        <color theme="1"/>
        <rFont val="宋体"/>
        <family val="3"/>
        <charset val="134"/>
        <scheme val="minor"/>
      </rPr>
      <t>-16#</t>
    </r>
    <r>
      <rPr>
        <sz val="11"/>
        <color theme="1"/>
        <rFont val="宋体"/>
        <family val="2"/>
        <charset val="134"/>
        <scheme val="minor"/>
      </rPr>
      <t/>
    </r>
  </si>
  <si>
    <r>
      <t>1</t>
    </r>
    <r>
      <rPr>
        <sz val="11"/>
        <color theme="1"/>
        <rFont val="宋体"/>
        <family val="3"/>
        <charset val="134"/>
        <scheme val="minor"/>
      </rPr>
      <t>-17#</t>
    </r>
    <r>
      <rPr>
        <sz val="11"/>
        <color theme="1"/>
        <rFont val="宋体"/>
        <family val="2"/>
        <charset val="134"/>
        <scheme val="minor"/>
      </rPr>
      <t/>
    </r>
  </si>
  <si>
    <t>1-18#</t>
  </si>
  <si>
    <r>
      <t>1</t>
    </r>
    <r>
      <rPr>
        <sz val="11"/>
        <color theme="1"/>
        <rFont val="宋体"/>
        <family val="3"/>
        <charset val="134"/>
        <scheme val="minor"/>
      </rPr>
      <t>-19#</t>
    </r>
    <r>
      <rPr>
        <sz val="11"/>
        <color theme="1"/>
        <rFont val="宋体"/>
        <family val="2"/>
        <charset val="134"/>
        <scheme val="minor"/>
      </rPr>
      <t/>
    </r>
  </si>
  <si>
    <r>
      <t>1</t>
    </r>
    <r>
      <rPr>
        <sz val="11"/>
        <color theme="1"/>
        <rFont val="宋体"/>
        <family val="3"/>
        <charset val="134"/>
        <scheme val="minor"/>
      </rPr>
      <t>-20#</t>
    </r>
    <r>
      <rPr>
        <sz val="11"/>
        <color theme="1"/>
        <rFont val="宋体"/>
        <family val="2"/>
        <charset val="134"/>
        <scheme val="minor"/>
      </rPr>
      <t/>
    </r>
  </si>
  <si>
    <t>1-21#</t>
  </si>
  <si>
    <r>
      <t>1</t>
    </r>
    <r>
      <rPr>
        <sz val="11"/>
        <color theme="1"/>
        <rFont val="宋体"/>
        <family val="3"/>
        <charset val="134"/>
        <scheme val="minor"/>
      </rPr>
      <t>-22#</t>
    </r>
    <r>
      <rPr>
        <sz val="11"/>
        <color theme="1"/>
        <rFont val="宋体"/>
        <family val="2"/>
        <charset val="134"/>
        <scheme val="minor"/>
      </rPr>
      <t/>
    </r>
  </si>
  <si>
    <r>
      <t>1</t>
    </r>
    <r>
      <rPr>
        <sz val="11"/>
        <color theme="1"/>
        <rFont val="宋体"/>
        <family val="3"/>
        <charset val="134"/>
        <scheme val="minor"/>
      </rPr>
      <t>-23#</t>
    </r>
    <r>
      <rPr>
        <sz val="11"/>
        <color theme="1"/>
        <rFont val="宋体"/>
        <family val="2"/>
        <charset val="134"/>
        <scheme val="minor"/>
      </rPr>
      <t/>
    </r>
  </si>
  <si>
    <t>1-24#</t>
  </si>
  <si>
    <r>
      <t>1</t>
    </r>
    <r>
      <rPr>
        <sz val="11"/>
        <color theme="1"/>
        <rFont val="宋体"/>
        <family val="3"/>
        <charset val="134"/>
        <scheme val="minor"/>
      </rPr>
      <t>-25#</t>
    </r>
    <r>
      <rPr>
        <sz val="11"/>
        <color theme="1"/>
        <rFont val="宋体"/>
        <family val="2"/>
        <charset val="134"/>
        <scheme val="minor"/>
      </rPr>
      <t/>
    </r>
  </si>
  <si>
    <t>1-26#</t>
  </si>
  <si>
    <r>
      <t>1</t>
    </r>
    <r>
      <rPr>
        <sz val="11"/>
        <color theme="1"/>
        <rFont val="宋体"/>
        <family val="3"/>
        <charset val="134"/>
        <scheme val="minor"/>
      </rPr>
      <t>-27#</t>
    </r>
    <r>
      <rPr>
        <sz val="11"/>
        <color theme="1"/>
        <rFont val="宋体"/>
        <family val="2"/>
        <charset val="134"/>
        <scheme val="minor"/>
      </rPr>
      <t/>
    </r>
  </si>
  <si>
    <t>1-28#</t>
  </si>
  <si>
    <r>
      <t>1</t>
    </r>
    <r>
      <rPr>
        <sz val="11"/>
        <color theme="1"/>
        <rFont val="宋体"/>
        <family val="3"/>
        <charset val="134"/>
        <scheme val="minor"/>
      </rPr>
      <t>-29#</t>
    </r>
    <r>
      <rPr>
        <sz val="11"/>
        <color theme="1"/>
        <rFont val="宋体"/>
        <family val="2"/>
        <charset val="134"/>
        <scheme val="minor"/>
      </rPr>
      <t/>
    </r>
  </si>
  <si>
    <t>1-30#</t>
  </si>
  <si>
    <r>
      <t>1</t>
    </r>
    <r>
      <rPr>
        <sz val="11"/>
        <color theme="1"/>
        <rFont val="宋体"/>
        <family val="3"/>
        <charset val="134"/>
        <scheme val="minor"/>
      </rPr>
      <t>-31#</t>
    </r>
    <r>
      <rPr>
        <sz val="11"/>
        <color theme="1"/>
        <rFont val="宋体"/>
        <family val="2"/>
        <charset val="134"/>
        <scheme val="minor"/>
      </rPr>
      <t/>
    </r>
  </si>
  <si>
    <r>
      <t>1</t>
    </r>
    <r>
      <rPr>
        <sz val="11"/>
        <color theme="1"/>
        <rFont val="宋体"/>
        <family val="3"/>
        <charset val="134"/>
        <scheme val="minor"/>
      </rPr>
      <t>-32#</t>
    </r>
    <r>
      <rPr>
        <sz val="11"/>
        <color theme="1"/>
        <rFont val="宋体"/>
        <family val="2"/>
        <charset val="134"/>
        <scheme val="minor"/>
      </rPr>
      <t/>
    </r>
  </si>
  <si>
    <t>1-33#</t>
  </si>
  <si>
    <r>
      <t>1</t>
    </r>
    <r>
      <rPr>
        <sz val="11"/>
        <color theme="1"/>
        <rFont val="宋体"/>
        <family val="3"/>
        <charset val="134"/>
        <scheme val="minor"/>
      </rPr>
      <t>-34#</t>
    </r>
    <r>
      <rPr>
        <sz val="11"/>
        <color theme="1"/>
        <rFont val="宋体"/>
        <family val="2"/>
        <charset val="134"/>
        <scheme val="minor"/>
      </rPr>
      <t/>
    </r>
  </si>
  <si>
    <r>
      <t>1</t>
    </r>
    <r>
      <rPr>
        <sz val="11"/>
        <color theme="1"/>
        <rFont val="宋体"/>
        <family val="3"/>
        <charset val="134"/>
        <scheme val="minor"/>
      </rPr>
      <t>-35#</t>
    </r>
    <r>
      <rPr>
        <sz val="11"/>
        <color theme="1"/>
        <rFont val="宋体"/>
        <family val="2"/>
        <charset val="134"/>
        <scheme val="minor"/>
      </rPr>
      <t/>
    </r>
  </si>
  <si>
    <t>1-36#</t>
  </si>
  <si>
    <r>
      <t>1</t>
    </r>
    <r>
      <rPr>
        <sz val="11"/>
        <color theme="1"/>
        <rFont val="宋体"/>
        <family val="3"/>
        <charset val="134"/>
        <scheme val="minor"/>
      </rPr>
      <t>-37#</t>
    </r>
    <r>
      <rPr>
        <sz val="11"/>
        <color theme="1"/>
        <rFont val="宋体"/>
        <family val="2"/>
        <charset val="134"/>
        <scheme val="minor"/>
      </rPr>
      <t/>
    </r>
  </si>
  <si>
    <r>
      <t>1</t>
    </r>
    <r>
      <rPr>
        <sz val="11"/>
        <color theme="1"/>
        <rFont val="宋体"/>
        <family val="3"/>
        <charset val="134"/>
        <scheme val="minor"/>
      </rPr>
      <t>-38#</t>
    </r>
    <r>
      <rPr>
        <sz val="11"/>
        <color theme="1"/>
        <rFont val="宋体"/>
        <family val="2"/>
        <charset val="134"/>
        <scheme val="minor"/>
      </rPr>
      <t/>
    </r>
  </si>
  <si>
    <t>1-39#</t>
  </si>
  <si>
    <r>
      <t>1</t>
    </r>
    <r>
      <rPr>
        <sz val="11"/>
        <color theme="1"/>
        <rFont val="宋体"/>
        <family val="3"/>
        <charset val="134"/>
        <scheme val="minor"/>
      </rPr>
      <t>-40#</t>
    </r>
    <r>
      <rPr>
        <sz val="11"/>
        <color theme="1"/>
        <rFont val="宋体"/>
        <family val="2"/>
        <charset val="134"/>
        <scheme val="minor"/>
      </rPr>
      <t/>
    </r>
  </si>
  <si>
    <r>
      <t>1</t>
    </r>
    <r>
      <rPr>
        <sz val="11"/>
        <color theme="1"/>
        <rFont val="宋体"/>
        <family val="3"/>
        <charset val="134"/>
        <scheme val="minor"/>
      </rPr>
      <t>-41#</t>
    </r>
    <r>
      <rPr>
        <sz val="11"/>
        <color theme="1"/>
        <rFont val="宋体"/>
        <family val="2"/>
        <charset val="134"/>
        <scheme val="minor"/>
      </rPr>
      <t/>
    </r>
  </si>
  <si>
    <r>
      <t>1</t>
    </r>
    <r>
      <rPr>
        <sz val="11"/>
        <color theme="1"/>
        <rFont val="宋体"/>
        <family val="3"/>
        <charset val="134"/>
        <scheme val="minor"/>
      </rPr>
      <t>-42#</t>
    </r>
    <r>
      <rPr>
        <sz val="11"/>
        <color theme="1"/>
        <rFont val="宋体"/>
        <family val="2"/>
        <charset val="134"/>
        <scheme val="minor"/>
      </rPr>
      <t/>
    </r>
  </si>
  <si>
    <r>
      <t>1</t>
    </r>
    <r>
      <rPr>
        <sz val="11"/>
        <color theme="1"/>
        <rFont val="宋体"/>
        <family val="3"/>
        <charset val="134"/>
        <scheme val="minor"/>
      </rPr>
      <t>-43#</t>
    </r>
    <r>
      <rPr>
        <sz val="11"/>
        <color theme="1"/>
        <rFont val="宋体"/>
        <family val="2"/>
        <charset val="134"/>
        <scheme val="minor"/>
      </rPr>
      <t/>
    </r>
  </si>
  <si>
    <r>
      <t>1</t>
    </r>
    <r>
      <rPr>
        <sz val="11"/>
        <color theme="1"/>
        <rFont val="宋体"/>
        <family val="3"/>
        <charset val="134"/>
        <scheme val="minor"/>
      </rPr>
      <t>-44#</t>
    </r>
    <r>
      <rPr>
        <sz val="11"/>
        <color theme="1"/>
        <rFont val="宋体"/>
        <family val="2"/>
        <charset val="134"/>
        <scheme val="minor"/>
      </rPr>
      <t/>
    </r>
  </si>
  <si>
    <r>
      <t>1</t>
    </r>
    <r>
      <rPr>
        <sz val="11"/>
        <color theme="1"/>
        <rFont val="宋体"/>
        <family val="3"/>
        <charset val="134"/>
        <scheme val="minor"/>
      </rPr>
      <t>-45#</t>
    </r>
    <r>
      <rPr>
        <sz val="11"/>
        <color theme="1"/>
        <rFont val="宋体"/>
        <family val="2"/>
        <charset val="134"/>
        <scheme val="minor"/>
      </rPr>
      <t/>
    </r>
  </si>
  <si>
    <r>
      <t>1</t>
    </r>
    <r>
      <rPr>
        <sz val="11"/>
        <color theme="1"/>
        <rFont val="宋体"/>
        <family val="3"/>
        <charset val="134"/>
        <scheme val="minor"/>
      </rPr>
      <t>-46#</t>
    </r>
    <r>
      <rPr>
        <sz val="11"/>
        <color theme="1"/>
        <rFont val="宋体"/>
        <family val="2"/>
        <charset val="134"/>
        <scheme val="minor"/>
      </rPr>
      <t/>
    </r>
  </si>
  <si>
    <r>
      <t>1</t>
    </r>
    <r>
      <rPr>
        <sz val="11"/>
        <color theme="1"/>
        <rFont val="宋体"/>
        <family val="3"/>
        <charset val="134"/>
        <scheme val="minor"/>
      </rPr>
      <t>-47#</t>
    </r>
    <r>
      <rPr>
        <sz val="11"/>
        <color theme="1"/>
        <rFont val="宋体"/>
        <family val="2"/>
        <charset val="134"/>
        <scheme val="minor"/>
      </rPr>
      <t/>
    </r>
  </si>
  <si>
    <r>
      <t>1</t>
    </r>
    <r>
      <rPr>
        <sz val="11"/>
        <color theme="1"/>
        <rFont val="宋体"/>
        <family val="3"/>
        <charset val="134"/>
        <scheme val="minor"/>
      </rPr>
      <t>-48#</t>
    </r>
    <r>
      <rPr>
        <sz val="11"/>
        <color theme="1"/>
        <rFont val="宋体"/>
        <family val="2"/>
        <charset val="134"/>
        <scheme val="minor"/>
      </rPr>
      <t/>
    </r>
  </si>
  <si>
    <r>
      <t>1</t>
    </r>
    <r>
      <rPr>
        <sz val="11"/>
        <color theme="1"/>
        <rFont val="宋体"/>
        <family val="3"/>
        <charset val="134"/>
        <scheme val="minor"/>
      </rPr>
      <t>-49#</t>
    </r>
    <r>
      <rPr>
        <sz val="11"/>
        <color theme="1"/>
        <rFont val="宋体"/>
        <family val="2"/>
        <charset val="134"/>
        <scheme val="minor"/>
      </rPr>
      <t/>
    </r>
  </si>
  <si>
    <r>
      <t>1</t>
    </r>
    <r>
      <rPr>
        <sz val="11"/>
        <color theme="1"/>
        <rFont val="宋体"/>
        <family val="3"/>
        <charset val="134"/>
        <scheme val="minor"/>
      </rPr>
      <t>-50#</t>
    </r>
    <r>
      <rPr>
        <sz val="11"/>
        <color theme="1"/>
        <rFont val="宋体"/>
        <family val="2"/>
        <charset val="134"/>
        <scheme val="minor"/>
      </rPr>
      <t/>
    </r>
  </si>
  <si>
    <r>
      <t>1</t>
    </r>
    <r>
      <rPr>
        <sz val="11"/>
        <color theme="1"/>
        <rFont val="宋体"/>
        <family val="3"/>
        <charset val="134"/>
        <scheme val="minor"/>
      </rPr>
      <t>-51#</t>
    </r>
    <r>
      <rPr>
        <sz val="11"/>
        <color theme="1"/>
        <rFont val="宋体"/>
        <family val="2"/>
        <charset val="134"/>
        <scheme val="minor"/>
      </rPr>
      <t/>
    </r>
  </si>
  <si>
    <r>
      <t>1</t>
    </r>
    <r>
      <rPr>
        <sz val="11"/>
        <color theme="1"/>
        <rFont val="宋体"/>
        <family val="3"/>
        <charset val="134"/>
        <scheme val="minor"/>
      </rPr>
      <t>-52#</t>
    </r>
    <r>
      <rPr>
        <sz val="11"/>
        <color theme="1"/>
        <rFont val="宋体"/>
        <family val="2"/>
        <charset val="134"/>
        <scheme val="minor"/>
      </rPr>
      <t/>
    </r>
  </si>
  <si>
    <r>
      <t>1</t>
    </r>
    <r>
      <rPr>
        <sz val="11"/>
        <color theme="1"/>
        <rFont val="宋体"/>
        <family val="3"/>
        <charset val="134"/>
        <scheme val="minor"/>
      </rPr>
      <t>-53#</t>
    </r>
    <r>
      <rPr>
        <sz val="11"/>
        <color theme="1"/>
        <rFont val="宋体"/>
        <family val="2"/>
        <charset val="134"/>
        <scheme val="minor"/>
      </rPr>
      <t/>
    </r>
  </si>
  <si>
    <r>
      <t>1</t>
    </r>
    <r>
      <rPr>
        <sz val="11"/>
        <color theme="1"/>
        <rFont val="宋体"/>
        <family val="3"/>
        <charset val="134"/>
        <scheme val="minor"/>
      </rPr>
      <t>-54#</t>
    </r>
    <r>
      <rPr>
        <sz val="11"/>
        <color theme="1"/>
        <rFont val="宋体"/>
        <family val="2"/>
        <charset val="134"/>
        <scheme val="minor"/>
      </rPr>
      <t/>
    </r>
  </si>
  <si>
    <r>
      <t>1</t>
    </r>
    <r>
      <rPr>
        <sz val="11"/>
        <color theme="1"/>
        <rFont val="宋体"/>
        <family val="3"/>
        <charset val="134"/>
        <scheme val="minor"/>
      </rPr>
      <t>-55#</t>
    </r>
    <r>
      <rPr>
        <sz val="11"/>
        <color theme="1"/>
        <rFont val="宋体"/>
        <family val="2"/>
        <charset val="134"/>
        <scheme val="minor"/>
      </rPr>
      <t/>
    </r>
  </si>
  <si>
    <r>
      <t>1</t>
    </r>
    <r>
      <rPr>
        <sz val="11"/>
        <color theme="1"/>
        <rFont val="宋体"/>
        <family val="3"/>
        <charset val="134"/>
        <scheme val="minor"/>
      </rPr>
      <t>-56#</t>
    </r>
    <r>
      <rPr>
        <sz val="11"/>
        <color theme="1"/>
        <rFont val="宋体"/>
        <family val="2"/>
        <charset val="134"/>
        <scheme val="minor"/>
      </rPr>
      <t/>
    </r>
  </si>
  <si>
    <r>
      <t>1</t>
    </r>
    <r>
      <rPr>
        <sz val="11"/>
        <color theme="1"/>
        <rFont val="宋体"/>
        <family val="3"/>
        <charset val="134"/>
        <scheme val="minor"/>
      </rPr>
      <t>-57#</t>
    </r>
    <r>
      <rPr>
        <sz val="11"/>
        <color theme="1"/>
        <rFont val="宋体"/>
        <family val="2"/>
        <charset val="134"/>
        <scheme val="minor"/>
      </rPr>
      <t/>
    </r>
  </si>
  <si>
    <r>
      <t>1</t>
    </r>
    <r>
      <rPr>
        <sz val="11"/>
        <color theme="1"/>
        <rFont val="宋体"/>
        <family val="3"/>
        <charset val="134"/>
        <scheme val="minor"/>
      </rPr>
      <t>-58#</t>
    </r>
    <r>
      <rPr>
        <sz val="11"/>
        <color theme="1"/>
        <rFont val="宋体"/>
        <family val="2"/>
        <charset val="134"/>
        <scheme val="minor"/>
      </rPr>
      <t/>
    </r>
  </si>
  <si>
    <r>
      <t>1</t>
    </r>
    <r>
      <rPr>
        <sz val="11"/>
        <color theme="1"/>
        <rFont val="宋体"/>
        <family val="3"/>
        <charset val="134"/>
        <scheme val="minor"/>
      </rPr>
      <t>-59#</t>
    </r>
    <r>
      <rPr>
        <sz val="11"/>
        <color theme="1"/>
        <rFont val="宋体"/>
        <family val="2"/>
        <charset val="134"/>
        <scheme val="minor"/>
      </rPr>
      <t/>
    </r>
  </si>
  <si>
    <r>
      <t>1</t>
    </r>
    <r>
      <rPr>
        <sz val="11"/>
        <color theme="1"/>
        <rFont val="宋体"/>
        <family val="3"/>
        <charset val="134"/>
        <scheme val="minor"/>
      </rPr>
      <t>-60#</t>
    </r>
    <r>
      <rPr>
        <sz val="11"/>
        <color theme="1"/>
        <rFont val="宋体"/>
        <family val="2"/>
        <charset val="134"/>
        <scheme val="minor"/>
      </rPr>
      <t/>
    </r>
  </si>
  <si>
    <r>
      <t>1</t>
    </r>
    <r>
      <rPr>
        <sz val="11"/>
        <color theme="1"/>
        <rFont val="宋体"/>
        <family val="3"/>
        <charset val="134"/>
        <scheme val="minor"/>
      </rPr>
      <t>-61#</t>
    </r>
    <r>
      <rPr>
        <sz val="11"/>
        <color theme="1"/>
        <rFont val="宋体"/>
        <family val="2"/>
        <charset val="134"/>
        <scheme val="minor"/>
      </rPr>
      <t/>
    </r>
  </si>
  <si>
    <r>
      <t>1</t>
    </r>
    <r>
      <rPr>
        <sz val="11"/>
        <color theme="1"/>
        <rFont val="宋体"/>
        <family val="3"/>
        <charset val="134"/>
        <scheme val="minor"/>
      </rPr>
      <t>-62#</t>
    </r>
    <r>
      <rPr>
        <sz val="11"/>
        <color theme="1"/>
        <rFont val="宋体"/>
        <family val="2"/>
        <charset val="134"/>
        <scheme val="minor"/>
      </rPr>
      <t/>
    </r>
  </si>
  <si>
    <r>
      <t>1</t>
    </r>
    <r>
      <rPr>
        <sz val="11"/>
        <color theme="1"/>
        <rFont val="宋体"/>
        <family val="3"/>
        <charset val="134"/>
        <scheme val="minor"/>
      </rPr>
      <t>-63#</t>
    </r>
    <r>
      <rPr>
        <sz val="11"/>
        <color theme="1"/>
        <rFont val="宋体"/>
        <family val="2"/>
        <charset val="134"/>
        <scheme val="minor"/>
      </rPr>
      <t/>
    </r>
  </si>
  <si>
    <r>
      <t>1</t>
    </r>
    <r>
      <rPr>
        <sz val="11"/>
        <color theme="1"/>
        <rFont val="宋体"/>
        <family val="3"/>
        <charset val="134"/>
        <scheme val="minor"/>
      </rPr>
      <t>-64#</t>
    </r>
    <r>
      <rPr>
        <sz val="11"/>
        <color theme="1"/>
        <rFont val="宋体"/>
        <family val="2"/>
        <charset val="134"/>
        <scheme val="minor"/>
      </rPr>
      <t/>
    </r>
  </si>
  <si>
    <r>
      <t>1</t>
    </r>
    <r>
      <rPr>
        <sz val="11"/>
        <color theme="1"/>
        <rFont val="宋体"/>
        <family val="3"/>
        <charset val="134"/>
        <scheme val="minor"/>
      </rPr>
      <t>-65#</t>
    </r>
    <r>
      <rPr>
        <sz val="11"/>
        <color theme="1"/>
        <rFont val="宋体"/>
        <family val="2"/>
        <charset val="134"/>
        <scheme val="minor"/>
      </rPr>
      <t/>
    </r>
  </si>
  <si>
    <r>
      <t>1</t>
    </r>
    <r>
      <rPr>
        <sz val="11"/>
        <color theme="1"/>
        <rFont val="宋体"/>
        <family val="3"/>
        <charset val="134"/>
        <scheme val="minor"/>
      </rPr>
      <t>-66#</t>
    </r>
    <r>
      <rPr>
        <sz val="11"/>
        <color theme="1"/>
        <rFont val="宋体"/>
        <family val="2"/>
        <charset val="134"/>
        <scheme val="minor"/>
      </rPr>
      <t/>
    </r>
  </si>
  <si>
    <r>
      <t>1</t>
    </r>
    <r>
      <rPr>
        <sz val="11"/>
        <color theme="1"/>
        <rFont val="宋体"/>
        <family val="3"/>
        <charset val="134"/>
        <scheme val="minor"/>
      </rPr>
      <t>-67#</t>
    </r>
    <r>
      <rPr>
        <sz val="11"/>
        <color theme="1"/>
        <rFont val="宋体"/>
        <family val="2"/>
        <charset val="134"/>
        <scheme val="minor"/>
      </rPr>
      <t/>
    </r>
  </si>
  <si>
    <r>
      <t>1</t>
    </r>
    <r>
      <rPr>
        <sz val="11"/>
        <color theme="1"/>
        <rFont val="宋体"/>
        <family val="3"/>
        <charset val="134"/>
        <scheme val="minor"/>
      </rPr>
      <t>-68#</t>
    </r>
    <r>
      <rPr>
        <sz val="11"/>
        <color theme="1"/>
        <rFont val="宋体"/>
        <family val="2"/>
        <charset val="134"/>
        <scheme val="minor"/>
      </rPr>
      <t/>
    </r>
  </si>
  <si>
    <r>
      <t>1</t>
    </r>
    <r>
      <rPr>
        <sz val="11"/>
        <color theme="1"/>
        <rFont val="宋体"/>
        <family val="3"/>
        <charset val="134"/>
        <scheme val="minor"/>
      </rPr>
      <t>-69#</t>
    </r>
    <r>
      <rPr>
        <sz val="11"/>
        <color theme="1"/>
        <rFont val="宋体"/>
        <family val="2"/>
        <charset val="134"/>
        <scheme val="minor"/>
      </rPr>
      <t/>
    </r>
  </si>
  <si>
    <r>
      <t>1</t>
    </r>
    <r>
      <rPr>
        <sz val="11"/>
        <color theme="1"/>
        <rFont val="宋体"/>
        <family val="3"/>
        <charset val="134"/>
        <scheme val="minor"/>
      </rPr>
      <t>-70#</t>
    </r>
    <r>
      <rPr>
        <sz val="11"/>
        <color theme="1"/>
        <rFont val="宋体"/>
        <family val="2"/>
        <charset val="134"/>
        <scheme val="minor"/>
      </rPr>
      <t/>
    </r>
  </si>
  <si>
    <r>
      <t>1</t>
    </r>
    <r>
      <rPr>
        <sz val="11"/>
        <color theme="1"/>
        <rFont val="宋体"/>
        <family val="3"/>
        <charset val="134"/>
        <scheme val="minor"/>
      </rPr>
      <t>-71#</t>
    </r>
    <r>
      <rPr>
        <sz val="11"/>
        <color theme="1"/>
        <rFont val="宋体"/>
        <family val="2"/>
        <charset val="134"/>
        <scheme val="minor"/>
      </rPr>
      <t/>
    </r>
  </si>
  <si>
    <r>
      <t>1</t>
    </r>
    <r>
      <rPr>
        <sz val="11"/>
        <color theme="1"/>
        <rFont val="宋体"/>
        <family val="3"/>
        <charset val="134"/>
        <scheme val="minor"/>
      </rPr>
      <t>-72#</t>
    </r>
    <r>
      <rPr>
        <sz val="11"/>
        <color theme="1"/>
        <rFont val="宋体"/>
        <family val="2"/>
        <charset val="134"/>
        <scheme val="minor"/>
      </rPr>
      <t/>
    </r>
  </si>
  <si>
    <r>
      <t>1</t>
    </r>
    <r>
      <rPr>
        <sz val="11"/>
        <color theme="1"/>
        <rFont val="宋体"/>
        <family val="3"/>
        <charset val="134"/>
        <scheme val="minor"/>
      </rPr>
      <t>-73#</t>
    </r>
    <r>
      <rPr>
        <sz val="11"/>
        <color theme="1"/>
        <rFont val="宋体"/>
        <family val="2"/>
        <charset val="134"/>
        <scheme val="minor"/>
      </rPr>
      <t/>
    </r>
  </si>
  <si>
    <r>
      <t>1</t>
    </r>
    <r>
      <rPr>
        <sz val="11"/>
        <color theme="1"/>
        <rFont val="宋体"/>
        <family val="3"/>
        <charset val="134"/>
        <scheme val="minor"/>
      </rPr>
      <t>-74#</t>
    </r>
    <r>
      <rPr>
        <sz val="11"/>
        <color theme="1"/>
        <rFont val="宋体"/>
        <family val="2"/>
        <charset val="134"/>
        <scheme val="minor"/>
      </rPr>
      <t/>
    </r>
  </si>
  <si>
    <r>
      <t>1</t>
    </r>
    <r>
      <rPr>
        <sz val="11"/>
        <color theme="1"/>
        <rFont val="宋体"/>
        <family val="3"/>
        <charset val="134"/>
        <scheme val="minor"/>
      </rPr>
      <t>-75#</t>
    </r>
    <r>
      <rPr>
        <sz val="11"/>
        <color theme="1"/>
        <rFont val="宋体"/>
        <family val="2"/>
        <charset val="134"/>
        <scheme val="minor"/>
      </rPr>
      <t/>
    </r>
  </si>
  <si>
    <r>
      <t>1</t>
    </r>
    <r>
      <rPr>
        <sz val="11"/>
        <color theme="1"/>
        <rFont val="宋体"/>
        <family val="3"/>
        <charset val="134"/>
        <scheme val="minor"/>
      </rPr>
      <t>-76#</t>
    </r>
    <r>
      <rPr>
        <sz val="11"/>
        <color theme="1"/>
        <rFont val="宋体"/>
        <family val="2"/>
        <charset val="134"/>
        <scheme val="minor"/>
      </rPr>
      <t/>
    </r>
  </si>
  <si>
    <r>
      <t>1</t>
    </r>
    <r>
      <rPr>
        <sz val="11"/>
        <color theme="1"/>
        <rFont val="宋体"/>
        <family val="3"/>
        <charset val="134"/>
        <scheme val="minor"/>
      </rPr>
      <t>-77#</t>
    </r>
    <r>
      <rPr>
        <sz val="11"/>
        <color theme="1"/>
        <rFont val="宋体"/>
        <family val="2"/>
        <charset val="134"/>
        <scheme val="minor"/>
      </rPr>
      <t/>
    </r>
  </si>
  <si>
    <r>
      <t>1</t>
    </r>
    <r>
      <rPr>
        <sz val="11"/>
        <color theme="1"/>
        <rFont val="宋体"/>
        <family val="3"/>
        <charset val="134"/>
        <scheme val="minor"/>
      </rPr>
      <t>-78#</t>
    </r>
    <r>
      <rPr>
        <sz val="11"/>
        <color theme="1"/>
        <rFont val="宋体"/>
        <family val="2"/>
        <charset val="134"/>
        <scheme val="minor"/>
      </rPr>
      <t/>
    </r>
  </si>
  <si>
    <r>
      <t>1</t>
    </r>
    <r>
      <rPr>
        <sz val="11"/>
        <color theme="1"/>
        <rFont val="宋体"/>
        <family val="3"/>
        <charset val="134"/>
        <scheme val="minor"/>
      </rPr>
      <t>-79#</t>
    </r>
    <r>
      <rPr>
        <sz val="11"/>
        <color theme="1"/>
        <rFont val="宋体"/>
        <family val="2"/>
        <charset val="134"/>
        <scheme val="minor"/>
      </rPr>
      <t/>
    </r>
  </si>
  <si>
    <r>
      <t>1</t>
    </r>
    <r>
      <rPr>
        <sz val="11"/>
        <color theme="1"/>
        <rFont val="宋体"/>
        <family val="3"/>
        <charset val="134"/>
        <scheme val="minor"/>
      </rPr>
      <t>-80#</t>
    </r>
    <r>
      <rPr>
        <sz val="11"/>
        <color theme="1"/>
        <rFont val="宋体"/>
        <family val="2"/>
        <charset val="134"/>
        <scheme val="minor"/>
      </rPr>
      <t/>
    </r>
  </si>
  <si>
    <r>
      <t>1</t>
    </r>
    <r>
      <rPr>
        <sz val="11"/>
        <color theme="1"/>
        <rFont val="宋体"/>
        <family val="3"/>
        <charset val="134"/>
        <scheme val="minor"/>
      </rPr>
      <t>-81#</t>
    </r>
    <r>
      <rPr>
        <sz val="11"/>
        <color theme="1"/>
        <rFont val="宋体"/>
        <family val="2"/>
        <charset val="134"/>
        <scheme val="minor"/>
      </rPr>
      <t/>
    </r>
  </si>
  <si>
    <r>
      <t>1</t>
    </r>
    <r>
      <rPr>
        <sz val="11"/>
        <color theme="1"/>
        <rFont val="宋体"/>
        <family val="3"/>
        <charset val="134"/>
        <scheme val="minor"/>
      </rPr>
      <t>-82#</t>
    </r>
    <r>
      <rPr>
        <sz val="11"/>
        <color theme="1"/>
        <rFont val="宋体"/>
        <family val="2"/>
        <charset val="134"/>
        <scheme val="minor"/>
      </rPr>
      <t/>
    </r>
  </si>
  <si>
    <r>
      <t>1</t>
    </r>
    <r>
      <rPr>
        <sz val="11"/>
        <color theme="1"/>
        <rFont val="宋体"/>
        <family val="3"/>
        <charset val="134"/>
        <scheme val="minor"/>
      </rPr>
      <t>-85#</t>
    </r>
    <r>
      <rPr>
        <sz val="11"/>
        <color theme="1"/>
        <rFont val="宋体"/>
        <family val="2"/>
        <charset val="134"/>
        <scheme val="minor"/>
      </rPr>
      <t/>
    </r>
  </si>
  <si>
    <r>
      <t>1</t>
    </r>
    <r>
      <rPr>
        <sz val="11"/>
        <color theme="1"/>
        <rFont val="宋体"/>
        <family val="3"/>
        <charset val="134"/>
        <scheme val="minor"/>
      </rPr>
      <t>-86#</t>
    </r>
    <r>
      <rPr>
        <sz val="11"/>
        <color theme="1"/>
        <rFont val="宋体"/>
        <family val="2"/>
        <charset val="134"/>
        <scheme val="minor"/>
      </rPr>
      <t/>
    </r>
  </si>
  <si>
    <r>
      <t>1</t>
    </r>
    <r>
      <rPr>
        <sz val="11"/>
        <color theme="1"/>
        <rFont val="宋体"/>
        <family val="3"/>
        <charset val="134"/>
        <scheme val="minor"/>
      </rPr>
      <t>-87#</t>
    </r>
    <r>
      <rPr>
        <sz val="11"/>
        <color theme="1"/>
        <rFont val="宋体"/>
        <family val="2"/>
        <charset val="134"/>
        <scheme val="minor"/>
      </rPr>
      <t/>
    </r>
  </si>
  <si>
    <r>
      <t>1</t>
    </r>
    <r>
      <rPr>
        <sz val="11"/>
        <color theme="1"/>
        <rFont val="宋体"/>
        <family val="3"/>
        <charset val="134"/>
        <scheme val="minor"/>
      </rPr>
      <t>-88#</t>
    </r>
    <r>
      <rPr>
        <sz val="11"/>
        <color theme="1"/>
        <rFont val="宋体"/>
        <family val="2"/>
        <charset val="134"/>
        <scheme val="minor"/>
      </rPr>
      <t/>
    </r>
  </si>
  <si>
    <r>
      <t>1</t>
    </r>
    <r>
      <rPr>
        <sz val="11"/>
        <color theme="1"/>
        <rFont val="宋体"/>
        <family val="3"/>
        <charset val="134"/>
        <scheme val="minor"/>
      </rPr>
      <t>-89#</t>
    </r>
    <r>
      <rPr>
        <sz val="11"/>
        <color theme="1"/>
        <rFont val="宋体"/>
        <family val="2"/>
        <charset val="134"/>
        <scheme val="minor"/>
      </rPr>
      <t/>
    </r>
  </si>
  <si>
    <r>
      <t>1</t>
    </r>
    <r>
      <rPr>
        <sz val="11"/>
        <color theme="1"/>
        <rFont val="宋体"/>
        <family val="3"/>
        <charset val="134"/>
        <scheme val="minor"/>
      </rPr>
      <t>-90#</t>
    </r>
    <r>
      <rPr>
        <sz val="11"/>
        <color theme="1"/>
        <rFont val="宋体"/>
        <family val="2"/>
        <charset val="134"/>
        <scheme val="minor"/>
      </rPr>
      <t/>
    </r>
  </si>
  <si>
    <t>合计</t>
    <phoneticPr fontId="234" type="noConversion"/>
  </si>
  <si>
    <t>P-2#</t>
    <phoneticPr fontId="234" type="noConversion"/>
  </si>
  <si>
    <t>开闭站</t>
    <phoneticPr fontId="234" type="noConversion"/>
  </si>
  <si>
    <t>地下车库</t>
    <phoneticPr fontId="234" type="noConversion"/>
  </si>
  <si>
    <t>住宅</t>
    <phoneticPr fontId="234" type="noConversion"/>
  </si>
  <si>
    <t>设备</t>
    <phoneticPr fontId="234" type="noConversion"/>
  </si>
  <si>
    <t>车库</t>
  </si>
  <si>
    <t>车库</t>
    <phoneticPr fontId="234" type="noConversion"/>
  </si>
  <si>
    <t>人防</t>
    <phoneticPr fontId="234" type="noConversion"/>
  </si>
  <si>
    <r>
      <t>1</t>
    </r>
    <r>
      <rPr>
        <sz val="11"/>
        <color theme="1"/>
        <rFont val="宋体"/>
        <family val="3"/>
        <charset val="134"/>
        <scheme val="minor"/>
      </rPr>
      <t>-83#</t>
    </r>
    <r>
      <rPr>
        <sz val="11"/>
        <color theme="1"/>
        <rFont val="宋体"/>
        <family val="2"/>
        <charset val="134"/>
        <scheme val="minor"/>
      </rPr>
      <t/>
    </r>
    <phoneticPr fontId="234" type="noConversion"/>
  </si>
  <si>
    <t>规证二</t>
    <phoneticPr fontId="234" type="noConversion"/>
  </si>
  <si>
    <r>
      <t>1</t>
    </r>
    <r>
      <rPr>
        <sz val="11"/>
        <color theme="1"/>
        <rFont val="宋体"/>
        <family val="3"/>
        <charset val="134"/>
        <scheme val="minor"/>
      </rPr>
      <t>-84#</t>
    </r>
    <phoneticPr fontId="234" type="noConversion"/>
  </si>
  <si>
    <r>
      <t>1</t>
    </r>
    <r>
      <rPr>
        <sz val="11"/>
        <color theme="1"/>
        <rFont val="宋体"/>
        <family val="3"/>
        <charset val="134"/>
        <scheme val="minor"/>
      </rPr>
      <t>-91#</t>
    </r>
    <r>
      <rPr>
        <sz val="11"/>
        <color theme="1"/>
        <rFont val="宋体"/>
        <family val="2"/>
        <charset val="134"/>
        <scheme val="minor"/>
      </rPr>
      <t/>
    </r>
  </si>
  <si>
    <t>住宅楼</t>
    <phoneticPr fontId="234" type="noConversion"/>
  </si>
  <si>
    <t>设备</t>
    <phoneticPr fontId="234" type="noConversion"/>
  </si>
  <si>
    <t>配套用房</t>
    <phoneticPr fontId="234" type="noConversion"/>
  </si>
  <si>
    <t>商业</t>
    <phoneticPr fontId="234" type="noConversion"/>
  </si>
  <si>
    <t>商业</t>
    <phoneticPr fontId="234" type="noConversion"/>
  </si>
  <si>
    <t>配套用房</t>
    <phoneticPr fontId="234" type="noConversion"/>
  </si>
  <si>
    <t>p-1#</t>
    <phoneticPr fontId="234" type="noConversion"/>
  </si>
  <si>
    <t>托老所</t>
    <phoneticPr fontId="234" type="noConversion"/>
  </si>
  <si>
    <t>配套用房</t>
    <phoneticPr fontId="234" type="noConversion"/>
  </si>
  <si>
    <t>商业</t>
    <phoneticPr fontId="234" type="noConversion"/>
  </si>
  <si>
    <t>配套用房</t>
    <phoneticPr fontId="234" type="noConversion"/>
  </si>
  <si>
    <t>洋房</t>
  </si>
  <si>
    <t>自持住房</t>
  </si>
  <si>
    <t>自持住房</t>
    <phoneticPr fontId="15" type="noConversion"/>
  </si>
  <si>
    <t>配套商业</t>
  </si>
  <si>
    <t>配套商业</t>
    <phoneticPr fontId="15" type="noConversion"/>
  </si>
  <si>
    <t>商业</t>
    <phoneticPr fontId="8" type="noConversion"/>
  </si>
  <si>
    <t>地下车库</t>
    <phoneticPr fontId="8" type="noConversion"/>
  </si>
  <si>
    <t>仓储</t>
  </si>
  <si>
    <t>戊类库房</t>
  </si>
  <si>
    <t>库房</t>
    <phoneticPr fontId="8" type="noConversion"/>
  </si>
  <si>
    <t>低密度住宅</t>
  </si>
  <si>
    <t>低密度住宅</t>
    <phoneticPr fontId="8" type="noConversion"/>
  </si>
  <si>
    <t>多层住宅</t>
  </si>
  <si>
    <t>多层住宅</t>
    <phoneticPr fontId="8" type="noConversion"/>
  </si>
  <si>
    <t>自持住宅</t>
  </si>
  <si>
    <t>自持住宅</t>
    <phoneticPr fontId="8" type="noConversion"/>
  </si>
  <si>
    <t>多面临街</t>
  </si>
  <si>
    <t>一般</t>
    <phoneticPr fontId="22" type="noConversion"/>
  </si>
  <si>
    <t>较差</t>
    <phoneticPr fontId="22" type="noConversion"/>
  </si>
  <si>
    <t>七通</t>
    <phoneticPr fontId="22" type="noConversion"/>
  </si>
  <si>
    <t>较好</t>
    <phoneticPr fontId="22" type="noConversion"/>
  </si>
  <si>
    <t>项目全部</t>
  </si>
  <si>
    <t>土地</t>
  </si>
  <si>
    <t>剩余法-待开发</t>
  </si>
  <si>
    <t>比较法-住宅、综合</t>
  </si>
  <si>
    <t>是</t>
    <phoneticPr fontId="27" type="noConversion"/>
  </si>
  <si>
    <t>是</t>
    <phoneticPr fontId="27" type="noConversion"/>
  </si>
  <si>
    <t>楼面地价</t>
  </si>
  <si>
    <r>
      <rPr>
        <b/>
        <sz val="11"/>
        <rFont val="仿宋_GB2312"/>
        <family val="3"/>
        <charset val="134"/>
      </rPr>
      <t>估价对象</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</si>
  <si>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单面临街</t>
  </si>
  <si>
    <t>住宅</t>
    <phoneticPr fontId="234" type="noConversion"/>
  </si>
  <si>
    <t>自持住宅</t>
    <phoneticPr fontId="234" type="noConversion"/>
  </si>
  <si>
    <r>
      <t>2</t>
    </r>
    <r>
      <rPr>
        <sz val="11"/>
        <color theme="1"/>
        <rFont val="宋体"/>
        <family val="3"/>
        <charset val="134"/>
        <scheme val="minor"/>
      </rPr>
      <t>1地块</t>
    </r>
    <phoneticPr fontId="234" type="noConversion"/>
  </si>
  <si>
    <r>
      <t>3</t>
    </r>
    <r>
      <rPr>
        <sz val="11"/>
        <color theme="1"/>
        <rFont val="宋体"/>
        <family val="3"/>
        <charset val="134"/>
        <scheme val="minor"/>
      </rPr>
      <t>1地块</t>
    </r>
    <phoneticPr fontId="234" type="noConversion"/>
  </si>
  <si>
    <r>
      <t>9</t>
    </r>
    <r>
      <rPr>
        <sz val="11"/>
        <color theme="1"/>
        <rFont val="宋体"/>
        <family val="3"/>
        <charset val="134"/>
        <scheme val="minor"/>
      </rPr>
      <t>46个</t>
    </r>
    <phoneticPr fontId="234" type="noConversion"/>
  </si>
  <si>
    <t>库房</t>
    <phoneticPr fontId="234" type="noConversion"/>
  </si>
  <si>
    <t>配套</t>
    <phoneticPr fontId="234" type="noConversion"/>
  </si>
  <si>
    <t>车库</t>
    <phoneticPr fontId="234" type="noConversion"/>
  </si>
  <si>
    <r>
      <t>6</t>
    </r>
    <r>
      <rPr>
        <sz val="11"/>
        <color theme="1"/>
        <rFont val="宋体"/>
        <family val="3"/>
        <charset val="134"/>
        <scheme val="minor"/>
      </rPr>
      <t>84个</t>
    </r>
    <phoneticPr fontId="234" type="noConversion"/>
  </si>
  <si>
    <t>地下</t>
    <phoneticPr fontId="234" type="noConversion"/>
  </si>
  <si>
    <t>合计</t>
    <phoneticPr fontId="234" type="noConversion"/>
  </si>
  <si>
    <t>3-21地块</t>
    <phoneticPr fontId="4" type="noConversion"/>
  </si>
  <si>
    <t>低密度地下库房</t>
  </si>
  <si>
    <t>低密度地下库房</t>
    <phoneticPr fontId="8" type="noConversion"/>
  </si>
  <si>
    <t>否</t>
    <phoneticPr fontId="27" type="noConversion"/>
  </si>
  <si>
    <t>不动产收益法</t>
  </si>
  <si>
    <t>土地（套用方法）</t>
  </si>
  <si>
    <t>押一</t>
  </si>
  <si>
    <t>按租金收入计税</t>
  </si>
  <si>
    <t>通路</t>
  </si>
  <si>
    <t>通电</t>
  </si>
  <si>
    <t>通上水</t>
  </si>
  <si>
    <t>支路</t>
  </si>
  <si>
    <t>规则</t>
  </si>
  <si>
    <t>较规则</t>
  </si>
  <si>
    <t>2018-1-0667</t>
    <phoneticPr fontId="7" type="noConversion"/>
  </si>
  <si>
    <t>吴薇</t>
  </si>
  <si>
    <t>郑燚</t>
  </si>
  <si>
    <t xml:space="preserve">北京万龙华房地产开发有限公司 </t>
    <phoneticPr fontId="7" type="noConversion"/>
  </si>
  <si>
    <t xml:space="preserve">北京万龙华房地产开发有限公司 </t>
    <phoneticPr fontId="7" type="noConversion"/>
  </si>
  <si>
    <t>建行城建、中行北京分行丰台支行、农行北分崇文门</t>
    <phoneticPr fontId="7" type="noConversion"/>
  </si>
  <si>
    <t>住宅、商业、地下仓储、地下车库</t>
    <phoneticPr fontId="7" type="noConversion"/>
  </si>
  <si>
    <t>符合</t>
  </si>
  <si>
    <t>住宅68.8年、商业38.8年、地下车库48.8年、仓储48.8</t>
    <phoneticPr fontId="7" type="noConversion"/>
  </si>
  <si>
    <t>否</t>
  </si>
  <si>
    <t>居住项目</t>
  </si>
  <si>
    <t>无</t>
  </si>
  <si>
    <t>宗地内已开工建设</t>
  </si>
  <si>
    <t>平整</t>
  </si>
  <si>
    <t>Ⅷ-顺3</t>
  </si>
  <si>
    <t>不动产收益法（商业）</t>
    <phoneticPr fontId="15" type="noConversion"/>
  </si>
  <si>
    <t>不动产收益法（车库）</t>
  </si>
  <si>
    <t>不动产收益法（仓储）</t>
  </si>
  <si>
    <t>不动产收益法（仓储）</t>
    <phoneticPr fontId="15" type="noConversion"/>
  </si>
  <si>
    <t>钢混</t>
  </si>
  <si>
    <t>七通</t>
  </si>
  <si>
    <t>较不规则</t>
  </si>
  <si>
    <t>一般</t>
  </si>
  <si>
    <t>较好</t>
  </si>
  <si>
    <t>较差</t>
  </si>
  <si>
    <t>次干道</t>
  </si>
  <si>
    <t>六级</t>
    <phoneticPr fontId="27" type="noConversion"/>
  </si>
  <si>
    <t>七级</t>
    <phoneticPr fontId="27" type="noConversion"/>
  </si>
  <si>
    <t>八级</t>
    <phoneticPr fontId="27" type="noConversion"/>
  </si>
  <si>
    <t>三通</t>
  </si>
  <si>
    <t>良好</t>
  </si>
  <si>
    <t>低密度</t>
    <phoneticPr fontId="234" type="noConversion"/>
  </si>
  <si>
    <t>洋房</t>
    <phoneticPr fontId="234" type="noConversion"/>
  </si>
  <si>
    <t>地下库房</t>
    <phoneticPr fontId="234" type="noConversion"/>
  </si>
  <si>
    <t>地下库房</t>
    <phoneticPr fontId="234" type="noConversion"/>
  </si>
  <si>
    <t>合院</t>
  </si>
  <si>
    <t>合院</t>
    <phoneticPr fontId="15" type="noConversion"/>
  </si>
  <si>
    <t>北京市顺义区后沙峪镇马头庄村SY00-0019-6007地块R2二类居住用地</t>
    <phoneticPr fontId="234" type="noConversion"/>
  </si>
  <si>
    <t>北京市顺义区后沙峪镇21-18-001e地块R2二类居住用地、21-18-002地块A33基础教育用地</t>
    <phoneticPr fontId="234" type="noConversion"/>
  </si>
  <si>
    <t>北京市顺义区后沙峪镇马头庄村SY00-0019-6005地块B1商业用地、SY00-0019-6006地块R2二类居住用地</t>
    <phoneticPr fontId="234" type="noConversion"/>
  </si>
  <si>
    <r>
      <t>031</t>
    </r>
    <r>
      <rPr>
        <b/>
        <sz val="9"/>
        <color rgb="FF000000"/>
        <rFont val="华文细黑"/>
        <family val="3"/>
        <charset val="134"/>
      </rPr>
      <t>号地块</t>
    </r>
  </si>
  <si>
    <t>类别</t>
  </si>
  <si>
    <t>项目类型</t>
  </si>
  <si>
    <t>规划建筑面积（㎡）</t>
  </si>
  <si>
    <t>经营性</t>
  </si>
  <si>
    <t>多层住宅地下库房</t>
  </si>
  <si>
    <r>
      <t>031</t>
    </r>
    <r>
      <rPr>
        <sz val="9"/>
        <color rgb="FF000000"/>
        <rFont val="华文细黑"/>
        <family val="3"/>
        <charset val="134"/>
      </rPr>
      <t>号地块经营性用房小计</t>
    </r>
  </si>
  <si>
    <t>公共配套及物业（住宅）</t>
  </si>
  <si>
    <r>
      <t>031</t>
    </r>
    <r>
      <rPr>
        <sz val="9"/>
        <color rgb="FF000000"/>
        <rFont val="华文细黑"/>
        <family val="3"/>
        <charset val="134"/>
      </rPr>
      <t>号地块非经营性用房小计</t>
    </r>
  </si>
  <si>
    <r>
      <t>031</t>
    </r>
    <r>
      <rPr>
        <b/>
        <sz val="9"/>
        <color rgb="FF000000"/>
        <rFont val="华文细黑"/>
        <family val="3"/>
        <charset val="134"/>
      </rPr>
      <t>号地块总计</t>
    </r>
  </si>
  <si>
    <r>
      <t>021</t>
    </r>
    <r>
      <rPr>
        <b/>
        <sz val="9"/>
        <color rgb="FF000000"/>
        <rFont val="华文细黑"/>
        <family val="3"/>
        <charset val="134"/>
      </rPr>
      <t>号地块</t>
    </r>
  </si>
  <si>
    <r>
      <t>021</t>
    </r>
    <r>
      <rPr>
        <sz val="9"/>
        <color rgb="FF000000"/>
        <rFont val="华文细黑"/>
        <family val="3"/>
        <charset val="134"/>
      </rPr>
      <t>号地块经营性用房小计</t>
    </r>
  </si>
  <si>
    <r>
      <t>021</t>
    </r>
    <r>
      <rPr>
        <sz val="9"/>
        <color rgb="FF000000"/>
        <rFont val="华文细黑"/>
        <family val="3"/>
        <charset val="134"/>
      </rPr>
      <t>号地块非经营性用房小计</t>
    </r>
  </si>
  <si>
    <r>
      <t>021</t>
    </r>
    <r>
      <rPr>
        <b/>
        <sz val="9"/>
        <color rgb="FF000000"/>
        <rFont val="华文细黑"/>
        <family val="3"/>
        <charset val="134"/>
      </rPr>
      <t>号地块总计</t>
    </r>
  </si>
  <si>
    <t>估价对象总计</t>
  </si>
  <si>
    <t>顺义区高丽营镇于庄03-21地块</t>
    <phoneticPr fontId="7" type="noConversion"/>
  </si>
  <si>
    <t>次干道</t>
    <phoneticPr fontId="22" type="noConversion"/>
  </si>
  <si>
    <t>不动产收益法（商业）</t>
    <phoneticPr fontId="4" type="noConversion"/>
  </si>
  <si>
    <r>
      <t>不动产收益法</t>
    </r>
    <r>
      <rPr>
        <sz val="11"/>
        <color theme="1"/>
        <rFont val="宋体"/>
        <family val="3"/>
        <charset val="134"/>
      </rPr>
      <t>（车库）</t>
    </r>
    <phoneticPr fontId="15" type="noConversion"/>
  </si>
  <si>
    <t>自定义</t>
  </si>
  <si>
    <t>规证一</t>
  </si>
  <si>
    <t>其他</t>
  </si>
  <si>
    <t>设备</t>
  </si>
  <si>
    <t>地上楼层</t>
  </si>
  <si>
    <t>地下楼层</t>
  </si>
  <si>
    <t>栋数</t>
  </si>
  <si>
    <t>户数</t>
  </si>
  <si>
    <t>住宅楼</t>
  </si>
  <si>
    <t>合计</t>
    <phoneticPr fontId="234" type="noConversion"/>
  </si>
  <si>
    <t>2-1#</t>
    <phoneticPr fontId="234" type="noConversion"/>
  </si>
  <si>
    <r>
      <t>建字第1</t>
    </r>
    <r>
      <rPr>
        <sz val="11"/>
        <color theme="1"/>
        <rFont val="宋体"/>
        <family val="3"/>
        <charset val="134"/>
        <scheme val="minor"/>
      </rPr>
      <t>10113201800094号</t>
    </r>
    <phoneticPr fontId="234" type="noConversion"/>
  </si>
  <si>
    <r>
      <t>2</t>
    </r>
    <r>
      <rPr>
        <sz val="11"/>
        <color theme="1"/>
        <rFont val="宋体"/>
        <family val="3"/>
        <charset val="134"/>
        <scheme val="minor"/>
      </rPr>
      <t>-2#</t>
    </r>
    <phoneticPr fontId="234" type="noConversion"/>
  </si>
  <si>
    <t>2-3#</t>
    <phoneticPr fontId="234" type="noConversion"/>
  </si>
  <si>
    <t>2-4#</t>
    <phoneticPr fontId="234" type="noConversion"/>
  </si>
  <si>
    <t>2-5#</t>
    <phoneticPr fontId="234" type="noConversion"/>
  </si>
  <si>
    <t>2-6#</t>
    <phoneticPr fontId="234" type="noConversion"/>
  </si>
  <si>
    <t>2-7#</t>
    <phoneticPr fontId="234" type="noConversion"/>
  </si>
  <si>
    <t>2-8#</t>
    <phoneticPr fontId="234" type="noConversion"/>
  </si>
  <si>
    <t>2-9#</t>
    <phoneticPr fontId="234" type="noConversion"/>
  </si>
  <si>
    <t>2-10#</t>
    <phoneticPr fontId="234" type="noConversion"/>
  </si>
  <si>
    <t>2-11#</t>
    <phoneticPr fontId="234" type="noConversion"/>
  </si>
  <si>
    <t>2-12#</t>
    <phoneticPr fontId="234" type="noConversion"/>
  </si>
  <si>
    <t>2-13#</t>
    <phoneticPr fontId="234" type="noConversion"/>
  </si>
  <si>
    <t>2-14#</t>
    <phoneticPr fontId="234" type="noConversion"/>
  </si>
  <si>
    <t>2-15#</t>
    <phoneticPr fontId="234" type="noConversion"/>
  </si>
  <si>
    <t>2-16#</t>
    <phoneticPr fontId="234" type="noConversion"/>
  </si>
  <si>
    <t>2-17#</t>
    <phoneticPr fontId="234" type="noConversion"/>
  </si>
  <si>
    <t>2-18#</t>
    <phoneticPr fontId="234" type="noConversion"/>
  </si>
  <si>
    <t>2-19#</t>
    <phoneticPr fontId="234" type="noConversion"/>
  </si>
  <si>
    <t>2-20#</t>
    <phoneticPr fontId="234" type="noConversion"/>
  </si>
  <si>
    <t>2-21#</t>
    <phoneticPr fontId="234" type="noConversion"/>
  </si>
  <si>
    <t>2-22#</t>
    <phoneticPr fontId="234" type="noConversion"/>
  </si>
  <si>
    <t>2-23#</t>
    <phoneticPr fontId="234" type="noConversion"/>
  </si>
  <si>
    <t>2-24#</t>
    <phoneticPr fontId="234" type="noConversion"/>
  </si>
  <si>
    <t>2-25#</t>
    <phoneticPr fontId="234" type="noConversion"/>
  </si>
  <si>
    <t>2-26#</t>
    <phoneticPr fontId="234" type="noConversion"/>
  </si>
  <si>
    <t>2-27#</t>
    <phoneticPr fontId="234" type="noConversion"/>
  </si>
  <si>
    <t>2-28#</t>
    <phoneticPr fontId="234" type="noConversion"/>
  </si>
  <si>
    <t>2-29#</t>
    <phoneticPr fontId="234" type="noConversion"/>
  </si>
  <si>
    <t>2-30#</t>
    <phoneticPr fontId="234" type="noConversion"/>
  </si>
  <si>
    <t>2-31#</t>
    <phoneticPr fontId="234" type="noConversion"/>
  </si>
  <si>
    <t>2-32#</t>
    <phoneticPr fontId="234" type="noConversion"/>
  </si>
  <si>
    <t>2-33#</t>
    <phoneticPr fontId="234" type="noConversion"/>
  </si>
  <si>
    <t>2-34#</t>
    <phoneticPr fontId="234" type="noConversion"/>
  </si>
  <si>
    <t>2-35#</t>
    <phoneticPr fontId="234" type="noConversion"/>
  </si>
  <si>
    <t>2-36#</t>
    <phoneticPr fontId="234" type="noConversion"/>
  </si>
  <si>
    <t>2-37#</t>
    <phoneticPr fontId="234" type="noConversion"/>
  </si>
  <si>
    <t>2-38#</t>
    <phoneticPr fontId="234" type="noConversion"/>
  </si>
  <si>
    <t>2-39#</t>
    <phoneticPr fontId="234" type="noConversion"/>
  </si>
  <si>
    <t>2-40#</t>
    <phoneticPr fontId="234" type="noConversion"/>
  </si>
  <si>
    <t>2-41#</t>
    <phoneticPr fontId="234" type="noConversion"/>
  </si>
  <si>
    <t>2-42#</t>
    <phoneticPr fontId="234" type="noConversion"/>
  </si>
  <si>
    <t>2-43#</t>
    <phoneticPr fontId="234" type="noConversion"/>
  </si>
  <si>
    <t>2-44#</t>
    <phoneticPr fontId="234" type="noConversion"/>
  </si>
  <si>
    <t>2-45#</t>
    <phoneticPr fontId="234" type="noConversion"/>
  </si>
  <si>
    <t>2-46#</t>
    <phoneticPr fontId="234" type="noConversion"/>
  </si>
  <si>
    <t>2-47#</t>
    <phoneticPr fontId="234" type="noConversion"/>
  </si>
  <si>
    <t>2-48#</t>
    <phoneticPr fontId="234" type="noConversion"/>
  </si>
  <si>
    <t>2-49#</t>
    <phoneticPr fontId="234" type="noConversion"/>
  </si>
  <si>
    <t>2-50#</t>
    <phoneticPr fontId="234" type="noConversion"/>
  </si>
  <si>
    <t>2-51#</t>
    <phoneticPr fontId="234" type="noConversion"/>
  </si>
  <si>
    <t>2-52#</t>
    <phoneticPr fontId="234" type="noConversion"/>
  </si>
  <si>
    <t>2-53#</t>
    <phoneticPr fontId="234" type="noConversion"/>
  </si>
  <si>
    <t>2-54#</t>
    <phoneticPr fontId="234" type="noConversion"/>
  </si>
  <si>
    <t>2-55#</t>
    <phoneticPr fontId="234" type="noConversion"/>
  </si>
  <si>
    <t>2-56#</t>
    <phoneticPr fontId="234" type="noConversion"/>
  </si>
  <si>
    <t>2-57#</t>
    <phoneticPr fontId="234" type="noConversion"/>
  </si>
  <si>
    <t>2-58#</t>
    <phoneticPr fontId="234" type="noConversion"/>
  </si>
  <si>
    <t>小计</t>
    <phoneticPr fontId="234" type="noConversion"/>
  </si>
  <si>
    <t>2#地下车库</t>
    <phoneticPr fontId="234" type="noConversion"/>
  </si>
  <si>
    <t>配套用房</t>
  </si>
  <si>
    <t>人防</t>
    <phoneticPr fontId="234" type="noConversion"/>
  </si>
  <si>
    <t>2-59#</t>
    <phoneticPr fontId="234" type="noConversion"/>
  </si>
  <si>
    <r>
      <t>2</t>
    </r>
    <r>
      <rPr>
        <sz val="11"/>
        <color theme="1"/>
        <rFont val="宋体"/>
        <family val="3"/>
        <charset val="134"/>
        <scheme val="minor"/>
      </rPr>
      <t>-60#</t>
    </r>
    <phoneticPr fontId="234" type="noConversion"/>
  </si>
  <si>
    <r>
      <t>2</t>
    </r>
    <r>
      <rPr>
        <sz val="11"/>
        <color theme="1"/>
        <rFont val="宋体"/>
        <family val="3"/>
        <charset val="134"/>
        <scheme val="minor"/>
      </rPr>
      <t>-61#</t>
    </r>
    <phoneticPr fontId="234" type="noConversion"/>
  </si>
  <si>
    <t>自持住宅</t>
    <phoneticPr fontId="234" type="noConversion"/>
  </si>
  <si>
    <r>
      <t>2#</t>
    </r>
    <r>
      <rPr>
        <sz val="9"/>
        <color rgb="FF000000"/>
        <rFont val="华文细黑"/>
        <family val="3"/>
        <charset val="134"/>
      </rPr>
      <t>地下车库</t>
    </r>
  </si>
  <si>
    <t>2-59#</t>
  </si>
  <si>
    <t>2-60#</t>
  </si>
  <si>
    <t>2-61#</t>
  </si>
  <si>
    <t>小计</t>
    <phoneticPr fontId="234" type="noConversion"/>
  </si>
  <si>
    <r>
      <rPr>
        <sz val="9"/>
        <color rgb="FF000000"/>
        <rFont val="宋体"/>
        <family val="3"/>
        <charset val="134"/>
      </rPr>
      <t>合计</t>
    </r>
    <phoneticPr fontId="234" type="noConversion"/>
  </si>
  <si>
    <t>规划建筑面积</t>
  </si>
  <si>
    <t>本次可抵押在建建筑物建筑面积</t>
  </si>
  <si>
    <t>项目名称</t>
  </si>
  <si>
    <t>规划建筑面积（不含人防）</t>
  </si>
  <si>
    <t>分摊土地面积（不含人防）</t>
  </si>
  <si>
    <t>（不含人防）</t>
  </si>
  <si>
    <t>出让国有建设用地使用权价值</t>
  </si>
  <si>
    <t>在建建筑物价值</t>
  </si>
  <si>
    <t>房地产价值</t>
  </si>
  <si>
    <t>楼面单价</t>
  </si>
  <si>
    <r>
      <t>总</t>
    </r>
    <r>
      <rPr>
        <sz val="9"/>
        <color theme="1"/>
        <rFont val="Arial"/>
        <family val="2"/>
      </rPr>
      <t xml:space="preserve"> </t>
    </r>
    <r>
      <rPr>
        <sz val="9"/>
        <color theme="1"/>
        <rFont val="华文细黑"/>
        <family val="3"/>
        <charset val="134"/>
      </rPr>
      <t>价</t>
    </r>
  </si>
  <si>
    <r>
      <t>北京市顺义区高丽营镇于庄</t>
    </r>
    <r>
      <rPr>
        <sz val="9"/>
        <color theme="1"/>
        <rFont val="Arial"/>
        <family val="2"/>
      </rPr>
      <t>03-31</t>
    </r>
    <r>
      <rPr>
        <sz val="9"/>
        <color theme="1"/>
        <rFont val="华文细黑"/>
        <family val="3"/>
        <charset val="134"/>
      </rPr>
      <t>号地块“观承文园”项目（部分）出让国有建设用地使用权及在建建筑物房地产</t>
    </r>
  </si>
  <si>
    <r>
      <t>北京市顺义区高丽营镇于庄</t>
    </r>
    <r>
      <rPr>
        <sz val="9"/>
        <color theme="1"/>
        <rFont val="Arial"/>
        <family val="2"/>
      </rPr>
      <t>03-21</t>
    </r>
    <r>
      <rPr>
        <sz val="9"/>
        <color theme="1"/>
        <rFont val="华文细黑"/>
        <family val="3"/>
        <charset val="134"/>
      </rPr>
      <t>号地块</t>
    </r>
    <r>
      <rPr>
        <sz val="9"/>
        <color theme="1"/>
        <rFont val="Arial"/>
        <family val="2"/>
      </rPr>
      <t>1</t>
    </r>
    <r>
      <rPr>
        <sz val="9"/>
        <color theme="1"/>
        <rFont val="华文细黑"/>
        <family val="3"/>
        <charset val="134"/>
      </rPr>
      <t>宗住宅、地下仓储、地下车库出让国有建设用地使用权</t>
    </r>
  </si>
  <si>
    <t>大写金额</t>
  </si>
  <si>
    <t>柒拾玖亿零玖佰玖拾贰万元整</t>
  </si>
  <si>
    <t>估价师知悉的法定优先受偿款</t>
  </si>
  <si>
    <t>零元整</t>
  </si>
  <si>
    <t>房地产抵押价值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</si>
</sst>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_);[Red]\(0.0000\)"/>
    <numFmt numFmtId="196" formatCode="0.000"/>
    <numFmt numFmtId="197" formatCode="0.0"/>
    <numFmt numFmtId="198" formatCode="[DBNum2][$-804]General"/>
  </numFmts>
  <fonts count="28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9"/>
      <color rgb="FF000000"/>
      <name val="Arial"/>
      <family val="2"/>
    </font>
    <font>
      <b/>
      <sz val="9"/>
      <color rgb="FF000000"/>
      <name val="华文细黑"/>
      <family val="3"/>
      <charset val="134"/>
    </font>
    <font>
      <b/>
      <sz val="9"/>
      <color theme="1"/>
      <name val="华文细黑"/>
      <family val="3"/>
      <charset val="134"/>
    </font>
    <font>
      <sz val="9"/>
      <color rgb="FF000000"/>
      <name val="华文细黑"/>
      <family val="3"/>
      <charset val="134"/>
    </font>
    <font>
      <sz val="9"/>
      <color rgb="FF000000"/>
      <name val="Arial"/>
      <family val="2"/>
    </font>
    <font>
      <sz val="9"/>
      <color theme="1"/>
      <name val="华文细黑"/>
      <family val="3"/>
      <charset val="134"/>
    </font>
    <font>
      <sz val="9"/>
      <color rgb="FF00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0070C0"/>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indexed="64"/>
      </left>
      <right style="medium">
        <color indexed="64"/>
      </right>
      <top/>
      <bottom style="medium">
        <color rgb="FF000000"/>
      </bottom>
      <diagonal/>
    </border>
    <border>
      <left style="medium">
        <color rgb="FF404040"/>
      </left>
      <right style="medium">
        <color rgb="FF404040"/>
      </right>
      <top style="medium">
        <color rgb="FF404040"/>
      </top>
      <bottom/>
      <diagonal/>
    </border>
    <border>
      <left style="medium">
        <color rgb="FF404040"/>
      </left>
      <right style="medium">
        <color rgb="FF404040"/>
      </right>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style="double">
        <color rgb="FF404040"/>
      </top>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5">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62" fillId="0" borderId="0"/>
  </cellStyleXfs>
  <cellXfs count="3645">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41" fillId="6" borderId="27" xfId="3" applyFont="1" applyFill="1" applyBorder="1" applyAlignment="1" applyProtection="1">
      <alignment horizontal="center" vertical="center" wrapText="1"/>
      <protection locked="0"/>
    </xf>
    <xf numFmtId="0" fontId="41" fillId="6" borderId="6" xfId="3" applyFont="1" applyFill="1" applyBorder="1" applyAlignment="1" applyProtection="1">
      <alignment horizontal="right" vertical="center" wrapText="1"/>
      <protection locked="0"/>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0" fontId="41" fillId="5" borderId="10" xfId="3" applyFont="1" applyFill="1" applyBorder="1" applyAlignment="1" applyProtection="1">
      <alignment horizontal="left" vertical="center"/>
    </xf>
    <xf numFmtId="0" fontId="41" fillId="5" borderId="3" xfId="3" applyFont="1" applyFill="1" applyBorder="1" applyAlignment="1" applyProtection="1">
      <alignment horizontal="center" vertical="center" wrapText="1"/>
    </xf>
    <xf numFmtId="0" fontId="41" fillId="5" borderId="10" xfId="3" applyFont="1" applyFill="1" applyBorder="1" applyAlignment="1" applyProtection="1">
      <alignment vertical="center" wrapText="1"/>
    </xf>
    <xf numFmtId="0" fontId="41" fillId="5" borderId="10" xfId="0"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8" fillId="0" borderId="12" xfId="0" applyNumberFormat="1" applyFont="1" applyFill="1" applyBorder="1" applyAlignment="1" applyProtection="1">
      <alignment horizontal="left" vertical="center" shrinkToFit="1"/>
      <protection locked="0"/>
    </xf>
    <xf numFmtId="184"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2"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4"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4" fontId="215" fillId="0" borderId="2" xfId="7" applyNumberFormat="1" applyFont="1" applyFill="1" applyBorder="1" applyAlignment="1">
      <alignment horizontal="right" vertical="center"/>
    </xf>
    <xf numFmtId="184"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4"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8"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3"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8"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1"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4"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59"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1" fontId="215" fillId="0" borderId="2" xfId="7" applyNumberFormat="1" applyFont="1" applyFill="1" applyBorder="1" applyAlignment="1">
      <alignment horizontal="right" vertical="center"/>
    </xf>
    <xf numFmtId="184" fontId="215" fillId="0" borderId="2" xfId="7" applyNumberFormat="1" applyFont="1" applyFill="1" applyBorder="1" applyAlignment="1">
      <alignment horizontal="center" vertical="center"/>
    </xf>
    <xf numFmtId="191"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6" fillId="5" borderId="2" xfId="14" applyFont="1" applyFill="1" applyBorder="1" applyAlignment="1">
      <alignment vertical="center"/>
    </xf>
    <xf numFmtId="0" fontId="262"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74"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42"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44"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242" fillId="12" borderId="123" xfId="10" applyFont="1" applyFill="1" applyBorder="1" applyAlignment="1" applyProtection="1">
      <alignment horizontal="center" vertical="center" wrapText="1"/>
    </xf>
    <xf numFmtId="0" fontId="242" fillId="12" borderId="123" xfId="10" applyFont="1" applyFill="1" applyBorder="1" applyAlignment="1" applyProtection="1">
      <alignment vertical="center" wrapText="1"/>
    </xf>
    <xf numFmtId="0" fontId="242" fillId="12" borderId="152" xfId="10" applyFont="1" applyFill="1" applyBorder="1" applyAlignment="1" applyProtection="1">
      <alignment vertical="center" wrapText="1"/>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6"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44" fillId="16" borderId="0" xfId="13" applyFont="1" applyFill="1" applyBorder="1" applyAlignment="1" applyProtection="1">
      <alignment horizontal="center" vertical="center"/>
      <protection locked="0"/>
    </xf>
    <xf numFmtId="0" fontId="230"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20" fillId="5" borderId="59" xfId="0" applyFont="1" applyFill="1" applyBorder="1" applyAlignment="1" applyProtection="1">
      <alignment horizontal="left" vertical="center" wrapText="1"/>
    </xf>
    <xf numFmtId="0" fontId="220"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20"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20"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85" fillId="5" borderId="3" xfId="0" applyFont="1" applyFill="1" applyBorder="1" applyAlignment="1" applyProtection="1">
      <alignment horizontal="center" vertical="center"/>
    </xf>
    <xf numFmtId="0" fontId="0" fillId="0" borderId="0" xfId="0" applyAlignment="1">
      <alignment horizontal="center" vertical="center"/>
    </xf>
    <xf numFmtId="0" fontId="165" fillId="0" borderId="0" xfId="0" applyFont="1" applyAlignment="1">
      <alignment horizontal="center" vertical="center" wrapText="1"/>
    </xf>
    <xf numFmtId="0" fontId="165" fillId="17" borderId="0" xfId="0" applyFont="1" applyFill="1" applyAlignment="1">
      <alignment horizontal="center" vertical="center" wrapText="1"/>
    </xf>
    <xf numFmtId="0" fontId="165" fillId="9" borderId="0" xfId="0" applyFont="1" applyFill="1" applyAlignment="1">
      <alignment horizontal="center" vertical="center" wrapText="1"/>
    </xf>
    <xf numFmtId="9" fontId="165" fillId="17" borderId="0" xfId="0" applyNumberFormat="1" applyFont="1" applyFill="1" applyAlignment="1">
      <alignment horizontal="center" vertical="center" wrapText="1"/>
    </xf>
    <xf numFmtId="9" fontId="165" fillId="9" borderId="0" xfId="0" applyNumberFormat="1" applyFont="1" applyFill="1" applyAlignment="1">
      <alignment horizontal="center" vertical="center" wrapText="1"/>
    </xf>
    <xf numFmtId="178" fontId="72" fillId="0" borderId="2" xfId="0" applyNumberFormat="1" applyFont="1" applyFill="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34" fillId="8" borderId="63" xfId="0" applyFont="1" applyFill="1" applyBorder="1" applyAlignment="1" applyProtection="1">
      <alignment horizontal="left" vertical="center" wrapText="1"/>
      <protection locked="0"/>
    </xf>
    <xf numFmtId="0" fontId="145" fillId="0" borderId="74" xfId="0" applyNumberFormat="1" applyFont="1" applyFill="1" applyBorder="1" applyAlignment="1" applyProtection="1">
      <alignment horizontal="center" vertical="center" wrapText="1"/>
      <protection locked="0"/>
    </xf>
    <xf numFmtId="0" fontId="146" fillId="0" borderId="0" xfId="0" applyFont="1">
      <alignment vertical="center"/>
    </xf>
    <xf numFmtId="2" fontId="0" fillId="0" borderId="0" xfId="0" applyNumberFormat="1">
      <alignment vertical="center"/>
    </xf>
    <xf numFmtId="0" fontId="146" fillId="0" borderId="0" xfId="0" applyFont="1" applyAlignment="1">
      <alignment horizontal="center" vertical="center"/>
    </xf>
    <xf numFmtId="0" fontId="146" fillId="0" borderId="2" xfId="0" applyFont="1" applyBorder="1" applyAlignment="1">
      <alignment horizontal="center" vertical="center"/>
    </xf>
    <xf numFmtId="0" fontId="0" fillId="0" borderId="2" xfId="0" applyBorder="1" applyAlignment="1">
      <alignment horizontal="center" vertical="center"/>
    </xf>
    <xf numFmtId="0" fontId="0" fillId="0" borderId="0" xfId="0" applyBorder="1" applyAlignment="1">
      <alignment horizontal="center" vertical="center"/>
    </xf>
    <xf numFmtId="0" fontId="146" fillId="0" borderId="2" xfId="0" applyFont="1" applyFill="1" applyBorder="1" applyAlignment="1">
      <alignment horizontal="center" vertical="center"/>
    </xf>
    <xf numFmtId="178" fontId="82" fillId="0" borderId="2" xfId="2" applyNumberFormat="1" applyFont="1" applyFill="1" applyBorder="1" applyAlignment="1" applyProtection="1">
      <alignment vertical="center"/>
      <protection locked="0"/>
    </xf>
    <xf numFmtId="49" fontId="145" fillId="0" borderId="7" xfId="0" applyNumberFormat="1" applyFont="1" applyFill="1" applyBorder="1" applyAlignment="1" applyProtection="1">
      <alignment horizontal="center" vertical="center" wrapText="1"/>
      <protection locked="0"/>
    </xf>
    <xf numFmtId="49" fontId="145" fillId="0" borderId="12" xfId="0" applyNumberFormat="1" applyFont="1" applyFill="1" applyBorder="1" applyAlignment="1" applyProtection="1">
      <alignment horizontal="center" vertical="center" wrapText="1"/>
      <protection locked="0"/>
    </xf>
    <xf numFmtId="49" fontId="85" fillId="0" borderId="12" xfId="0" applyNumberFormat="1" applyFont="1" applyFill="1" applyBorder="1" applyAlignment="1" applyProtection="1">
      <alignment horizontal="center" vertical="center" wrapText="1"/>
      <protection locked="0"/>
    </xf>
    <xf numFmtId="0" fontId="145" fillId="0" borderId="12" xfId="0" applyFont="1" applyBorder="1" applyAlignment="1" applyProtection="1">
      <alignment horizontal="center" vertical="center" wrapText="1"/>
      <protection locked="0"/>
    </xf>
    <xf numFmtId="0" fontId="145" fillId="0" borderId="46" xfId="0" applyFont="1" applyBorder="1" applyAlignment="1" applyProtection="1">
      <alignment horizontal="center" vertical="center"/>
      <protection locked="0"/>
    </xf>
    <xf numFmtId="0" fontId="82" fillId="0" borderId="12" xfId="0" applyNumberFormat="1" applyFont="1" applyFill="1" applyBorder="1" applyAlignment="1" applyProtection="1">
      <alignment horizontal="center" vertical="center" wrapText="1"/>
      <protection locked="0"/>
    </xf>
    <xf numFmtId="49" fontId="82" fillId="0" borderId="20" xfId="0" applyNumberFormat="1" applyFont="1" applyFill="1" applyBorder="1" applyAlignment="1" applyProtection="1">
      <alignment horizontal="center" vertical="center" wrapText="1"/>
      <protection locked="0"/>
    </xf>
    <xf numFmtId="49" fontId="82" fillId="0" borderId="50" xfId="0" applyNumberFormat="1" applyFont="1" applyFill="1" applyBorder="1" applyAlignment="1" applyProtection="1">
      <alignment horizontal="center" vertical="center" wrapText="1"/>
      <protection locked="0"/>
    </xf>
    <xf numFmtId="0" fontId="145" fillId="0" borderId="8"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center" vertical="center" wrapText="1"/>
      <protection locked="0"/>
    </xf>
    <xf numFmtId="0" fontId="145" fillId="0" borderId="11" xfId="0" applyNumberFormat="1" applyFont="1" applyFill="1" applyBorder="1" applyAlignment="1" applyProtection="1">
      <alignment horizontal="center" vertical="center" wrapText="1"/>
      <protection locked="0"/>
    </xf>
    <xf numFmtId="0" fontId="0" fillId="0" borderId="0" xfId="0" applyFont="1" applyFill="1" applyBorder="1" applyAlignment="1">
      <alignment horizontal="center" vertical="center"/>
    </xf>
    <xf numFmtId="58" fontId="12" fillId="0" borderId="2" xfId="0" applyNumberFormat="1" applyFont="1" applyBorder="1" applyAlignment="1" applyProtection="1">
      <alignment vertical="center" wrapText="1"/>
      <protection locked="0"/>
    </xf>
    <xf numFmtId="185" fontId="77" fillId="9" borderId="2" xfId="0" applyNumberFormat="1" applyFont="1" applyFill="1" applyBorder="1" applyAlignment="1" applyProtection="1">
      <alignment horizontal="center" vertical="center"/>
      <protection locked="0"/>
    </xf>
    <xf numFmtId="195" fontId="77" fillId="3" borderId="0" xfId="0" applyNumberFormat="1" applyFont="1" applyFill="1" applyAlignment="1" applyProtection="1">
      <alignment horizontal="center"/>
      <protection locked="0"/>
    </xf>
    <xf numFmtId="196" fontId="77" fillId="8" borderId="0" xfId="0" applyNumberFormat="1" applyFont="1" applyFill="1" applyAlignment="1" applyProtection="1">
      <protection locked="0"/>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49" fontId="141" fillId="0" borderId="17" xfId="0" applyNumberFormat="1" applyFont="1" applyFill="1" applyBorder="1" applyAlignment="1" applyProtection="1">
      <alignment horizontal="left" vertical="center"/>
      <protection locked="0"/>
    </xf>
    <xf numFmtId="197" fontId="77" fillId="5" borderId="10" xfId="0" applyNumberFormat="1" applyFont="1" applyFill="1" applyBorder="1" applyAlignment="1" applyProtection="1">
      <alignment horizontal="center" vertical="center"/>
    </xf>
    <xf numFmtId="0" fontId="165" fillId="0" borderId="2" xfId="0" applyFont="1" applyBorder="1" applyAlignment="1">
      <alignment horizontal="center" vertical="center" wrapText="1"/>
    </xf>
    <xf numFmtId="0" fontId="165" fillId="17" borderId="2" xfId="0" applyFont="1" applyFill="1" applyBorder="1" applyAlignment="1">
      <alignment horizontal="center" vertical="center" wrapText="1"/>
    </xf>
    <xf numFmtId="0" fontId="165" fillId="9" borderId="2" xfId="0" applyFont="1" applyFill="1" applyBorder="1" applyAlignment="1">
      <alignment horizontal="center" vertical="center" wrapText="1"/>
    </xf>
    <xf numFmtId="0" fontId="53" fillId="0" borderId="20" xfId="0" applyNumberFormat="1" applyFont="1" applyFill="1" applyBorder="1" applyAlignment="1" applyProtection="1">
      <alignment horizontal="center" vertical="center" wrapText="1"/>
      <protection locked="0"/>
    </xf>
    <xf numFmtId="0" fontId="72" fillId="0" borderId="52" xfId="0" applyFont="1" applyFill="1" applyBorder="1" applyAlignment="1" applyProtection="1">
      <alignment horizontal="center" vertical="center" wrapText="1"/>
    </xf>
    <xf numFmtId="0" fontId="84" fillId="3" borderId="30" xfId="0" applyFont="1" applyFill="1" applyBorder="1" applyAlignment="1" applyProtection="1">
      <alignment horizontal="center" vertical="center" wrapText="1"/>
      <protection locked="0"/>
    </xf>
    <xf numFmtId="0" fontId="84" fillId="5" borderId="30" xfId="0" applyFont="1" applyFill="1" applyBorder="1" applyAlignment="1" applyProtection="1">
      <alignment horizontal="center" vertical="center" wrapText="1"/>
    </xf>
    <xf numFmtId="0" fontId="84" fillId="3" borderId="59" xfId="0" applyFont="1" applyFill="1" applyBorder="1" applyAlignment="1" applyProtection="1">
      <alignment horizontal="center" vertical="center" wrapText="1"/>
      <protection locked="0"/>
    </xf>
    <xf numFmtId="0" fontId="84" fillId="5" borderId="57" xfId="0" applyFont="1" applyFill="1" applyBorder="1" applyAlignment="1" applyProtection="1">
      <alignment horizontal="center" vertical="center" wrapText="1"/>
    </xf>
    <xf numFmtId="185" fontId="84" fillId="5" borderId="56" xfId="0" applyNumberFormat="1" applyFont="1" applyFill="1" applyBorder="1" applyAlignment="1" applyProtection="1">
      <alignment horizontal="center" vertical="center" wrapText="1"/>
    </xf>
    <xf numFmtId="0" fontId="84" fillId="5" borderId="56" xfId="0" applyFont="1" applyFill="1" applyBorder="1" applyAlignment="1" applyProtection="1">
      <alignment horizontal="center" vertical="center" wrapText="1"/>
    </xf>
    <xf numFmtId="185" fontId="84" fillId="5" borderId="60" xfId="0" applyNumberFormat="1" applyFont="1" applyFill="1" applyBorder="1" applyAlignment="1" applyProtection="1">
      <alignment horizontal="center" vertical="center" wrapText="1"/>
    </xf>
    <xf numFmtId="0" fontId="84" fillId="5" borderId="48" xfId="0" applyFont="1" applyFill="1" applyBorder="1" applyAlignment="1" applyProtection="1">
      <alignment horizontal="center" vertical="center" wrapText="1"/>
    </xf>
    <xf numFmtId="0" fontId="170" fillId="0" borderId="2" xfId="0" applyFont="1" applyBorder="1" applyAlignment="1">
      <alignment horizontal="center" vertical="center" wrapText="1"/>
    </xf>
    <xf numFmtId="0" fontId="170" fillId="0" borderId="0" xfId="0" applyFont="1" applyAlignment="1">
      <alignment horizontal="center" vertical="center" wrapText="1"/>
    </xf>
    <xf numFmtId="0" fontId="146" fillId="9" borderId="0" xfId="0" applyFont="1" applyFill="1">
      <alignment vertical="center"/>
    </xf>
    <xf numFmtId="0" fontId="0" fillId="0" borderId="13" xfId="0" applyFill="1" applyBorder="1" applyAlignment="1">
      <alignment horizontal="center" vertical="center"/>
    </xf>
    <xf numFmtId="14" fontId="165" fillId="17" borderId="2" xfId="0" applyNumberFormat="1" applyFont="1" applyFill="1" applyBorder="1" applyAlignment="1">
      <alignment horizontal="center" vertical="center" wrapText="1"/>
    </xf>
    <xf numFmtId="0" fontId="280" fillId="0" borderId="66" xfId="0" applyFont="1" applyBorder="1">
      <alignment vertical="center"/>
    </xf>
    <xf numFmtId="0" fontId="279" fillId="0" borderId="66" xfId="0" applyFont="1" applyBorder="1">
      <alignment vertical="center"/>
    </xf>
    <xf numFmtId="0" fontId="281" fillId="0" borderId="66" xfId="0" applyFont="1" applyBorder="1">
      <alignment vertical="center"/>
    </xf>
    <xf numFmtId="0" fontId="282" fillId="0" borderId="66" xfId="0" applyFont="1" applyBorder="1">
      <alignment vertical="center"/>
    </xf>
    <xf numFmtId="0" fontId="278" fillId="0" borderId="66" xfId="0" applyFont="1" applyBorder="1">
      <alignment vertical="center"/>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82" fillId="6" borderId="2" xfId="0" applyFont="1" applyFill="1" applyBorder="1" applyAlignment="1" applyProtection="1">
      <alignment vertical="center"/>
      <protection locked="0"/>
    </xf>
    <xf numFmtId="0" fontId="146" fillId="0" borderId="2" xfId="0" applyFont="1" applyBorder="1" applyAlignment="1">
      <alignment horizontal="center" vertical="center"/>
    </xf>
    <xf numFmtId="0" fontId="0" fillId="0" borderId="2" xfId="0" applyBorder="1" applyAlignment="1">
      <alignment horizontal="center" vertical="center"/>
    </xf>
    <xf numFmtId="0" fontId="0" fillId="18" borderId="0" xfId="0" applyFill="1">
      <alignment vertical="center"/>
    </xf>
    <xf numFmtId="180" fontId="146" fillId="18" borderId="0" xfId="0" applyNumberFormat="1" applyFont="1" applyFill="1">
      <alignment vertical="center"/>
    </xf>
    <xf numFmtId="0" fontId="146" fillId="0" borderId="0" xfId="0" applyFont="1" applyFill="1" applyBorder="1" applyAlignment="1">
      <alignment horizontal="center" vertical="center"/>
    </xf>
    <xf numFmtId="0" fontId="0" fillId="9" borderId="0" xfId="0" applyFill="1">
      <alignment vertical="center"/>
    </xf>
    <xf numFmtId="0" fontId="0" fillId="17" borderId="2" xfId="0" applyFill="1" applyBorder="1" applyAlignment="1">
      <alignment horizontal="center" vertical="center"/>
    </xf>
    <xf numFmtId="0" fontId="146" fillId="0" borderId="3" xfId="0" applyFont="1" applyFill="1" applyBorder="1" applyAlignment="1">
      <alignment horizontal="center" vertical="center"/>
    </xf>
    <xf numFmtId="0" fontId="282" fillId="0" borderId="38" xfId="0" applyFont="1" applyBorder="1" applyAlignment="1">
      <alignment horizontal="left" vertical="center"/>
    </xf>
    <xf numFmtId="0" fontId="282" fillId="0" borderId="38" xfId="0" applyFont="1" applyBorder="1" applyAlignment="1">
      <alignment horizontal="left" vertical="center" wrapText="1"/>
    </xf>
    <xf numFmtId="0" fontId="281" fillId="0" borderId="38" xfId="0" applyFont="1" applyBorder="1" applyAlignment="1">
      <alignment horizontal="left" vertical="center"/>
    </xf>
    <xf numFmtId="0" fontId="283" fillId="0" borderId="38" xfId="0" applyFont="1" applyBorder="1" applyAlignment="1">
      <alignment horizontal="left" vertical="center"/>
    </xf>
    <xf numFmtId="0" fontId="282" fillId="0" borderId="80" xfId="0" applyFont="1" applyBorder="1" applyAlignment="1">
      <alignment horizontal="left" vertical="center"/>
    </xf>
    <xf numFmtId="0" fontId="281" fillId="0" borderId="66" xfId="0" applyFont="1" applyBorder="1" applyAlignment="1">
      <alignment horizontal="left" vertical="center"/>
    </xf>
    <xf numFmtId="0" fontId="174" fillId="0" borderId="66" xfId="0" applyFont="1" applyBorder="1" applyAlignment="1">
      <alignment horizontal="left" vertical="center"/>
    </xf>
    <xf numFmtId="0" fontId="282" fillId="0" borderId="66" xfId="0" applyFont="1" applyBorder="1" applyAlignment="1">
      <alignment horizontal="left" vertical="center"/>
    </xf>
    <xf numFmtId="0" fontId="282" fillId="0" borderId="66" xfId="0" applyFont="1" applyBorder="1" applyAlignment="1">
      <alignment horizontal="left" vertical="center" wrapText="1"/>
    </xf>
    <xf numFmtId="0" fontId="174" fillId="0" borderId="66" xfId="0" applyFont="1" applyBorder="1" applyAlignment="1">
      <alignment horizontal="left" vertical="center" wrapText="1"/>
    </xf>
    <xf numFmtId="0" fontId="282" fillId="0" borderId="0" xfId="0" applyFont="1" applyFill="1" applyBorder="1" applyAlignment="1">
      <alignment horizontal="left" vertical="center"/>
    </xf>
    <xf numFmtId="0" fontId="146" fillId="0" borderId="28" xfId="0" applyFont="1" applyBorder="1" applyAlignment="1">
      <alignment vertical="center"/>
    </xf>
    <xf numFmtId="0" fontId="0" fillId="0" borderId="28" xfId="0" applyBorder="1" applyAlignment="1">
      <alignment vertical="center"/>
    </xf>
    <xf numFmtId="179" fontId="72" fillId="0" borderId="67" xfId="0" applyNumberFormat="1" applyFont="1" applyFill="1" applyBorder="1" applyAlignment="1" applyProtection="1">
      <alignment horizontal="center" vertical="center" wrapText="1"/>
      <protection locked="0"/>
    </xf>
    <xf numFmtId="0" fontId="280" fillId="0" borderId="158" xfId="0" applyFont="1" applyBorder="1">
      <alignment vertical="center"/>
    </xf>
    <xf numFmtId="0" fontId="279" fillId="0" borderId="158" xfId="0" applyFont="1" applyBorder="1">
      <alignment vertical="center"/>
    </xf>
    <xf numFmtId="0" fontId="281" fillId="0" borderId="158" xfId="0" applyFont="1" applyBorder="1">
      <alignment vertical="center"/>
    </xf>
    <xf numFmtId="0" fontId="282" fillId="0" borderId="158" xfId="0" applyFont="1" applyBorder="1">
      <alignment vertical="center"/>
    </xf>
    <xf numFmtId="0" fontId="278" fillId="0" borderId="158" xfId="0" applyFont="1" applyBorder="1">
      <alignment vertical="center"/>
    </xf>
    <xf numFmtId="0" fontId="282" fillId="0" borderId="158" xfId="0" applyFont="1" applyBorder="1" applyAlignment="1">
      <alignment vertical="center" wrapText="1"/>
    </xf>
    <xf numFmtId="0" fontId="283" fillId="0" borderId="164" xfId="0" applyFont="1" applyBorder="1" applyAlignment="1">
      <alignment vertical="center" wrapText="1"/>
    </xf>
    <xf numFmtId="0" fontId="283" fillId="0" borderId="165" xfId="0" applyFont="1" applyBorder="1" applyAlignment="1">
      <alignment vertical="center" wrapText="1"/>
    </xf>
    <xf numFmtId="0" fontId="283" fillId="0" borderId="162" xfId="0" applyFont="1" applyBorder="1" applyAlignment="1">
      <alignment vertical="center" wrapText="1"/>
    </xf>
    <xf numFmtId="0" fontId="174" fillId="0" borderId="165" xfId="0" applyFont="1" applyBorder="1" applyAlignment="1">
      <alignment vertical="center" wrapText="1"/>
    </xf>
    <xf numFmtId="0" fontId="282" fillId="0" borderId="165" xfId="0" applyFont="1" applyBorder="1" applyAlignment="1">
      <alignment vertical="center" wrapText="1"/>
    </xf>
    <xf numFmtId="0" fontId="186" fillId="0" borderId="0" xfId="7" applyFont="1" applyAlignment="1" applyProtection="1">
      <alignment horizontal="left" vertical="top"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6" fillId="0" borderId="0" xfId="0" applyFont="1" applyAlignment="1">
      <alignment vertical="center" wrapText="1"/>
    </xf>
    <xf numFmtId="49" fontId="188" fillId="0" borderId="0" xfId="0" applyNumberFormat="1" applyFont="1" applyAlignment="1" applyProtection="1">
      <alignment vertical="center" wrapText="1"/>
      <protection locked="0"/>
    </xf>
    <xf numFmtId="0" fontId="196" fillId="0" borderId="0" xfId="0" applyFont="1" applyAlignment="1" applyProtection="1">
      <alignment vertical="center" wrapText="1"/>
    </xf>
    <xf numFmtId="0" fontId="188" fillId="0" borderId="0" xfId="0" applyFont="1" applyAlignment="1" applyProtection="1">
      <alignment vertical="center" wrapText="1"/>
      <protection locked="0"/>
    </xf>
    <xf numFmtId="0" fontId="196"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41" fillId="8" borderId="5" xfId="0" applyFont="1" applyFill="1" applyBorder="1" applyAlignment="1" applyProtection="1">
      <alignment vertical="center" wrapText="1"/>
      <protection locked="0"/>
    </xf>
    <xf numFmtId="0" fontId="141" fillId="8" borderId="8" xfId="0" applyFont="1" applyFill="1" applyBorder="1" applyAlignment="1" applyProtection="1">
      <alignment vertical="center" wrapText="1"/>
      <protection locked="0"/>
    </xf>
    <xf numFmtId="0" fontId="141"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81" fillId="0" borderId="36" xfId="0" applyFont="1" applyBorder="1" applyAlignment="1">
      <alignment horizontal="left" vertical="center"/>
    </xf>
    <xf numFmtId="0" fontId="281" fillId="0" borderId="38" xfId="0" applyFont="1" applyBorder="1" applyAlignment="1">
      <alignment horizontal="left" vertical="center"/>
    </xf>
    <xf numFmtId="0" fontId="146" fillId="0" borderId="2" xfId="0" applyFont="1" applyBorder="1" applyAlignment="1">
      <alignment horizontal="center" vertical="center"/>
    </xf>
    <xf numFmtId="0" fontId="0" fillId="0" borderId="2" xfId="0" applyBorder="1" applyAlignment="1">
      <alignment horizontal="center" vertical="center"/>
    </xf>
    <xf numFmtId="0" fontId="146" fillId="0" borderId="0" xfId="0" applyFont="1" applyAlignment="1">
      <alignment horizontal="center" vertical="center"/>
    </xf>
    <xf numFmtId="0" fontId="0" fillId="0" borderId="0" xfId="0" applyAlignment="1">
      <alignment horizontal="center" vertical="center"/>
    </xf>
    <xf numFmtId="0" fontId="278" fillId="0" borderId="154" xfId="0" applyFont="1" applyBorder="1">
      <alignment vertical="center"/>
    </xf>
    <xf numFmtId="0" fontId="278" fillId="0" borderId="155" xfId="0" applyFont="1" applyBorder="1">
      <alignment vertical="center"/>
    </xf>
    <xf numFmtId="0" fontId="278" fillId="0" borderId="156" xfId="0" applyFont="1" applyBorder="1">
      <alignment vertical="center"/>
    </xf>
    <xf numFmtId="0" fontId="279" fillId="0" borderId="154" xfId="0" applyFont="1" applyBorder="1">
      <alignment vertical="center"/>
    </xf>
    <xf numFmtId="0" fontId="279" fillId="0" borderId="156" xfId="0" applyFont="1" applyBorder="1">
      <alignment vertical="center"/>
    </xf>
    <xf numFmtId="0" fontId="280" fillId="0" borderId="160" xfId="0" applyFont="1" applyBorder="1">
      <alignment vertical="center"/>
    </xf>
    <xf numFmtId="0" fontId="280" fillId="0" borderId="159" xfId="0" applyFont="1" applyBorder="1">
      <alignment vertical="center"/>
    </xf>
    <xf numFmtId="0" fontId="280" fillId="0" borderId="157" xfId="0" applyFont="1" applyBorder="1">
      <alignment vertical="center"/>
    </xf>
    <xf numFmtId="0" fontId="280" fillId="0" borderId="154" xfId="0" applyFont="1" applyBorder="1" applyAlignment="1">
      <alignment horizontal="center" vertical="center" wrapText="1"/>
    </xf>
    <xf numFmtId="0" fontId="280" fillId="0" borderId="156" xfId="0" applyFont="1" applyBorder="1" applyAlignment="1">
      <alignment horizontal="center" vertical="center" wrapText="1"/>
    </xf>
    <xf numFmtId="0" fontId="281" fillId="0" borderId="154" xfId="0" applyFont="1" applyBorder="1">
      <alignment vertical="center"/>
    </xf>
    <xf numFmtId="0" fontId="281" fillId="0" borderId="155" xfId="0" applyFont="1" applyBorder="1">
      <alignment vertical="center"/>
    </xf>
    <xf numFmtId="0" fontId="281" fillId="0" borderId="156" xfId="0" applyFont="1" applyBorder="1">
      <alignment vertical="center"/>
    </xf>
    <xf numFmtId="0" fontId="282" fillId="0" borderId="154" xfId="0" applyFont="1" applyBorder="1" applyAlignment="1">
      <alignment vertical="center" wrapText="1"/>
    </xf>
    <xf numFmtId="0" fontId="282" fillId="0" borderId="155" xfId="0" applyFont="1" applyBorder="1" applyAlignment="1">
      <alignment vertical="center" wrapText="1"/>
    </xf>
    <xf numFmtId="0" fontId="282" fillId="0" borderId="156" xfId="0" applyFont="1" applyBorder="1" applyAlignment="1">
      <alignment vertical="center" wrapText="1"/>
    </xf>
    <xf numFmtId="0" fontId="282" fillId="0" borderId="160" xfId="0" applyFont="1" applyBorder="1">
      <alignment vertical="center"/>
    </xf>
    <xf numFmtId="0" fontId="282" fillId="0" borderId="157" xfId="0" applyFont="1" applyBorder="1">
      <alignment vertical="center"/>
    </xf>
    <xf numFmtId="0" fontId="278" fillId="0" borderId="160" xfId="0" applyFont="1" applyBorder="1">
      <alignment vertical="center"/>
    </xf>
    <xf numFmtId="0" fontId="278" fillId="0" borderId="157" xfId="0" applyFont="1" applyBorder="1">
      <alignment vertical="center"/>
    </xf>
    <xf numFmtId="0" fontId="279" fillId="0" borderId="160" xfId="0" applyFont="1" applyBorder="1">
      <alignment vertical="center"/>
    </xf>
    <xf numFmtId="0" fontId="279" fillId="0" borderId="159" xfId="0" applyFont="1" applyBorder="1">
      <alignment vertical="center"/>
    </xf>
    <xf numFmtId="0" fontId="279" fillId="0" borderId="157" xfId="0" applyFont="1" applyBorder="1">
      <alignment vertical="center"/>
    </xf>
    <xf numFmtId="0" fontId="283" fillId="0" borderId="161" xfId="0" applyFont="1" applyBorder="1" applyAlignment="1">
      <alignment vertical="center" wrapText="1"/>
    </xf>
    <xf numFmtId="0" fontId="283" fillId="0" borderId="162" xfId="0" applyFont="1" applyBorder="1" applyAlignment="1">
      <alignment vertical="center" wrapText="1"/>
    </xf>
    <xf numFmtId="0" fontId="283" fillId="0" borderId="166" xfId="0" applyFont="1" applyBorder="1" applyAlignment="1">
      <alignment vertical="center" wrapText="1"/>
    </xf>
    <xf numFmtId="0" fontId="283" fillId="0" borderId="163" xfId="0" applyFont="1" applyBorder="1" applyAlignment="1">
      <alignment vertical="center" wrapText="1"/>
    </xf>
    <xf numFmtId="0" fontId="174" fillId="0" borderId="167" xfId="0" applyFont="1" applyBorder="1" applyAlignment="1">
      <alignment vertical="center" wrapText="1"/>
    </xf>
    <xf numFmtId="0" fontId="174" fillId="0" borderId="168" xfId="0" applyFont="1" applyBorder="1" applyAlignment="1">
      <alignment vertical="center" wrapText="1"/>
    </xf>
    <xf numFmtId="0" fontId="283" fillId="0" borderId="167" xfId="0" applyFont="1" applyBorder="1" applyAlignment="1">
      <alignment vertical="center" wrapText="1"/>
    </xf>
    <xf numFmtId="0" fontId="283" fillId="0" borderId="169" xfId="0" applyFont="1" applyBorder="1" applyAlignment="1">
      <alignment vertical="center" wrapText="1"/>
    </xf>
    <xf numFmtId="0" fontId="283" fillId="0" borderId="168" xfId="0" applyFont="1" applyBorder="1" applyAlignment="1">
      <alignment vertical="center" wrapText="1"/>
    </xf>
    <xf numFmtId="198" fontId="283" fillId="0" borderId="167" xfId="0" applyNumberFormat="1" applyFont="1" applyBorder="1" applyAlignment="1">
      <alignment vertical="center" wrapText="1"/>
    </xf>
    <xf numFmtId="198" fontId="283" fillId="0" borderId="168" xfId="0" applyNumberFormat="1" applyFont="1" applyBorder="1" applyAlignment="1">
      <alignment vertical="center" wrapText="1"/>
    </xf>
    <xf numFmtId="0" fontId="280" fillId="0" borderId="167" xfId="0" applyFont="1" applyBorder="1" applyAlignment="1">
      <alignment vertical="center" wrapText="1"/>
    </xf>
    <xf numFmtId="0" fontId="280" fillId="0" borderId="169" xfId="0" applyFont="1" applyBorder="1" applyAlignment="1">
      <alignment vertical="center" wrapText="1"/>
    </xf>
    <xf numFmtId="0" fontId="280" fillId="0" borderId="168" xfId="0" applyFont="1" applyBorder="1" applyAlignment="1">
      <alignment vertical="center" wrapText="1"/>
    </xf>
    <xf numFmtId="0" fontId="174" fillId="0" borderId="169" xfId="0" applyFont="1" applyBorder="1" applyAlignment="1">
      <alignment vertical="center" wrapText="1"/>
    </xf>
    <xf numFmtId="0" fontId="283" fillId="0" borderId="170" xfId="0" applyFont="1" applyBorder="1" applyAlignment="1">
      <alignment vertical="center" wrapText="1"/>
    </xf>
    <xf numFmtId="0" fontId="283" fillId="0" borderId="171" xfId="0" applyFont="1" applyBorder="1" applyAlignment="1">
      <alignment vertical="center" wrapText="1"/>
    </xf>
    <xf numFmtId="0" fontId="283" fillId="0" borderId="172" xfId="0" applyFont="1" applyBorder="1" applyAlignment="1">
      <alignment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0" borderId="22" xfId="0" applyFont="1" applyFill="1" applyBorder="1" applyAlignment="1" applyProtection="1">
      <alignment horizontal="center" vertical="center" wrapText="1"/>
      <protection locked="0"/>
    </xf>
    <xf numFmtId="0" fontId="85" fillId="0" borderId="25" xfId="0" applyFont="1" applyFill="1" applyBorder="1" applyAlignment="1" applyProtection="1">
      <alignment horizontal="center" vertical="center" wrapText="1"/>
      <protection locked="0"/>
    </xf>
    <xf numFmtId="0" fontId="85" fillId="0" borderId="11" xfId="0" applyFont="1" applyFill="1" applyBorder="1" applyAlignment="1" applyProtection="1">
      <alignment horizontal="center" vertical="center" wrapText="1"/>
      <protection locked="0"/>
    </xf>
    <xf numFmtId="0" fontId="85" fillId="0" borderId="12" xfId="0" applyFont="1" applyFill="1" applyBorder="1" applyAlignment="1" applyProtection="1">
      <alignment horizontal="center" vertical="center" wrapText="1"/>
      <protection locked="0"/>
    </xf>
    <xf numFmtId="0" fontId="85" fillId="0" borderId="43" xfId="0" applyFont="1" applyFill="1" applyBorder="1" applyAlignment="1" applyProtection="1">
      <alignment horizontal="center" vertical="center" wrapText="1"/>
      <protection locked="0"/>
    </xf>
    <xf numFmtId="0" fontId="85"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166" fillId="5" borderId="0" xfId="0" applyFont="1" applyFill="1" applyBorder="1" applyAlignment="1" applyProtection="1">
      <alignment horizontal="center" vertical="center" wrapText="1"/>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65" fillId="9" borderId="0" xfId="0" applyFont="1" applyFill="1" applyAlignment="1">
      <alignment horizontal="center" vertical="center" wrapText="1"/>
    </xf>
    <xf numFmtId="0" fontId="278" fillId="0" borderId="35" xfId="0" applyFont="1" applyBorder="1">
      <alignment vertical="center"/>
    </xf>
    <xf numFmtId="0" fontId="278" fillId="0" borderId="79" xfId="0" applyFont="1" applyBorder="1">
      <alignment vertical="center"/>
    </xf>
    <xf numFmtId="0" fontId="278" fillId="0" borderId="80" xfId="0" applyFont="1" applyBorder="1">
      <alignment vertical="center"/>
    </xf>
    <xf numFmtId="0" fontId="279" fillId="0" borderId="35" xfId="0" applyFont="1" applyBorder="1">
      <alignment vertical="center"/>
    </xf>
    <xf numFmtId="0" fontId="279" fillId="0" borderId="80" xfId="0" applyFont="1" applyBorder="1">
      <alignment vertical="center"/>
    </xf>
    <xf numFmtId="0" fontId="280" fillId="0" borderId="36" xfId="0" applyFont="1" applyBorder="1">
      <alignment vertical="center"/>
    </xf>
    <xf numFmtId="0" fontId="280" fillId="0" borderId="37" xfId="0" applyFont="1" applyBorder="1">
      <alignment vertical="center"/>
    </xf>
    <xf numFmtId="0" fontId="280" fillId="0" borderId="38" xfId="0" applyFont="1" applyBorder="1">
      <alignment vertical="center"/>
    </xf>
    <xf numFmtId="0" fontId="281" fillId="0" borderId="35" xfId="0" applyFont="1" applyBorder="1">
      <alignment vertical="center"/>
    </xf>
    <xf numFmtId="0" fontId="281" fillId="0" borderId="79" xfId="0" applyFont="1" applyBorder="1">
      <alignment vertical="center"/>
    </xf>
    <xf numFmtId="0" fontId="281" fillId="0" borderId="153" xfId="0" applyFont="1" applyBorder="1">
      <alignment vertical="center"/>
    </xf>
    <xf numFmtId="0" fontId="282" fillId="0" borderId="54" xfId="0" applyFont="1" applyBorder="1">
      <alignment vertical="center"/>
    </xf>
    <xf numFmtId="0" fontId="282" fillId="0" borderId="66" xfId="0" applyFont="1" applyBorder="1">
      <alignment vertical="center"/>
    </xf>
    <xf numFmtId="0" fontId="278" fillId="0" borderId="36" xfId="0" applyFont="1" applyBorder="1">
      <alignment vertical="center"/>
    </xf>
    <xf numFmtId="0" fontId="278" fillId="0" borderId="38" xfId="0" applyFont="1" applyBorder="1">
      <alignment vertical="center"/>
    </xf>
    <xf numFmtId="0" fontId="279" fillId="0" borderId="36" xfId="0" applyFont="1" applyBorder="1">
      <alignment vertical="center"/>
    </xf>
    <xf numFmtId="0" fontId="279" fillId="0" borderId="37" xfId="0" applyFont="1" applyBorder="1">
      <alignment vertical="center"/>
    </xf>
    <xf numFmtId="0" fontId="279" fillId="0" borderId="38" xfId="0" applyFont="1" applyBorder="1">
      <alignment vertical="center"/>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3">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6700;&#38754;/12.23&#25910;&#36164;&#26009;/031&#21495;&#22320;&#22359;&#22312;&#243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9579;&#36229;&#23731;\2018&#24180;\&#24050;&#24402;&#26723;\2018-1-0667&#19975;&#31185;&#35266;&#25215;&#21035;&#22661;\p04\&#32467;&#26524;\&#19975;&#31185;0331&#21495;&#22320;p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规证面积"/>
      <sheetName val="抵押物清单（分楼）"/>
      <sheetName val="房号明细"/>
      <sheetName val="已售清单"/>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sheetName val="收益法 (元)"/>
      <sheetName val="收益法 (商业)"/>
      <sheetName val="收益法 (仓储)"/>
      <sheetName val="收益法 (地下车库)"/>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6">
          <cell r="L6">
            <v>3500</v>
          </cell>
          <cell r="Q6">
            <v>0.1</v>
          </cell>
        </row>
        <row r="7">
          <cell r="Q7">
            <v>0.1</v>
          </cell>
        </row>
        <row r="8">
          <cell r="Q8">
            <v>0.05</v>
          </cell>
          <cell r="U8">
            <v>3</v>
          </cell>
          <cell r="V8">
            <v>0.03</v>
          </cell>
          <cell r="W8">
            <v>0.1</v>
          </cell>
          <cell r="AK8">
            <v>1.4999999999999999E-2</v>
          </cell>
          <cell r="AL8">
            <v>1.5E-3</v>
          </cell>
          <cell r="AM8">
            <v>1.4999999999999999E-2</v>
          </cell>
        </row>
        <row r="9">
          <cell r="Q9">
            <v>0.15</v>
          </cell>
        </row>
        <row r="10">
          <cell r="Q10">
            <v>0.05</v>
          </cell>
          <cell r="W10">
            <v>0.1</v>
          </cell>
          <cell r="AK10">
            <v>1.4999999999999999E-2</v>
          </cell>
          <cell r="AL10">
            <v>1.5E-3</v>
          </cell>
        </row>
        <row r="11">
          <cell r="W11">
            <v>0.1</v>
          </cell>
          <cell r="AK11">
            <v>1.4999999999999999E-2</v>
          </cell>
          <cell r="AL11">
            <v>1.5E-3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row r="6">
          <cell r="I6">
            <v>30254</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商业）"/>
      <sheetName val="不动产收益法（仓储）"/>
      <sheetName val="不动产收益法（车库）"/>
      <sheetName val="土地案例"/>
      <sheetName val="面积规证"/>
      <sheetName val="其他"/>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7">
          <cell r="B37">
            <v>0.02</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8.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4" customWidth="1"/>
    <col min="2" max="2" width="78.25" style="2885" customWidth="1"/>
    <col min="3" max="18" width="9" style="2879"/>
    <col min="19" max="19" width="17.875" style="2879" customWidth="1"/>
    <col min="20" max="51" width="9" style="2879"/>
    <col min="52" max="52" width="13.25" style="2879" customWidth="1"/>
    <col min="53" max="53" width="13.5" style="2879" bestFit="1" customWidth="1"/>
    <col min="54" max="54" width="11.625" style="2879" bestFit="1" customWidth="1"/>
    <col min="55" max="55" width="13.5" style="2879" bestFit="1" customWidth="1"/>
    <col min="56" max="16384" width="9" style="2879"/>
  </cols>
  <sheetData>
    <row r="1" spans="1:55" s="2890" customFormat="1" ht="16.5" thickBot="1">
      <c r="A1" s="2888" t="s">
        <v>2653</v>
      </c>
      <c r="B1" s="2889" t="s">
        <v>2750</v>
      </c>
    </row>
    <row r="2" spans="1:55" s="2893" customFormat="1" ht="15" thickTop="1">
      <c r="A2" s="2891" t="s">
        <v>2657</v>
      </c>
      <c r="B2" s="2892" t="str">
        <f>'预评函-封皮'!B37</f>
        <v>北京市顺义区高丽营镇于庄03-21地块出让国有建设用地使用权抵押价格预评估</v>
      </c>
      <c r="AX2" s="2894"/>
      <c r="AZ2" s="2894"/>
      <c r="BA2" s="2895"/>
      <c r="BC2" s="2895"/>
    </row>
    <row r="3" spans="1:55" s="2896" customFormat="1">
      <c r="A3" s="2875" t="s">
        <v>2658</v>
      </c>
      <c r="B3" s="2878" t="str">
        <f>'预评函-封皮'!B40</f>
        <v xml:space="preserve">北京万龙华房地产开发有限公司 </v>
      </c>
    </row>
    <row r="4" spans="1:55" s="2877" customFormat="1">
      <c r="A4" s="2875" t="s">
        <v>2659</v>
      </c>
      <c r="B4" s="2876" t="str">
        <f>'预评函-封皮'!B46</f>
        <v>吴薇、郑燚</v>
      </c>
      <c r="N4" s="2877" t="str">
        <f>'预评函-1'!A28</f>
        <v/>
      </c>
    </row>
    <row r="5" spans="1:55" s="2890" customFormat="1" ht="15" thickBot="1">
      <c r="A5" s="2897" t="s">
        <v>2660</v>
      </c>
      <c r="B5" s="2898" t="str">
        <f>'预评函-封皮'!B49</f>
        <v>康正预评字2018-1-0667号</v>
      </c>
    </row>
    <row r="6" spans="1:55" s="2899" customFormat="1" ht="15" thickTop="1">
      <c r="A6" s="2891" t="s">
        <v>2702</v>
      </c>
      <c r="B6" s="2892" t="str">
        <f>'预评函-1'!A4</f>
        <v>受贵公司委托，我公司对北京市顺义区高丽营镇于庄03-21地块出让国有建设用地使用权抵押价格进行了预评估。</v>
      </c>
      <c r="AM6" s="2900"/>
    </row>
    <row r="7" spans="1:55" s="2874" customFormat="1">
      <c r="A7" s="2875" t="s">
        <v>2654</v>
      </c>
      <c r="B7" s="2876" t="str">
        <f>'预评函-1'!A6</f>
        <v>估价对象为使用的、位于北京市顺义区高丽营镇于庄03-21地块出让国有建设用地使用权。根据，估价对象（分摊）出让国有建设用地使用权面积为64089.62平方米。根据，估价对象规划建筑面积为169816平方米。</v>
      </c>
    </row>
    <row r="8" spans="1:55" s="2874" customFormat="1">
      <c r="A8" s="2875" t="s">
        <v>2655</v>
      </c>
      <c r="B8" s="2876" t="str">
        <f>'预评函-1'!A7</f>
        <v xml:space="preserve">简述项目推广名，项目类型（用途），估价对象分布，各用途面积明细情况：XX用途建筑面积XX平方米，XX用途建筑面积XX平方米，……。复杂面积清单需设‘附表’列示：抵押物清单详见附表。        </v>
      </c>
    </row>
    <row r="9" spans="1:55" s="2874" customFormat="1">
      <c r="A9" s="2875" t="s">
        <v>2705</v>
      </c>
      <c r="B9" s="2876" t="str">
        <f>'预评函-1'!A9</f>
        <v>委托估价方在向金融机构（建行城建、中行北京分行丰台支行、农行北分崇文门）办理贷款手续过程中，特委托北京康正宏基房地产评估有限公司对估价对象进行评估。本次评估为确定标的物之抵押贷款额度提供参考依据而评估出让国有建设用地使用权抵押价格。</v>
      </c>
    </row>
    <row r="10" spans="1:55" s="2874" customFormat="1">
      <c r="A10" s="2875" t="s">
        <v>2656</v>
      </c>
      <c r="B10" s="2876" t="str">
        <f>'预评函-1'!A11</f>
        <v>2018年12月10日（评估专业人员勘察现场之日）</v>
      </c>
    </row>
    <row r="11" spans="1:55" s="2874" customFormat="1">
      <c r="A11" s="2875" t="s">
        <v>2662</v>
      </c>
      <c r="B11" s="2876" t="str">
        <f>'预评函-1'!A14</f>
        <v>根据，本次评估估价对象证载（地类）用途为住宅、商业、地下仓储、地下车库。</v>
      </c>
    </row>
    <row r="12" spans="1:55" s="2874" customFormat="1">
      <c r="A12" s="2875" t="s">
        <v>2663</v>
      </c>
      <c r="B12" s="2876" t="str">
        <f>'预评函-1'!A15</f>
        <v>本次评估设定用途即为证载用途住宅、商业、地下仓储、地下车库。</v>
      </c>
    </row>
    <row r="13" spans="1:55" s="2874" customFormat="1">
      <c r="A13" s="2875" t="s">
        <v>2664</v>
      </c>
      <c r="B13" s="2876" t="str">
        <f>'预评函-1'!A17</f>
        <v>根据委托估价方介绍及评估专业人员现场勘查，本次评估估价对象实际土地开发程度为红线外市政基础设施达“三通”（即通路、通电、通上水）、宗地红线内已开工建设。。</v>
      </c>
    </row>
    <row r="14" spans="1:55" s="2874" customFormat="1">
      <c r="A14" s="2875" t="s">
        <v>2665</v>
      </c>
      <c r="B14" s="2876" t="str">
        <f>'预评函-1'!A18</f>
        <v>由于估价对象已完成通平、具备施工条件，因此本次评估设定土地开发程度为红线外市政基础设施达“三通”、宗地红线内场地平整。本次评估估价结果不包含上述在建工程或已建建筑物价格。</v>
      </c>
    </row>
    <row r="15" spans="1:55" s="2874" customFormat="1">
      <c r="A15" s="2875" t="s">
        <v>2661</v>
      </c>
      <c r="B15" s="2876" t="str">
        <f>'预评函-1'!A20</f>
        <v>根据，估价对象（分摊）出让国有建设用地使用权面积为64089.62平方米。根据，估价对象规划建筑面积为169816平方米。</v>
      </c>
    </row>
    <row r="16" spans="1:55" s="2874" customFormat="1">
      <c r="A16" s="2875" t="s">
        <v>2666</v>
      </c>
      <c r="B16" s="2876" t="str">
        <f>'预评函-1'!A22</f>
        <v>本次估价对象为出让国有建设用地使用权，证载土地终止日期为住宅2087年7月27日、商业2057年7月27日地下车库2067年7月27日、仓储2067年7月27日。截至估价期日，出让国有建设用地使用权剩余土地使用年限为住宅68.8年、商业38.8年、地下车库48.8年、仓储48.8。</v>
      </c>
    </row>
    <row r="17" spans="1:48" s="2874" customFormat="1">
      <c r="A17" s="2875" t="s">
        <v>2667</v>
      </c>
      <c r="B17" s="2876" t="str">
        <f>'预评函-1'!A23</f>
        <v>本次评估设定估价对象剩余土地使用年限为住宅68.8年、商业38.8年、地下车库48.8年、仓储48.8。</v>
      </c>
    </row>
    <row r="18" spans="1:48" s="2874" customFormat="1">
      <c r="A18" s="2875" t="s">
        <v>2668</v>
      </c>
      <c r="B18" s="2876" t="str">
        <f>'预评函-1'!A25</f>
        <v>本次估价的“出让国有建设用地使用权价格”是指在估价对象土地所有权为国家所有，使用权性质为出让，在公开市场条件下、于估价期日2018年12月10日，在规划利用条件下、设定土地开发程度为红线外“三通”、宗地内场地平整，设定用途为住宅、商业、地下仓储、地下车库，剩余土地使用年限为住宅68.8年、商业38.8年、地下车库48.8年、仓储48.8的出让国有建设用地使用权价格。</v>
      </c>
    </row>
    <row r="19" spans="1:48" s="2874" customFormat="1">
      <c r="A19" s="2875" t="s">
        <v>2669</v>
      </c>
      <c r="B19" s="2876" t="str">
        <f>'预评函-1'!A26</f>
        <v>本次估价的“抵押价格”是指估价对象在估价期日的“出让国有建设用地使用权价格”扣减估价师于估价期日所知悉的法定优先受偿款后的余额。</v>
      </c>
    </row>
    <row r="20" spans="1:48" s="2874" customFormat="1">
      <c r="A20" s="2875" t="s">
        <v>2670</v>
      </c>
      <c r="B20" s="287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0" customFormat="1" ht="15" thickBot="1">
      <c r="A21" s="2897" t="s">
        <v>2671</v>
      </c>
      <c r="B21" s="2898" t="str">
        <f>'预评函-1'!A28</f>
        <v/>
      </c>
    </row>
    <row r="22" spans="1:48" ht="15" thickTop="1">
      <c r="A22" s="2886" t="s">
        <v>2672</v>
      </c>
      <c r="B22" s="2887"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75" t="s">
        <v>2673</v>
      </c>
      <c r="B23" s="2876" t="str">
        <f>'预评函-2'!K2</f>
        <v>估价期日：2018年12月10日</v>
      </c>
    </row>
    <row r="24" spans="1:48">
      <c r="A24" s="2875" t="s">
        <v>2674</v>
      </c>
      <c r="B24" s="2876" t="str">
        <f>'预评函-2'!R2</f>
        <v>估价期日的国有建设用地使用权性质：出让</v>
      </c>
    </row>
    <row r="25" spans="1:48">
      <c r="A25" s="2875" t="s">
        <v>2730</v>
      </c>
      <c r="B25" s="2876" t="str">
        <f>'预评函-2'!A3</f>
        <v>估价期日土地使用者</v>
      </c>
    </row>
    <row r="26" spans="1:48">
      <c r="A26" s="2875" t="s">
        <v>2706</v>
      </c>
      <c r="B26" s="2876" t="str">
        <f>'预评函-2'!A5</f>
        <v>中信开发</v>
      </c>
    </row>
    <row r="27" spans="1:48">
      <c r="A27" s="2875" t="s">
        <v>2731</v>
      </c>
      <c r="B27" s="2876" t="str">
        <f>'预评函-2'!B3</f>
        <v>宗地编号/不动产单元号</v>
      </c>
    </row>
    <row r="28" spans="1:48">
      <c r="A28" s="2875" t="s">
        <v>2707</v>
      </c>
      <c r="B28" s="2876" t="str">
        <f>'预评函-2'!B5</f>
        <v>11111111111</v>
      </c>
    </row>
    <row r="29" spans="1:48">
      <c r="A29" s="2875" t="s">
        <v>2733</v>
      </c>
      <c r="B29" s="2876">
        <f>'预评函-2'!C5</f>
        <v>22</v>
      </c>
    </row>
    <row r="30" spans="1:48">
      <c r="A30" s="2875" t="s">
        <v>2734</v>
      </c>
      <c r="B30" s="2876" t="str">
        <f>'预评函-2'!D3</f>
        <v>土地使用证编号/不动产权证书编号</v>
      </c>
    </row>
    <row r="31" spans="1:48">
      <c r="A31" s="2875" t="s">
        <v>2708</v>
      </c>
      <c r="B31" s="2876" t="str">
        <f>'预评函-2'!D5</f>
        <v>京国土字第111号</v>
      </c>
    </row>
    <row r="32" spans="1:48">
      <c r="A32" s="2875" t="s">
        <v>2709</v>
      </c>
      <c r="B32" s="2876" t="str">
        <f>'预评函-2'!E5</f>
        <v>住宅、商业、地下仓储、地下车库</v>
      </c>
      <c r="AV32" s="2880"/>
    </row>
    <row r="33" spans="1:2">
      <c r="A33" s="2875" t="s">
        <v>2710</v>
      </c>
      <c r="B33" s="2876">
        <f>'预评函-2'!F5</f>
        <v>258</v>
      </c>
    </row>
    <row r="34" spans="1:2">
      <c r="A34" s="2875" t="s">
        <v>2711</v>
      </c>
      <c r="B34" s="2876" t="str">
        <f>'预评函-2'!G5</f>
        <v>住宅、商业、地下仓储、地下车库</v>
      </c>
    </row>
    <row r="35" spans="1:2">
      <c r="A35" s="2875" t="s">
        <v>2712</v>
      </c>
      <c r="B35" s="2876">
        <f>'预评函-2'!H5</f>
        <v>1.5</v>
      </c>
    </row>
    <row r="36" spans="1:2">
      <c r="A36" s="2875" t="s">
        <v>2713</v>
      </c>
      <c r="B36" s="2876">
        <f>'预评函-2'!I5</f>
        <v>1.5</v>
      </c>
    </row>
    <row r="37" spans="1:2">
      <c r="A37" s="2875" t="s">
        <v>2714</v>
      </c>
      <c r="B37" s="2876">
        <f>'预评函-2'!J5</f>
        <v>1.5</v>
      </c>
    </row>
    <row r="38" spans="1:2">
      <c r="A38" s="2875" t="s">
        <v>2715</v>
      </c>
      <c r="B38" s="2876" t="str">
        <f>'预评函-2'!K5</f>
        <v>红线外三通、宗地红线内宗地内已开工建设</v>
      </c>
    </row>
    <row r="39" spans="1:2">
      <c r="A39" s="2875" t="s">
        <v>2716</v>
      </c>
      <c r="B39" s="2876" t="str">
        <f>'预评函-2'!L5</f>
        <v>红线外三通、宗地红线内场地平整</v>
      </c>
    </row>
    <row r="40" spans="1:2">
      <c r="A40" s="2875" t="s">
        <v>2735</v>
      </c>
      <c r="B40" s="2876" t="str">
        <f>'预评函-2'!M3</f>
        <v>（剩余）土地使用年限/年</v>
      </c>
    </row>
    <row r="41" spans="1:2">
      <c r="A41" s="2875" t="s">
        <v>2717</v>
      </c>
      <c r="B41" s="2876" t="str">
        <f>'预评函-2'!M5</f>
        <v>住宅68.8年、商业38.8年、地下车库48.8年、仓储48.8</v>
      </c>
    </row>
    <row r="42" spans="1:2">
      <c r="A42" s="2875" t="s">
        <v>2736</v>
      </c>
      <c r="B42" s="2876" t="str">
        <f>'预评函-2'!N3</f>
        <v>（分摊）出让国有建设用地使用权面积/㎡</v>
      </c>
    </row>
    <row r="43" spans="1:2">
      <c r="A43" s="2875" t="s">
        <v>2718</v>
      </c>
      <c r="B43" s="2876">
        <f>'预评函-2'!N5</f>
        <v>64089.62</v>
      </c>
    </row>
    <row r="44" spans="1:2">
      <c r="A44" s="2875" t="s">
        <v>2737</v>
      </c>
      <c r="B44" s="2876" t="str">
        <f>'预评函-2'!O3</f>
        <v>规划建筑面积/㎡</v>
      </c>
    </row>
    <row r="45" spans="1:2">
      <c r="A45" s="2875" t="s">
        <v>2719</v>
      </c>
      <c r="B45" s="2876">
        <f>'预评函-2'!O5</f>
        <v>169816</v>
      </c>
    </row>
    <row r="46" spans="1:2">
      <c r="A46" s="2875" t="s">
        <v>2720</v>
      </c>
      <c r="B46" s="2876">
        <f ca="1">'预评函-2'!P5</f>
        <v>48634</v>
      </c>
    </row>
    <row r="47" spans="1:2">
      <c r="A47" s="2875" t="s">
        <v>2721</v>
      </c>
      <c r="B47" s="2876">
        <f ca="1">'预评函-2'!Q5</f>
        <v>18355</v>
      </c>
    </row>
    <row r="48" spans="1:2">
      <c r="A48" s="2875" t="s">
        <v>2722</v>
      </c>
      <c r="B48" s="2876">
        <f ca="1">'预评函-2'!R5</f>
        <v>311695</v>
      </c>
    </row>
    <row r="49" spans="1:2">
      <c r="A49" s="2875" t="s">
        <v>2738</v>
      </c>
      <c r="B49" s="2876" t="str">
        <f>'预评函-2'!A6</f>
        <v>抵押价格</v>
      </c>
    </row>
    <row r="50" spans="1:2">
      <c r="A50" s="2875" t="s">
        <v>2723</v>
      </c>
      <c r="B50" s="2876">
        <f ca="1">'预评函-2'!R6</f>
        <v>311695</v>
      </c>
    </row>
    <row r="51" spans="1:2">
      <c r="A51" s="2875" t="s">
        <v>2739</v>
      </c>
      <c r="B51" s="2876" t="str">
        <f>'预评函-2'!A7</f>
        <v>——</v>
      </c>
    </row>
    <row r="52" spans="1:2">
      <c r="A52" s="2875" t="s">
        <v>2724</v>
      </c>
      <c r="B52" s="2876" t="str">
        <f>'预评函-2'!R7</f>
        <v>——</v>
      </c>
    </row>
    <row r="53" spans="1:2">
      <c r="A53" s="2875" t="s">
        <v>2740</v>
      </c>
      <c r="B53" s="2876" t="str">
        <f>'预评函-2'!A8</f>
        <v>——</v>
      </c>
    </row>
    <row r="54" spans="1:2" s="2890" customFormat="1" ht="15" thickBot="1">
      <c r="A54" s="2897" t="s">
        <v>2725</v>
      </c>
      <c r="B54" s="2898" t="str">
        <f>'预评函-2'!R8</f>
        <v>——</v>
      </c>
    </row>
    <row r="55" spans="1:2" ht="15" thickTop="1">
      <c r="A55" s="2886" t="s">
        <v>2675</v>
      </c>
      <c r="B55" s="2887" t="str">
        <f>'预评函-3'!A2</f>
        <v>1.权利限制：根据估价对象、，截至估价期日，估价对象抵押权未见登记。未设定租赁等其他他项权利。</v>
      </c>
    </row>
    <row r="56" spans="1:2">
      <c r="A56" s="2875" t="s">
        <v>2676</v>
      </c>
      <c r="B56" s="2876" t="str">
        <f>'预评函-3'!A3</f>
        <v>2.基础设施条件：估价对象实际开发程度为红线外三通、宗地红线内宗地内已开工建设；本次评估设定开发程度为红线外三通、宗地红线内场地平整。</v>
      </c>
    </row>
    <row r="57" spans="1:2">
      <c r="A57" s="2875" t="s">
        <v>2677</v>
      </c>
      <c r="B57" s="2876" t="str">
        <f>'预评函-3'!A4</f>
        <v>3.估价规划限制条件：详见。</v>
      </c>
    </row>
    <row r="58" spans="1:2" s="2890" customFormat="1" ht="15" thickBot="1">
      <c r="A58" s="2897" t="s">
        <v>2726</v>
      </c>
      <c r="B58" s="2898" t="str">
        <f>'预评函-3'!A5</f>
        <v>4.影响价格的其他限定条件：无。</v>
      </c>
    </row>
    <row r="59" spans="1:2" ht="15" thickTop="1">
      <c r="A59" s="2886" t="s">
        <v>2678</v>
      </c>
      <c r="B59" s="2887" t="str">
        <f>'预评函-3'!A8</f>
        <v>2.本《评估意见函》仅供金融机构进行内部审核使用，不做其他目的之用。</v>
      </c>
    </row>
    <row r="60" spans="1:2">
      <c r="A60" s="2875" t="s">
        <v>2679</v>
      </c>
      <c r="B60" s="2876" t="str">
        <f>'预评函-3'!A9</f>
        <v>3.抵押双方在办理抵押登记手续时，应使用本公司出具的正式《土地估价报告》，特提请报告使用者注意。</v>
      </c>
    </row>
    <row r="61" spans="1:2">
      <c r="A61" s="2875" t="s">
        <v>2681</v>
      </c>
      <c r="B61" s="2876" t="str">
        <f>'预评函-3'!A10</f>
        <v>4.估价师所知悉的法定优先受偿款情况为：</v>
      </c>
    </row>
    <row r="62" spans="1:2">
      <c r="A62" s="2875" t="s">
        <v>2680</v>
      </c>
      <c r="B62" s="2876" t="str">
        <f>'预评函-3'!A11</f>
        <v>（1）根据估价对象、，截至估价期日，估价对象抵押权未见登记。</v>
      </c>
    </row>
    <row r="63" spans="1:2">
      <c r="A63" s="2875" t="s">
        <v>2682</v>
      </c>
      <c r="B63" s="287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5" t="s">
        <v>2683</v>
      </c>
      <c r="B64" s="2881" t="str">
        <f>'预评函-3'!A13</f>
        <v>（3）。</v>
      </c>
    </row>
    <row r="65" spans="1:2">
      <c r="A65" s="2875" t="s">
        <v>2684</v>
      </c>
      <c r="B65" s="2882" t="str">
        <f>'预评函-3'!A14</f>
        <v>综上，本次评估不存在估价师知悉的法定优先受偿款</v>
      </c>
    </row>
    <row r="66" spans="1:2">
      <c r="A66" s="2875" t="s">
        <v>2685</v>
      </c>
      <c r="B66" s="288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5" t="s">
        <v>2686</v>
      </c>
      <c r="B67" s="288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0" customFormat="1" ht="15" thickBot="1">
      <c r="A68" s="2897" t="s">
        <v>2689</v>
      </c>
      <c r="B68" s="2901">
        <f>'预评函-3'!D30</f>
        <v>42558</v>
      </c>
    </row>
    <row r="69" spans="1:2" ht="15" thickTop="1">
      <c r="A69" s="2886" t="s">
        <v>2687</v>
      </c>
      <c r="B69" s="2887" t="str">
        <f>'预评函-3'!A20</f>
        <v>吴薇</v>
      </c>
    </row>
    <row r="70" spans="1:2">
      <c r="A70" s="2875" t="s">
        <v>2687</v>
      </c>
      <c r="B70" s="2882">
        <f ca="1">'预评函-3'!B20</f>
        <v>2002110125</v>
      </c>
    </row>
    <row r="71" spans="1:2">
      <c r="A71" s="2875" t="s">
        <v>2688</v>
      </c>
      <c r="B71" s="2876" t="str">
        <f>'预评函-3'!A21</f>
        <v>郑燚</v>
      </c>
    </row>
    <row r="72" spans="1:2" s="2890" customFormat="1" ht="15" thickBot="1">
      <c r="A72" s="2897" t="s">
        <v>2688</v>
      </c>
      <c r="B72" s="2903">
        <f>'预评函-3'!B21</f>
        <v>2014110011</v>
      </c>
    </row>
    <row r="73" spans="1:2" ht="15" thickTop="1">
      <c r="A73" s="2886" t="s">
        <v>2747</v>
      </c>
      <c r="B73" s="290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5" t="s">
        <v>2748</v>
      </c>
      <c r="B74" s="2883" t="str">
        <f>'预评函-1 (储备)'!A18</f>
        <v>由于本次评估估价目的是评估储备国有建设用地使用权的“抵押价格”，因此本次评估设定土地开发程度为红线外市政基础设施达“三通”、宗地红线内场地平整。</v>
      </c>
    </row>
    <row r="75" spans="1:2" s="2890" customFormat="1" ht="15" thickBot="1">
      <c r="A75" s="2897" t="s">
        <v>2749</v>
      </c>
      <c r="B75" s="290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4" t="s">
        <v>2784</v>
      </c>
      <c r="B76" s="288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E4" sqref="E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customWidth="1"/>
    <col min="20" max="21" width="10.75" style="15" customWidth="1"/>
    <col min="22" max="22" width="10.875" style="15" customWidth="1"/>
    <col min="23" max="23" width="10.75" style="15" customWidth="1"/>
    <col min="24" max="27" width="10.75" style="15" hidden="1" customWidth="1"/>
    <col min="28" max="28" width="10.875" style="15" hidden="1" customWidth="1"/>
    <col min="29" max="29" width="11" style="15" bestFit="1" customWidth="1"/>
    <col min="30" max="30" width="10" style="15" bestFit="1" customWidth="1"/>
    <col min="31" max="31" width="9.75" style="15" customWidth="1"/>
    <col min="32" max="32" width="9.5" style="15" customWidth="1"/>
    <col min="33" max="37" width="9.5" style="15" hidden="1" customWidth="1"/>
    <col min="38"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7" t="s">
        <v>2331</v>
      </c>
      <c r="BA2" s="2358" t="s">
        <v>2330</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面积规证!C111</f>
        <v>64089.62</v>
      </c>
      <c r="B3" s="22">
        <f>IF(C3="否",G5-AT5,G5)</f>
        <v>169816</v>
      </c>
      <c r="C3" s="23" t="s">
        <v>3251</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59"/>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174020</v>
      </c>
      <c r="H5" s="27">
        <f t="shared" ref="H5:AT5" si="0">SUM(H13:H641)</f>
        <v>156062</v>
      </c>
      <c r="I5" s="27">
        <f t="shared" si="0"/>
        <v>37366.439999999988</v>
      </c>
      <c r="J5" s="27">
        <f t="shared" si="0"/>
        <v>0</v>
      </c>
      <c r="K5" s="27">
        <f t="shared" si="0"/>
        <v>3473.1799999999967</v>
      </c>
      <c r="L5" s="27">
        <f t="shared" si="0"/>
        <v>0</v>
      </c>
      <c r="M5" s="27">
        <f t="shared" si="0"/>
        <v>23770.38</v>
      </c>
      <c r="N5" s="27">
        <f t="shared" si="0"/>
        <v>0</v>
      </c>
      <c r="O5" s="27">
        <f t="shared" si="0"/>
        <v>0</v>
      </c>
      <c r="P5" s="27">
        <f t="shared" si="0"/>
        <v>0</v>
      </c>
      <c r="Q5" s="27">
        <f t="shared" si="0"/>
        <v>0</v>
      </c>
      <c r="R5" s="27">
        <f t="shared" si="0"/>
        <v>0</v>
      </c>
      <c r="S5" s="27">
        <f t="shared" si="0"/>
        <v>26123.5</v>
      </c>
      <c r="T5" s="27">
        <f t="shared" si="0"/>
        <v>0</v>
      </c>
      <c r="U5" s="27">
        <f t="shared" si="0"/>
        <v>59454.19</v>
      </c>
      <c r="V5" s="27">
        <f t="shared" si="0"/>
        <v>0</v>
      </c>
      <c r="W5" s="27">
        <f t="shared" si="0"/>
        <v>5874.31</v>
      </c>
      <c r="X5" s="27">
        <f t="shared" si="0"/>
        <v>0</v>
      </c>
      <c r="Y5" s="27">
        <f t="shared" si="0"/>
        <v>0</v>
      </c>
      <c r="Z5" s="27">
        <f t="shared" si="0"/>
        <v>0</v>
      </c>
      <c r="AA5" s="27">
        <f t="shared" si="0"/>
        <v>0</v>
      </c>
      <c r="AB5" s="27">
        <f t="shared" si="0"/>
        <v>0</v>
      </c>
      <c r="AC5" s="27">
        <f t="shared" si="0"/>
        <v>13754</v>
      </c>
      <c r="AD5" s="27">
        <f t="shared" si="0"/>
        <v>0</v>
      </c>
      <c r="AE5" s="27">
        <f t="shared" si="0"/>
        <v>0</v>
      </c>
      <c r="AF5" s="27">
        <f t="shared" si="0"/>
        <v>990</v>
      </c>
      <c r="AG5" s="27">
        <f t="shared" si="0"/>
        <v>0</v>
      </c>
      <c r="AH5" s="27">
        <f t="shared" si="0"/>
        <v>0</v>
      </c>
      <c r="AI5" s="27">
        <f t="shared" si="0"/>
        <v>0</v>
      </c>
      <c r="AJ5" s="27">
        <f t="shared" si="0"/>
        <v>0</v>
      </c>
      <c r="AK5" s="27">
        <f t="shared" si="0"/>
        <v>0</v>
      </c>
      <c r="AL5" s="27">
        <f t="shared" si="0"/>
        <v>84</v>
      </c>
      <c r="AM5" s="27">
        <f t="shared" si="0"/>
        <v>0</v>
      </c>
      <c r="AN5" s="27">
        <f t="shared" si="0"/>
        <v>12680</v>
      </c>
      <c r="AO5" s="27">
        <f t="shared" si="0"/>
        <v>0</v>
      </c>
      <c r="AP5" s="27">
        <f t="shared" si="0"/>
        <v>0</v>
      </c>
      <c r="AQ5" s="27">
        <f t="shared" si="0"/>
        <v>0</v>
      </c>
      <c r="AR5" s="27">
        <f t="shared" si="0"/>
        <v>0</v>
      </c>
      <c r="AS5" s="27">
        <f t="shared" si="0"/>
        <v>0</v>
      </c>
      <c r="AT5" s="27">
        <f t="shared" si="0"/>
        <v>4204</v>
      </c>
      <c r="AU5" s="987"/>
      <c r="AV5" s="26" t="s">
        <v>168</v>
      </c>
      <c r="AW5" s="988"/>
      <c r="AX5" s="988"/>
      <c r="AY5" s="28" t="s">
        <v>3</v>
      </c>
      <c r="AZ5" s="29">
        <f t="shared" ref="AZ5:BT5" si="1">SUM(AZ13:AZ641)</f>
        <v>169816</v>
      </c>
      <c r="BA5" s="29">
        <f t="shared" si="1"/>
        <v>156062</v>
      </c>
      <c r="BB5" s="29">
        <f t="shared" si="1"/>
        <v>37366.439999999988</v>
      </c>
      <c r="BC5" s="29">
        <f t="shared" si="1"/>
        <v>3473.1799999999967</v>
      </c>
      <c r="BD5" s="29">
        <f t="shared" si="1"/>
        <v>23770.38</v>
      </c>
      <c r="BE5" s="29">
        <f t="shared" si="1"/>
        <v>0</v>
      </c>
      <c r="BF5" s="29">
        <f t="shared" si="1"/>
        <v>0</v>
      </c>
      <c r="BG5" s="29">
        <f t="shared" si="1"/>
        <v>26123.5</v>
      </c>
      <c r="BH5" s="29">
        <f t="shared" si="1"/>
        <v>59454.19</v>
      </c>
      <c r="BI5" s="29">
        <f t="shared" si="1"/>
        <v>5874.31</v>
      </c>
      <c r="BJ5" s="29">
        <f t="shared" si="1"/>
        <v>0</v>
      </c>
      <c r="BK5" s="29">
        <f t="shared" si="1"/>
        <v>0</v>
      </c>
      <c r="BL5" s="29">
        <f t="shared" si="1"/>
        <v>13754</v>
      </c>
      <c r="BM5" s="29">
        <f t="shared" si="1"/>
        <v>0</v>
      </c>
      <c r="BN5" s="29">
        <f t="shared" si="1"/>
        <v>990</v>
      </c>
      <c r="BO5" s="29">
        <f t="shared" si="1"/>
        <v>0</v>
      </c>
      <c r="BP5" s="29">
        <f t="shared" si="1"/>
        <v>0</v>
      </c>
      <c r="BQ5" s="29">
        <f t="shared" si="1"/>
        <v>84</v>
      </c>
      <c r="BR5" s="29">
        <f t="shared" si="1"/>
        <v>12680</v>
      </c>
      <c r="BS5" s="29">
        <f t="shared" si="1"/>
        <v>0</v>
      </c>
      <c r="BT5" s="30">
        <f t="shared" si="1"/>
        <v>0</v>
      </c>
    </row>
    <row r="6" spans="1:72" s="37" customFormat="1" ht="12.75">
      <c r="A6" s="26" t="s">
        <v>169</v>
      </c>
      <c r="B6" s="31"/>
      <c r="C6" s="31"/>
      <c r="D6" s="32"/>
      <c r="E6" s="27">
        <f>H6+AC6+AT6</f>
        <v>64089.61</v>
      </c>
      <c r="F6" s="27" t="s">
        <v>1</v>
      </c>
      <c r="G6" s="27" t="s">
        <v>2</v>
      </c>
      <c r="H6" s="33">
        <f>SUMIF(I$12:AB$12,"总值",I6:AB6)</f>
        <v>58898.770000000004</v>
      </c>
      <c r="I6" s="27">
        <f t="shared" ref="I6:AB6" si="2">ROUND($A$3*I5/$B$3,2)</f>
        <v>14102.33</v>
      </c>
      <c r="J6" s="27">
        <f t="shared" si="2"/>
        <v>0</v>
      </c>
      <c r="K6" s="27">
        <f t="shared" si="2"/>
        <v>1310.8</v>
      </c>
      <c r="L6" s="27">
        <f t="shared" si="2"/>
        <v>0</v>
      </c>
      <c r="M6" s="27">
        <f t="shared" si="2"/>
        <v>8971.09</v>
      </c>
      <c r="N6" s="27">
        <f t="shared" si="2"/>
        <v>0</v>
      </c>
      <c r="O6" s="27">
        <f t="shared" si="2"/>
        <v>0</v>
      </c>
      <c r="P6" s="27">
        <f t="shared" si="2"/>
        <v>0</v>
      </c>
      <c r="Q6" s="27">
        <f t="shared" si="2"/>
        <v>0</v>
      </c>
      <c r="R6" s="27">
        <f t="shared" si="2"/>
        <v>0</v>
      </c>
      <c r="S6" s="27">
        <f t="shared" si="2"/>
        <v>9859.17</v>
      </c>
      <c r="T6" s="27">
        <f t="shared" si="2"/>
        <v>0</v>
      </c>
      <c r="U6" s="27">
        <f t="shared" si="2"/>
        <v>22438.38</v>
      </c>
      <c r="V6" s="27">
        <f t="shared" si="2"/>
        <v>0</v>
      </c>
      <c r="W6" s="27">
        <f t="shared" si="2"/>
        <v>2217</v>
      </c>
      <c r="X6" s="27">
        <f t="shared" si="2"/>
        <v>0</v>
      </c>
      <c r="Y6" s="27">
        <f t="shared" si="2"/>
        <v>0</v>
      </c>
      <c r="Z6" s="27">
        <f t="shared" si="2"/>
        <v>0</v>
      </c>
      <c r="AA6" s="27">
        <f t="shared" si="2"/>
        <v>0</v>
      </c>
      <c r="AB6" s="27">
        <f t="shared" si="2"/>
        <v>0</v>
      </c>
      <c r="AC6" s="33">
        <f>SUMIF(AD$12:AS$12,"总值",AD6:AS6)</f>
        <v>5190.84</v>
      </c>
      <c r="AD6" s="27">
        <f t="shared" ref="AD6:AS6" si="3">ROUND($A$3*AD5/$B$3,2)</f>
        <v>0</v>
      </c>
      <c r="AE6" s="27">
        <f t="shared" si="3"/>
        <v>0</v>
      </c>
      <c r="AF6" s="27">
        <f t="shared" si="3"/>
        <v>373.63</v>
      </c>
      <c r="AG6" s="27">
        <f t="shared" si="3"/>
        <v>0</v>
      </c>
      <c r="AH6" s="27">
        <f t="shared" si="3"/>
        <v>0</v>
      </c>
      <c r="AI6" s="27">
        <f t="shared" si="3"/>
        <v>0</v>
      </c>
      <c r="AJ6" s="27">
        <f t="shared" si="3"/>
        <v>0</v>
      </c>
      <c r="AK6" s="27">
        <f t="shared" si="3"/>
        <v>0</v>
      </c>
      <c r="AL6" s="27">
        <f t="shared" si="3"/>
        <v>31.7</v>
      </c>
      <c r="AM6" s="27">
        <f t="shared" si="3"/>
        <v>0</v>
      </c>
      <c r="AN6" s="27">
        <f t="shared" si="3"/>
        <v>4785.51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64089.62</v>
      </c>
      <c r="AZ6" s="27" t="s">
        <v>3</v>
      </c>
      <c r="BA6" s="27">
        <f>ROUND($AY$6*BA5/$AZ$5,2)</f>
        <v>58898.77</v>
      </c>
      <c r="BB6" s="27">
        <f>ROUND($AY$6*BB5/$AZ$5,2)</f>
        <v>14102.33</v>
      </c>
      <c r="BC6" s="27">
        <f t="shared" ref="BC6:BH6" si="4">ROUND($AY$6*BC5/$AZ$5,2)</f>
        <v>1310.8</v>
      </c>
      <c r="BD6" s="27">
        <f t="shared" si="4"/>
        <v>8971.09</v>
      </c>
      <c r="BE6" s="27">
        <f t="shared" si="4"/>
        <v>0</v>
      </c>
      <c r="BF6" s="27">
        <f t="shared" si="4"/>
        <v>0</v>
      </c>
      <c r="BG6" s="27">
        <f t="shared" si="4"/>
        <v>9859.17</v>
      </c>
      <c r="BH6" s="27">
        <f t="shared" si="4"/>
        <v>22438.38</v>
      </c>
      <c r="BI6" s="27">
        <f t="shared" ref="BI6:BT6" si="5">ROUND($AY$6*BI5/$AZ$5,2)</f>
        <v>2217</v>
      </c>
      <c r="BJ6" s="27">
        <f t="shared" si="5"/>
        <v>0</v>
      </c>
      <c r="BK6" s="27">
        <f t="shared" si="5"/>
        <v>0</v>
      </c>
      <c r="BL6" s="27">
        <f t="shared" si="5"/>
        <v>5190.8500000000004</v>
      </c>
      <c r="BM6" s="27">
        <f t="shared" si="5"/>
        <v>0</v>
      </c>
      <c r="BN6" s="27">
        <f t="shared" si="5"/>
        <v>373.63</v>
      </c>
      <c r="BO6" s="27">
        <f t="shared" si="5"/>
        <v>0</v>
      </c>
      <c r="BP6" s="27">
        <f t="shared" si="5"/>
        <v>0</v>
      </c>
      <c r="BQ6" s="27">
        <f t="shared" si="5"/>
        <v>31.7</v>
      </c>
      <c r="BR6" s="27">
        <f t="shared" si="5"/>
        <v>4785.51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4"/>
      <c r="AT8" s="2325"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5" t="s">
        <v>3061</v>
      </c>
      <c r="J9" s="51"/>
      <c r="K9" s="3015" t="s">
        <v>3061</v>
      </c>
      <c r="L9" s="51"/>
      <c r="M9" s="3015" t="s">
        <v>3061</v>
      </c>
      <c r="N9" s="51"/>
      <c r="O9" s="59" t="s">
        <v>3061</v>
      </c>
      <c r="P9" s="51"/>
      <c r="Q9" s="59" t="s">
        <v>3063</v>
      </c>
      <c r="R9" s="51"/>
      <c r="S9" s="59" t="s">
        <v>3063</v>
      </c>
      <c r="T9" s="51"/>
      <c r="U9" s="59" t="s">
        <v>3063</v>
      </c>
      <c r="V9" s="51"/>
      <c r="W9" s="59" t="s">
        <v>3063</v>
      </c>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6"/>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5" t="s">
        <v>923</v>
      </c>
      <c r="J10" s="51"/>
      <c r="K10" s="3017" t="s">
        <v>923</v>
      </c>
      <c r="L10" s="51"/>
      <c r="M10" s="3017" t="s">
        <v>923</v>
      </c>
      <c r="N10" s="51"/>
      <c r="O10" s="66" t="s">
        <v>3033</v>
      </c>
      <c r="P10" s="51"/>
      <c r="Q10" s="66" t="s">
        <v>3033</v>
      </c>
      <c r="R10" s="51"/>
      <c r="S10" s="66" t="s">
        <v>3169</v>
      </c>
      <c r="T10" s="51"/>
      <c r="U10" s="66" t="s">
        <v>3194</v>
      </c>
      <c r="V10" s="51"/>
      <c r="W10" s="66" t="s">
        <v>3194</v>
      </c>
      <c r="X10" s="51"/>
      <c r="Y10" s="66"/>
      <c r="Z10" s="51"/>
      <c r="AA10" s="66"/>
      <c r="AB10" s="51"/>
      <c r="AC10" s="55"/>
      <c r="AD10" s="2311" t="s">
        <v>2317</v>
      </c>
      <c r="AE10" s="2333"/>
      <c r="AF10" s="2311" t="s">
        <v>2317</v>
      </c>
      <c r="AG10" s="2333"/>
      <c r="AH10" s="2311" t="s">
        <v>2318</v>
      </c>
      <c r="AI10" s="2333"/>
      <c r="AJ10" s="26" t="s">
        <v>2329</v>
      </c>
      <c r="AK10" s="2330"/>
      <c r="AL10" s="2311" t="s">
        <v>2319</v>
      </c>
      <c r="AM10" s="2312"/>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地上</v>
      </c>
      <c r="BE10" s="69" t="str">
        <f>O9</f>
        <v>地上</v>
      </c>
      <c r="BF10" s="69" t="str">
        <f>Q9</f>
        <v>地下</v>
      </c>
      <c r="BG10" s="69" t="str">
        <f>S9</f>
        <v>地下</v>
      </c>
      <c r="BH10" s="69" t="str">
        <f>U9</f>
        <v>地下</v>
      </c>
      <c r="BI10" s="69" t="str">
        <f>W9</f>
        <v>地下</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6" t="s">
        <v>3277</v>
      </c>
      <c r="J11" s="71"/>
      <c r="K11" s="3016" t="s">
        <v>3187</v>
      </c>
      <c r="L11" s="71"/>
      <c r="M11" s="70" t="s">
        <v>3188</v>
      </c>
      <c r="N11" s="71"/>
      <c r="O11" s="70" t="s">
        <v>3190</v>
      </c>
      <c r="P11" s="71"/>
      <c r="Q11" s="70" t="s">
        <v>3190</v>
      </c>
      <c r="R11" s="71"/>
      <c r="S11" s="70" t="s">
        <v>3169</v>
      </c>
      <c r="T11" s="71"/>
      <c r="U11" s="70" t="s">
        <v>3195</v>
      </c>
      <c r="V11" s="71"/>
      <c r="W11" s="70" t="s">
        <v>3195</v>
      </c>
      <c r="X11" s="71"/>
      <c r="Y11" s="70"/>
      <c r="Z11" s="71"/>
      <c r="AA11" s="70"/>
      <c r="AB11" s="71"/>
      <c r="AC11" s="55"/>
      <c r="AD11" s="2331" t="s">
        <v>2328</v>
      </c>
      <c r="AE11" s="1001"/>
      <c r="AF11" s="2331" t="s">
        <v>2328</v>
      </c>
      <c r="AG11" s="1001"/>
      <c r="AH11" s="2331" t="s">
        <v>2327</v>
      </c>
      <c r="AI11" s="2332"/>
      <c r="AJ11" s="2331" t="s">
        <v>2327</v>
      </c>
      <c r="AK11" s="2330"/>
      <c r="AL11" s="999"/>
      <c r="AM11" s="1001"/>
      <c r="AN11" s="999"/>
      <c r="AO11" s="1001"/>
      <c r="AP11" s="1187"/>
      <c r="AQ11" s="1189"/>
      <c r="AR11" s="1187"/>
      <c r="AS11" s="1189"/>
      <c r="AT11" s="1002"/>
      <c r="AU11" s="45"/>
      <c r="AV11" s="55"/>
      <c r="AW11" s="1002"/>
      <c r="AX11" s="55"/>
      <c r="AY11" s="62"/>
      <c r="AZ11" s="62"/>
      <c r="BA11" s="62"/>
      <c r="BB11" s="50" t="str">
        <f>I10</f>
        <v>住宅</v>
      </c>
      <c r="BC11" s="50" t="str">
        <f>K10</f>
        <v>住宅</v>
      </c>
      <c r="BD11" s="50" t="str">
        <f>M10</f>
        <v>住宅</v>
      </c>
      <c r="BE11" s="50" t="str">
        <f>O10</f>
        <v>商业</v>
      </c>
      <c r="BF11" s="50" t="str">
        <f>Q10</f>
        <v>商业</v>
      </c>
      <c r="BG11" s="50" t="str">
        <f>S10</f>
        <v>车库</v>
      </c>
      <c r="BH11" s="50" t="str">
        <f>U10</f>
        <v>仓储</v>
      </c>
      <c r="BI11" s="50" t="str">
        <f>W10</f>
        <v>仓储</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合院</v>
      </c>
      <c r="BC12" s="79" t="str">
        <f>K11</f>
        <v>洋房</v>
      </c>
      <c r="BD12" s="79" t="str">
        <f>M11</f>
        <v>自持住房</v>
      </c>
      <c r="BE12" s="50" t="str">
        <f>O11</f>
        <v>配套商业</v>
      </c>
      <c r="BF12" s="50" t="str">
        <f>Q11</f>
        <v>配套商业</v>
      </c>
      <c r="BG12" s="50" t="str">
        <f>S11</f>
        <v>车库</v>
      </c>
      <c r="BH12" s="50" t="str">
        <f>U11</f>
        <v>戊类库房</v>
      </c>
      <c r="BI12" s="50" t="str">
        <f>W11</f>
        <v>戊类库房</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0"/>
      <c r="B13" s="3010"/>
      <c r="C13" s="3010"/>
      <c r="D13" s="3011" t="s">
        <v>3251</v>
      </c>
      <c r="E13" s="27">
        <f t="shared" ref="E13:E20" si="6">IF($C$3="是",ROUND($A$3*G13/$B$3,2),ROUND($A$3*(G13-AT13)/$B$3,2))</f>
        <v>0</v>
      </c>
      <c r="F13" s="81"/>
      <c r="G13" s="82">
        <f t="shared" ref="G13:G20" si="7">H13+AC13+AT13</f>
        <v>0</v>
      </c>
      <c r="H13" s="33">
        <f t="shared" ref="H13:H20" si="8">SUMIF(I$12:AB$12,"总值",I13:AB13)</f>
        <v>0</v>
      </c>
      <c r="I13" s="3014"/>
      <c r="J13" s="3014"/>
      <c r="K13" s="3014"/>
      <c r="L13" s="3014"/>
      <c r="M13" s="3014"/>
      <c r="N13" s="83"/>
      <c r="O13" s="83"/>
      <c r="P13" s="83"/>
      <c r="Q13" s="83"/>
      <c r="R13" s="83"/>
      <c r="S13" s="83"/>
      <c r="T13" s="83"/>
      <c r="U13" s="83"/>
      <c r="V13" s="83"/>
      <c r="W13" s="83"/>
      <c r="X13" s="83"/>
      <c r="Y13" s="83"/>
      <c r="Z13" s="83"/>
      <c r="AA13" s="83"/>
      <c r="AB13" s="83"/>
      <c r="AC13" s="27">
        <f t="shared" ref="AC13:AC20" si="9">SUMIF(AD$12:AS$12,"总值",AD13:AS13)</f>
        <v>0</v>
      </c>
      <c r="AD13" s="3018"/>
      <c r="AE13" s="3018"/>
      <c r="AF13" s="3018"/>
      <c r="AG13" s="3018"/>
      <c r="AH13" s="3018"/>
      <c r="AI13" s="3018"/>
      <c r="AJ13" s="3018"/>
      <c r="AK13" s="3018"/>
      <c r="AL13" s="3018"/>
      <c r="AM13" s="3018"/>
      <c r="AN13" s="3018"/>
      <c r="AO13" s="3018"/>
      <c r="AP13" s="3018"/>
      <c r="AQ13" s="3018"/>
      <c r="AR13" s="3018"/>
      <c r="AS13" s="3018"/>
      <c r="AT13" s="3019"/>
      <c r="AU13" s="3020"/>
      <c r="AV13" s="17">
        <f t="shared" ref="AV13:AX20" si="10">A13</f>
        <v>0</v>
      </c>
      <c r="AW13" s="17">
        <f t="shared" si="10"/>
        <v>0</v>
      </c>
      <c r="AX13" s="17">
        <f t="shared" si="10"/>
        <v>0</v>
      </c>
      <c r="AY13" s="995">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0"/>
      <c r="B14" s="3010"/>
      <c r="C14" s="3205" t="s">
        <v>3228</v>
      </c>
      <c r="D14" s="3011" t="s">
        <v>1679</v>
      </c>
      <c r="E14" s="27">
        <f t="shared" si="6"/>
        <v>64089.62</v>
      </c>
      <c r="F14" s="81"/>
      <c r="G14" s="82">
        <f t="shared" si="7"/>
        <v>174020</v>
      </c>
      <c r="H14" s="33">
        <f t="shared" si="8"/>
        <v>156062</v>
      </c>
      <c r="I14" s="3014">
        <f>面积规证!C185</f>
        <v>37366.439999999988</v>
      </c>
      <c r="J14" s="3014"/>
      <c r="K14" s="3014">
        <f>面积规证!C186</f>
        <v>3473.1799999999967</v>
      </c>
      <c r="L14" s="3014"/>
      <c r="M14" s="3014">
        <f>面积规证!F186</f>
        <v>23770.38</v>
      </c>
      <c r="N14" s="83"/>
      <c r="O14" s="83"/>
      <c r="P14" s="83"/>
      <c r="Q14" s="83"/>
      <c r="R14" s="83"/>
      <c r="S14" s="83">
        <f>面积规证!H185</f>
        <v>26123.5</v>
      </c>
      <c r="T14" s="83"/>
      <c r="U14" s="83">
        <f>面积规证!G185</f>
        <v>59454.19</v>
      </c>
      <c r="V14" s="83"/>
      <c r="W14" s="83">
        <f>面积规证!G186</f>
        <v>5874.31</v>
      </c>
      <c r="X14" s="83"/>
      <c r="Y14" s="83"/>
      <c r="Z14" s="83"/>
      <c r="AA14" s="83"/>
      <c r="AB14" s="83"/>
      <c r="AC14" s="27">
        <f t="shared" si="9"/>
        <v>13754</v>
      </c>
      <c r="AD14" s="3018"/>
      <c r="AE14" s="3018"/>
      <c r="AF14" s="3018">
        <f>面积规证!J186</f>
        <v>990</v>
      </c>
      <c r="AG14" s="3018"/>
      <c r="AH14" s="3018"/>
      <c r="AI14" s="3018"/>
      <c r="AJ14" s="3018"/>
      <c r="AK14" s="3018"/>
      <c r="AL14" s="3018">
        <f>面积规证!D186</f>
        <v>84</v>
      </c>
      <c r="AM14" s="3018"/>
      <c r="AN14" s="3018">
        <f>面积规证!I187</f>
        <v>12680</v>
      </c>
      <c r="AO14" s="3018"/>
      <c r="AP14" s="3018"/>
      <c r="AQ14" s="3018"/>
      <c r="AR14" s="3018"/>
      <c r="AS14" s="3018"/>
      <c r="AT14" s="3019">
        <f>面积规证!L115</f>
        <v>4204</v>
      </c>
      <c r="AU14" s="3020"/>
      <c r="AV14" s="17">
        <f t="shared" si="10"/>
        <v>0</v>
      </c>
      <c r="AW14" s="17">
        <f t="shared" si="10"/>
        <v>0</v>
      </c>
      <c r="AX14" s="17" t="str">
        <f t="shared" si="10"/>
        <v>3-21地块</v>
      </c>
      <c r="AY14" s="995">
        <f t="shared" si="11"/>
        <v>64089.62</v>
      </c>
      <c r="AZ14" s="27">
        <f t="shared" si="12"/>
        <v>169816</v>
      </c>
      <c r="BA14" s="27">
        <f t="shared" si="13"/>
        <v>156062</v>
      </c>
      <c r="BB14" s="27">
        <f t="shared" si="14"/>
        <v>37366.439999999988</v>
      </c>
      <c r="BC14" s="27">
        <f t="shared" si="15"/>
        <v>3473.1799999999967</v>
      </c>
      <c r="BD14" s="27">
        <f t="shared" si="16"/>
        <v>23770.38</v>
      </c>
      <c r="BE14" s="27">
        <f t="shared" si="17"/>
        <v>0</v>
      </c>
      <c r="BF14" s="27">
        <f t="shared" si="18"/>
        <v>0</v>
      </c>
      <c r="BG14" s="27">
        <f t="shared" si="19"/>
        <v>26123.5</v>
      </c>
      <c r="BH14" s="27">
        <f t="shared" si="20"/>
        <v>59454.19</v>
      </c>
      <c r="BI14" s="27">
        <f t="shared" si="21"/>
        <v>5874.31</v>
      </c>
      <c r="BJ14" s="27">
        <f t="shared" si="22"/>
        <v>0</v>
      </c>
      <c r="BK14" s="27">
        <f t="shared" si="23"/>
        <v>0</v>
      </c>
      <c r="BL14" s="27">
        <f t="shared" si="24"/>
        <v>13754</v>
      </c>
      <c r="BM14" s="27">
        <f t="shared" si="25"/>
        <v>0</v>
      </c>
      <c r="BN14" s="27">
        <f t="shared" si="26"/>
        <v>990</v>
      </c>
      <c r="BO14" s="27">
        <f t="shared" si="27"/>
        <v>0</v>
      </c>
      <c r="BP14" s="27">
        <f t="shared" si="28"/>
        <v>0</v>
      </c>
      <c r="BQ14" s="27">
        <f t="shared" si="29"/>
        <v>84</v>
      </c>
      <c r="BR14" s="27">
        <f t="shared" si="30"/>
        <v>12680</v>
      </c>
      <c r="BS14" s="27">
        <f t="shared" si="31"/>
        <v>0</v>
      </c>
      <c r="BT14" s="36">
        <f t="shared" si="32"/>
        <v>0</v>
      </c>
    </row>
    <row r="15" spans="1:72" s="18" customFormat="1" ht="12.75">
      <c r="A15" s="3010"/>
      <c r="B15" s="3010"/>
      <c r="C15" s="3012"/>
      <c r="D15" s="3011"/>
      <c r="E15" s="27">
        <f t="shared" si="6"/>
        <v>0</v>
      </c>
      <c r="F15" s="81"/>
      <c r="G15" s="82">
        <f t="shared" si="7"/>
        <v>0</v>
      </c>
      <c r="H15" s="33">
        <f t="shared" si="8"/>
        <v>0</v>
      </c>
      <c r="I15" s="3014"/>
      <c r="J15" s="3014"/>
      <c r="K15" s="3014"/>
      <c r="L15" s="3014"/>
      <c r="M15" s="3014"/>
      <c r="N15" s="83"/>
      <c r="O15" s="83"/>
      <c r="P15" s="83"/>
      <c r="Q15" s="83"/>
      <c r="R15" s="83"/>
      <c r="S15" s="83"/>
      <c r="T15" s="83"/>
      <c r="U15" s="83"/>
      <c r="V15" s="83"/>
      <c r="W15" s="83"/>
      <c r="X15" s="83"/>
      <c r="Y15" s="83"/>
      <c r="Z15" s="83"/>
      <c r="AA15" s="83"/>
      <c r="AB15" s="83"/>
      <c r="AC15" s="27">
        <f t="shared" si="9"/>
        <v>0</v>
      </c>
      <c r="AD15" s="3018"/>
      <c r="AE15" s="3018"/>
      <c r="AF15" s="3018"/>
      <c r="AG15" s="3018"/>
      <c r="AH15" s="3018"/>
      <c r="AI15" s="3018"/>
      <c r="AJ15" s="3018"/>
      <c r="AK15" s="3018"/>
      <c r="AL15" s="3018"/>
      <c r="AM15" s="3018"/>
      <c r="AN15" s="3018"/>
      <c r="AO15" s="3018"/>
      <c r="AP15" s="3018"/>
      <c r="AQ15" s="3018"/>
      <c r="AR15" s="3018"/>
      <c r="AS15" s="3018"/>
      <c r="AT15" s="3019"/>
      <c r="AU15" s="3020"/>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0"/>
      <c r="B16" s="3010"/>
      <c r="C16" s="3012"/>
      <c r="D16" s="3011"/>
      <c r="E16" s="27">
        <f t="shared" si="6"/>
        <v>0</v>
      </c>
      <c r="F16" s="81"/>
      <c r="G16" s="82">
        <f t="shared" si="7"/>
        <v>0</v>
      </c>
      <c r="H16" s="33">
        <f t="shared" si="8"/>
        <v>0</v>
      </c>
      <c r="I16" s="3014"/>
      <c r="J16" s="3014"/>
      <c r="K16" s="3014"/>
      <c r="L16" s="3014"/>
      <c r="M16" s="3014"/>
      <c r="N16" s="83"/>
      <c r="O16" s="83"/>
      <c r="P16" s="83"/>
      <c r="Q16" s="83"/>
      <c r="R16" s="83"/>
      <c r="S16" s="83"/>
      <c r="T16" s="83"/>
      <c r="U16" s="83"/>
      <c r="V16" s="83"/>
      <c r="W16" s="83"/>
      <c r="X16" s="83"/>
      <c r="Y16" s="83"/>
      <c r="Z16" s="83"/>
      <c r="AA16" s="83"/>
      <c r="AB16" s="83"/>
      <c r="AC16" s="27">
        <f t="shared" si="9"/>
        <v>0</v>
      </c>
      <c r="AD16" s="3018"/>
      <c r="AE16" s="3018"/>
      <c r="AF16" s="3018"/>
      <c r="AG16" s="3018"/>
      <c r="AH16" s="3018"/>
      <c r="AI16" s="3018"/>
      <c r="AJ16" s="3018"/>
      <c r="AK16" s="3018"/>
      <c r="AL16" s="3018"/>
      <c r="AM16" s="3018"/>
      <c r="AN16" s="3018"/>
      <c r="AO16" s="3018"/>
      <c r="AP16" s="3018"/>
      <c r="AQ16" s="3018"/>
      <c r="AR16" s="3018"/>
      <c r="AS16" s="3018"/>
      <c r="AT16" s="3019"/>
      <c r="AU16" s="3020"/>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0"/>
      <c r="B17" s="3010"/>
      <c r="C17" s="3012"/>
      <c r="D17" s="3011"/>
      <c r="E17" s="27">
        <f t="shared" si="6"/>
        <v>0</v>
      </c>
      <c r="F17" s="81"/>
      <c r="G17" s="82">
        <f t="shared" si="7"/>
        <v>0</v>
      </c>
      <c r="H17" s="33">
        <f t="shared" si="8"/>
        <v>0</v>
      </c>
      <c r="I17" s="3014"/>
      <c r="J17" s="3014"/>
      <c r="K17" s="3014"/>
      <c r="L17" s="3014"/>
      <c r="M17" s="3014"/>
      <c r="N17" s="83"/>
      <c r="O17" s="83"/>
      <c r="P17" s="83"/>
      <c r="Q17" s="83"/>
      <c r="R17" s="83"/>
      <c r="S17" s="83"/>
      <c r="T17" s="83"/>
      <c r="U17" s="83"/>
      <c r="V17" s="83"/>
      <c r="W17" s="83"/>
      <c r="X17" s="83"/>
      <c r="Y17" s="83"/>
      <c r="Z17" s="83"/>
      <c r="AA17" s="83"/>
      <c r="AB17" s="83"/>
      <c r="AC17" s="27">
        <f t="shared" si="9"/>
        <v>0</v>
      </c>
      <c r="AD17" s="3018"/>
      <c r="AE17" s="3018"/>
      <c r="AF17" s="3018"/>
      <c r="AG17" s="3018"/>
      <c r="AH17" s="3018"/>
      <c r="AI17" s="3018"/>
      <c r="AJ17" s="3018"/>
      <c r="AK17" s="3018"/>
      <c r="AL17" s="3018"/>
      <c r="AM17" s="3018"/>
      <c r="AN17" s="3018"/>
      <c r="AO17" s="3018"/>
      <c r="AP17" s="3018"/>
      <c r="AQ17" s="3018"/>
      <c r="AR17" s="3018"/>
      <c r="AS17" s="3018"/>
      <c r="AT17" s="3019"/>
      <c r="AU17" s="3020"/>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3"/>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48" t="s">
        <v>0</v>
      </c>
      <c r="B1" s="3348" t="s">
        <v>4</v>
      </c>
      <c r="C1" s="3348" t="s">
        <v>5</v>
      </c>
      <c r="D1" s="3349" t="s">
        <v>40</v>
      </c>
      <c r="E1" s="3349" t="s">
        <v>41</v>
      </c>
      <c r="F1" s="3349"/>
      <c r="G1" s="3349"/>
      <c r="H1" s="3349"/>
      <c r="I1" s="3349"/>
      <c r="J1" s="3349"/>
      <c r="K1" s="3349"/>
      <c r="L1" s="3349"/>
      <c r="M1" s="3349"/>
    </row>
    <row r="2" spans="1:13" ht="27" customHeight="1">
      <c r="A2" s="3348"/>
      <c r="B2" s="3348"/>
      <c r="C2" s="3348"/>
      <c r="D2" s="3349"/>
      <c r="E2" s="3349" t="s">
        <v>24</v>
      </c>
      <c r="F2" s="3349" t="s">
        <v>25</v>
      </c>
      <c r="G2" s="3349"/>
      <c r="H2" s="3349"/>
      <c r="I2" s="3349"/>
      <c r="J2" s="3349" t="s">
        <v>26</v>
      </c>
      <c r="K2" s="3349"/>
      <c r="L2" s="3349"/>
      <c r="M2" s="3349"/>
    </row>
    <row r="3" spans="1:13" ht="28.5">
      <c r="A3" s="3348"/>
      <c r="B3" s="3348"/>
      <c r="C3" s="3348"/>
      <c r="D3" s="3349"/>
      <c r="E3" s="334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49" t="s">
        <v>42</v>
      </c>
      <c r="B9" s="3349"/>
      <c r="C9" s="334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301"/>
  <sheetViews>
    <sheetView topLeftCell="A110" workbookViewId="0">
      <selection activeCell="C112" sqref="C112"/>
    </sheetView>
  </sheetViews>
  <sheetFormatPr defaultRowHeight="13.5"/>
  <cols>
    <col min="2" max="2" width="11.625" bestFit="1" customWidth="1"/>
    <col min="3" max="3" width="10.5" bestFit="1" customWidth="1"/>
    <col min="7" max="7" width="12.25" customWidth="1"/>
    <col min="12" max="12" width="12.375" customWidth="1"/>
    <col min="13" max="13" width="11.25" customWidth="1"/>
    <col min="15" max="15" width="10.5" bestFit="1" customWidth="1"/>
  </cols>
  <sheetData>
    <row r="1" spans="1:12" hidden="1">
      <c r="A1" s="3185" t="s">
        <v>3058</v>
      </c>
      <c r="D1" s="3185" t="s">
        <v>3062</v>
      </c>
      <c r="E1" s="3185"/>
      <c r="F1" s="3185" t="s">
        <v>3064</v>
      </c>
      <c r="G1" s="3185"/>
    </row>
    <row r="2" spans="1:12" hidden="1">
      <c r="A2" s="3185"/>
      <c r="D2" s="3185" t="s">
        <v>3069</v>
      </c>
      <c r="E2" s="3185" t="s">
        <v>3070</v>
      </c>
      <c r="F2" s="3185" t="s">
        <v>3073</v>
      </c>
      <c r="G2" s="3185" t="s">
        <v>3071</v>
      </c>
      <c r="H2" s="3185" t="s">
        <v>3065</v>
      </c>
      <c r="I2" s="3185" t="s">
        <v>3066</v>
      </c>
      <c r="J2" s="3185" t="s">
        <v>3067</v>
      </c>
      <c r="K2" s="3185" t="s">
        <v>3068</v>
      </c>
    </row>
    <row r="3" spans="1:12" hidden="1">
      <c r="A3" s="3185" t="s">
        <v>3059</v>
      </c>
      <c r="B3" s="3185" t="s">
        <v>3060</v>
      </c>
      <c r="C3" s="3185">
        <f>SUM(D3:G3)</f>
        <v>816.37</v>
      </c>
      <c r="D3">
        <v>282.8</v>
      </c>
      <c r="F3">
        <v>484.57</v>
      </c>
      <c r="G3">
        <v>49</v>
      </c>
      <c r="H3">
        <v>2</v>
      </c>
      <c r="I3">
        <v>3</v>
      </c>
      <c r="J3">
        <v>1</v>
      </c>
      <c r="K3">
        <v>2</v>
      </c>
      <c r="L3" s="3185" t="s">
        <v>3074</v>
      </c>
    </row>
    <row r="4" spans="1:12" hidden="1">
      <c r="A4" s="3185" t="s">
        <v>3075</v>
      </c>
      <c r="B4" s="3185" t="s">
        <v>3076</v>
      </c>
      <c r="C4" s="3185">
        <f t="shared" ref="C4:C67" si="0">SUM(D4:G4)</f>
        <v>816.37</v>
      </c>
      <c r="D4">
        <v>282.8</v>
      </c>
      <c r="F4">
        <v>484.57</v>
      </c>
      <c r="G4">
        <v>49</v>
      </c>
      <c r="H4">
        <v>2</v>
      </c>
      <c r="I4">
        <v>3</v>
      </c>
      <c r="J4">
        <v>1</v>
      </c>
      <c r="K4">
        <v>2</v>
      </c>
    </row>
    <row r="5" spans="1:12" hidden="1">
      <c r="A5" s="3185" t="s">
        <v>3077</v>
      </c>
      <c r="B5" s="3185" t="s">
        <v>3076</v>
      </c>
      <c r="C5" s="3185">
        <f t="shared" si="0"/>
        <v>1202.82</v>
      </c>
      <c r="D5">
        <v>435.55</v>
      </c>
      <c r="F5">
        <v>669.27</v>
      </c>
      <c r="G5">
        <v>98</v>
      </c>
      <c r="H5">
        <v>2</v>
      </c>
      <c r="I5">
        <v>3</v>
      </c>
      <c r="J5">
        <v>1</v>
      </c>
      <c r="K5">
        <v>4</v>
      </c>
    </row>
    <row r="6" spans="1:12" hidden="1">
      <c r="A6" s="3185" t="s">
        <v>3078</v>
      </c>
      <c r="B6" s="3185" t="s">
        <v>3060</v>
      </c>
      <c r="C6" s="3185">
        <f t="shared" si="0"/>
        <v>1799.5</v>
      </c>
      <c r="D6">
        <v>652</v>
      </c>
      <c r="F6">
        <v>1000.5</v>
      </c>
      <c r="G6">
        <v>147</v>
      </c>
      <c r="H6">
        <v>2</v>
      </c>
      <c r="I6">
        <v>3</v>
      </c>
      <c r="J6">
        <v>1</v>
      </c>
      <c r="K6">
        <v>6</v>
      </c>
    </row>
    <row r="7" spans="1:12" hidden="1">
      <c r="A7" s="3185" t="s">
        <v>3079</v>
      </c>
      <c r="B7" s="3185" t="s">
        <v>3076</v>
      </c>
      <c r="C7" s="3185">
        <f t="shared" si="0"/>
        <v>1799.5</v>
      </c>
      <c r="D7">
        <v>652</v>
      </c>
      <c r="F7">
        <v>1000.5</v>
      </c>
      <c r="G7">
        <v>147</v>
      </c>
      <c r="H7">
        <v>2</v>
      </c>
      <c r="I7">
        <v>3</v>
      </c>
      <c r="J7">
        <v>1</v>
      </c>
      <c r="K7">
        <v>6</v>
      </c>
    </row>
    <row r="8" spans="1:12" hidden="1">
      <c r="A8" s="3185" t="s">
        <v>3080</v>
      </c>
      <c r="B8" s="3185" t="s">
        <v>3076</v>
      </c>
      <c r="C8" s="3185">
        <f t="shared" si="0"/>
        <v>1202.82</v>
      </c>
      <c r="D8">
        <v>435.55</v>
      </c>
      <c r="F8">
        <v>669.27</v>
      </c>
      <c r="G8">
        <v>98</v>
      </c>
      <c r="H8">
        <v>2</v>
      </c>
      <c r="I8">
        <v>3</v>
      </c>
      <c r="J8">
        <v>1</v>
      </c>
      <c r="K8">
        <v>4</v>
      </c>
    </row>
    <row r="9" spans="1:12" hidden="1">
      <c r="A9" s="3185" t="s">
        <v>3081</v>
      </c>
      <c r="B9" s="3185" t="s">
        <v>3060</v>
      </c>
      <c r="C9" s="3185">
        <f t="shared" si="0"/>
        <v>1799.5</v>
      </c>
      <c r="D9">
        <v>652</v>
      </c>
      <c r="F9">
        <v>1000.5</v>
      </c>
      <c r="G9">
        <v>147</v>
      </c>
      <c r="H9">
        <v>2</v>
      </c>
      <c r="I9">
        <v>3</v>
      </c>
      <c r="J9">
        <v>1</v>
      </c>
      <c r="K9">
        <v>6</v>
      </c>
    </row>
    <row r="10" spans="1:12" hidden="1">
      <c r="A10" s="3185" t="s">
        <v>3082</v>
      </c>
      <c r="B10" s="3185" t="s">
        <v>3076</v>
      </c>
      <c r="C10" s="3185">
        <f t="shared" si="0"/>
        <v>1202.82</v>
      </c>
      <c r="D10">
        <v>435.55</v>
      </c>
      <c r="F10">
        <v>669.27</v>
      </c>
      <c r="G10">
        <v>98</v>
      </c>
      <c r="H10">
        <v>2</v>
      </c>
      <c r="I10">
        <v>3</v>
      </c>
      <c r="J10">
        <v>1</v>
      </c>
      <c r="K10">
        <v>4</v>
      </c>
    </row>
    <row r="11" spans="1:12" hidden="1">
      <c r="A11" s="3185" t="s">
        <v>3083</v>
      </c>
      <c r="B11" s="3185" t="s">
        <v>3076</v>
      </c>
      <c r="C11" s="3185">
        <f t="shared" si="0"/>
        <v>1202.82</v>
      </c>
      <c r="D11">
        <v>435.55</v>
      </c>
      <c r="F11">
        <v>669.27</v>
      </c>
      <c r="G11">
        <v>98</v>
      </c>
      <c r="H11">
        <v>2</v>
      </c>
      <c r="I11">
        <v>3</v>
      </c>
      <c r="J11">
        <v>1</v>
      </c>
      <c r="K11">
        <v>4</v>
      </c>
    </row>
    <row r="12" spans="1:12" hidden="1">
      <c r="A12" s="3185" t="s">
        <v>3084</v>
      </c>
      <c r="B12" s="3185" t="s">
        <v>3060</v>
      </c>
      <c r="C12" s="3185">
        <f t="shared" si="0"/>
        <v>1799.5</v>
      </c>
      <c r="D12">
        <v>652</v>
      </c>
      <c r="F12">
        <v>1000.5</v>
      </c>
      <c r="G12">
        <v>147</v>
      </c>
      <c r="H12">
        <v>2</v>
      </c>
      <c r="I12">
        <v>3</v>
      </c>
      <c r="J12">
        <v>1</v>
      </c>
      <c r="K12">
        <v>6</v>
      </c>
    </row>
    <row r="13" spans="1:12" hidden="1">
      <c r="A13" s="3185" t="s">
        <v>3085</v>
      </c>
      <c r="B13" s="3185" t="s">
        <v>3076</v>
      </c>
      <c r="C13" s="3185">
        <f t="shared" si="0"/>
        <v>1799.5</v>
      </c>
      <c r="D13">
        <v>652</v>
      </c>
      <c r="F13">
        <v>1000.5</v>
      </c>
      <c r="G13">
        <v>147</v>
      </c>
      <c r="H13">
        <v>2</v>
      </c>
      <c r="I13">
        <v>3</v>
      </c>
      <c r="J13">
        <v>1</v>
      </c>
      <c r="K13">
        <v>6</v>
      </c>
    </row>
    <row r="14" spans="1:12" hidden="1">
      <c r="A14" s="3185" t="s">
        <v>3086</v>
      </c>
      <c r="B14" s="3185" t="s">
        <v>3076</v>
      </c>
      <c r="C14" s="3185">
        <f t="shared" si="0"/>
        <v>1202.82</v>
      </c>
      <c r="D14">
        <v>435.55</v>
      </c>
      <c r="F14">
        <v>669.27</v>
      </c>
      <c r="G14">
        <v>98</v>
      </c>
      <c r="H14">
        <v>2</v>
      </c>
      <c r="I14">
        <v>3</v>
      </c>
      <c r="J14">
        <v>1</v>
      </c>
      <c r="K14">
        <v>4</v>
      </c>
    </row>
    <row r="15" spans="1:12" hidden="1">
      <c r="A15" s="3185" t="s">
        <v>3087</v>
      </c>
      <c r="B15" s="3185" t="s">
        <v>3060</v>
      </c>
      <c r="C15" s="3185">
        <f t="shared" si="0"/>
        <v>1799.5</v>
      </c>
      <c r="D15">
        <v>652</v>
      </c>
      <c r="F15">
        <v>1000.5</v>
      </c>
      <c r="G15">
        <v>147</v>
      </c>
      <c r="H15">
        <v>2</v>
      </c>
      <c r="I15">
        <v>3</v>
      </c>
      <c r="J15">
        <v>1</v>
      </c>
      <c r="K15">
        <v>6</v>
      </c>
    </row>
    <row r="16" spans="1:12" hidden="1">
      <c r="A16" s="3185" t="s">
        <v>3088</v>
      </c>
      <c r="B16" s="3185" t="s">
        <v>3060</v>
      </c>
      <c r="C16" s="3185">
        <f t="shared" si="0"/>
        <v>1202.82</v>
      </c>
      <c r="D16">
        <v>435.55</v>
      </c>
      <c r="F16">
        <v>669.27</v>
      </c>
      <c r="G16">
        <v>98</v>
      </c>
      <c r="H16">
        <v>2</v>
      </c>
      <c r="I16">
        <v>3</v>
      </c>
      <c r="J16">
        <v>1</v>
      </c>
      <c r="K16">
        <v>4</v>
      </c>
    </row>
    <row r="17" spans="1:11" hidden="1">
      <c r="A17" s="3185" t="s">
        <v>3089</v>
      </c>
      <c r="B17" s="3185" t="s">
        <v>3060</v>
      </c>
      <c r="C17" s="3185">
        <f t="shared" si="0"/>
        <v>619.78</v>
      </c>
      <c r="D17">
        <v>225.49</v>
      </c>
      <c r="F17">
        <v>345.29</v>
      </c>
      <c r="G17">
        <v>49</v>
      </c>
      <c r="H17">
        <v>2</v>
      </c>
      <c r="I17">
        <v>3</v>
      </c>
      <c r="J17">
        <v>1</v>
      </c>
      <c r="K17">
        <v>2</v>
      </c>
    </row>
    <row r="18" spans="1:11" hidden="1">
      <c r="A18" s="3185" t="s">
        <v>3090</v>
      </c>
      <c r="B18" s="3185" t="s">
        <v>3060</v>
      </c>
      <c r="C18" s="3185">
        <f t="shared" si="0"/>
        <v>927.51</v>
      </c>
      <c r="D18">
        <v>337.54</v>
      </c>
      <c r="F18">
        <v>516.47</v>
      </c>
      <c r="G18">
        <v>73.5</v>
      </c>
      <c r="H18">
        <v>2</v>
      </c>
      <c r="I18">
        <v>3</v>
      </c>
      <c r="J18">
        <v>1</v>
      </c>
      <c r="K18">
        <v>3</v>
      </c>
    </row>
    <row r="19" spans="1:11" hidden="1">
      <c r="A19" s="3185" t="s">
        <v>3091</v>
      </c>
      <c r="B19" s="3185" t="s">
        <v>3060</v>
      </c>
      <c r="C19" s="3185">
        <f t="shared" si="0"/>
        <v>1799.5</v>
      </c>
      <c r="D19">
        <v>652</v>
      </c>
      <c r="F19">
        <v>1000.5</v>
      </c>
      <c r="G19">
        <v>147</v>
      </c>
      <c r="H19">
        <v>2</v>
      </c>
      <c r="I19">
        <v>3</v>
      </c>
      <c r="J19">
        <v>1</v>
      </c>
      <c r="K19">
        <v>6</v>
      </c>
    </row>
    <row r="20" spans="1:11" hidden="1">
      <c r="A20" s="3185" t="s">
        <v>3092</v>
      </c>
      <c r="B20" s="3185" t="s">
        <v>3060</v>
      </c>
      <c r="C20" s="3185">
        <f t="shared" si="0"/>
        <v>1202.82</v>
      </c>
      <c r="D20">
        <v>435.55</v>
      </c>
      <c r="F20">
        <v>669.27</v>
      </c>
      <c r="G20">
        <v>98</v>
      </c>
      <c r="H20">
        <v>2</v>
      </c>
      <c r="I20">
        <v>3</v>
      </c>
      <c r="J20">
        <v>1</v>
      </c>
      <c r="K20">
        <v>4</v>
      </c>
    </row>
    <row r="21" spans="1:11" hidden="1">
      <c r="A21" s="3185" t="s">
        <v>3093</v>
      </c>
      <c r="B21" s="3185" t="s">
        <v>3060</v>
      </c>
      <c r="C21" s="3185">
        <f t="shared" si="0"/>
        <v>1799.5</v>
      </c>
      <c r="D21">
        <v>652</v>
      </c>
      <c r="F21">
        <v>1000.5</v>
      </c>
      <c r="G21">
        <v>147</v>
      </c>
      <c r="H21">
        <v>2</v>
      </c>
      <c r="I21">
        <v>3</v>
      </c>
      <c r="J21">
        <v>1</v>
      </c>
      <c r="K21">
        <v>6</v>
      </c>
    </row>
    <row r="22" spans="1:11" hidden="1">
      <c r="A22" s="3185" t="s">
        <v>3094</v>
      </c>
      <c r="B22" s="3185" t="s">
        <v>3060</v>
      </c>
      <c r="C22" s="3185">
        <f t="shared" si="0"/>
        <v>1202.82</v>
      </c>
      <c r="D22">
        <v>435.55</v>
      </c>
      <c r="F22">
        <v>669.27</v>
      </c>
      <c r="G22">
        <v>98</v>
      </c>
      <c r="H22">
        <v>2</v>
      </c>
      <c r="I22">
        <v>3</v>
      </c>
      <c r="J22">
        <v>1</v>
      </c>
      <c r="K22">
        <v>4</v>
      </c>
    </row>
    <row r="23" spans="1:11" hidden="1">
      <c r="A23" s="3185" t="s">
        <v>3095</v>
      </c>
      <c r="B23" s="3185" t="s">
        <v>3060</v>
      </c>
      <c r="C23" s="3185">
        <f t="shared" si="0"/>
        <v>1202.82</v>
      </c>
      <c r="D23">
        <v>435.55</v>
      </c>
      <c r="F23">
        <v>669.27</v>
      </c>
      <c r="G23">
        <v>98</v>
      </c>
      <c r="H23">
        <v>2</v>
      </c>
      <c r="I23">
        <v>3</v>
      </c>
      <c r="J23">
        <v>1</v>
      </c>
      <c r="K23">
        <v>4</v>
      </c>
    </row>
    <row r="24" spans="1:11" hidden="1">
      <c r="A24" s="3185" t="s">
        <v>3096</v>
      </c>
      <c r="B24" s="3185" t="s">
        <v>3060</v>
      </c>
      <c r="C24" s="3185">
        <f t="shared" si="0"/>
        <v>1799.5</v>
      </c>
      <c r="D24">
        <v>652</v>
      </c>
      <c r="F24">
        <v>1000.5</v>
      </c>
      <c r="G24">
        <v>147</v>
      </c>
      <c r="H24">
        <v>2</v>
      </c>
      <c r="I24">
        <v>3</v>
      </c>
      <c r="J24">
        <v>1</v>
      </c>
      <c r="K24">
        <v>6</v>
      </c>
    </row>
    <row r="25" spans="1:11" hidden="1">
      <c r="A25" s="3185" t="s">
        <v>3097</v>
      </c>
      <c r="B25" s="3185" t="s">
        <v>3060</v>
      </c>
      <c r="C25" s="3185">
        <f t="shared" si="0"/>
        <v>1799.5</v>
      </c>
      <c r="D25">
        <v>652</v>
      </c>
      <c r="F25">
        <v>1000.5</v>
      </c>
      <c r="G25">
        <v>147</v>
      </c>
      <c r="H25">
        <v>2</v>
      </c>
      <c r="I25">
        <v>3</v>
      </c>
      <c r="J25">
        <v>1</v>
      </c>
      <c r="K25">
        <v>6</v>
      </c>
    </row>
    <row r="26" spans="1:11" hidden="1">
      <c r="A26" s="3185" t="s">
        <v>3098</v>
      </c>
      <c r="B26" s="3185" t="s">
        <v>3060</v>
      </c>
      <c r="C26" s="3185">
        <f t="shared" si="0"/>
        <v>1202.82</v>
      </c>
      <c r="D26">
        <v>435.55</v>
      </c>
      <c r="F26">
        <v>669.27</v>
      </c>
      <c r="G26">
        <v>98</v>
      </c>
      <c r="H26">
        <v>2</v>
      </c>
      <c r="I26">
        <v>3</v>
      </c>
      <c r="J26">
        <v>1</v>
      </c>
      <c r="K26">
        <v>4</v>
      </c>
    </row>
    <row r="27" spans="1:11" hidden="1">
      <c r="A27" s="3185" t="s">
        <v>3099</v>
      </c>
      <c r="B27" s="3185" t="s">
        <v>3060</v>
      </c>
      <c r="C27" s="3185">
        <f t="shared" si="0"/>
        <v>816.37</v>
      </c>
      <c r="D27">
        <v>282.8</v>
      </c>
      <c r="F27">
        <v>484.57</v>
      </c>
      <c r="G27">
        <v>49</v>
      </c>
      <c r="H27">
        <v>2</v>
      </c>
      <c r="I27">
        <v>3</v>
      </c>
      <c r="J27">
        <v>1</v>
      </c>
      <c r="K27">
        <v>2</v>
      </c>
    </row>
    <row r="28" spans="1:11" hidden="1">
      <c r="A28" s="3185" t="s">
        <v>3100</v>
      </c>
      <c r="B28" s="3185" t="s">
        <v>3060</v>
      </c>
      <c r="C28" s="3185">
        <f t="shared" si="0"/>
        <v>1626.24</v>
      </c>
      <c r="D28">
        <v>564.07000000000005</v>
      </c>
      <c r="F28">
        <v>964.17</v>
      </c>
      <c r="G28">
        <v>98</v>
      </c>
      <c r="H28">
        <v>2</v>
      </c>
      <c r="I28">
        <v>3</v>
      </c>
      <c r="J28">
        <v>1</v>
      </c>
      <c r="K28">
        <v>4</v>
      </c>
    </row>
    <row r="29" spans="1:11" hidden="1">
      <c r="A29" s="3185" t="s">
        <v>3101</v>
      </c>
      <c r="B29" s="3185" t="s">
        <v>3060</v>
      </c>
      <c r="C29" s="3185">
        <f t="shared" si="0"/>
        <v>1799.5</v>
      </c>
      <c r="D29">
        <v>652</v>
      </c>
      <c r="F29">
        <v>1000.5</v>
      </c>
      <c r="G29">
        <v>147</v>
      </c>
      <c r="H29">
        <v>2</v>
      </c>
      <c r="I29">
        <v>3</v>
      </c>
      <c r="J29">
        <v>1</v>
      </c>
      <c r="K29">
        <v>6</v>
      </c>
    </row>
    <row r="30" spans="1:11" hidden="1">
      <c r="A30" s="3185" t="s">
        <v>3102</v>
      </c>
      <c r="B30" s="3185" t="s">
        <v>3060</v>
      </c>
      <c r="C30" s="3185">
        <f t="shared" si="0"/>
        <v>1799.5</v>
      </c>
      <c r="D30">
        <v>652</v>
      </c>
      <c r="F30">
        <v>1000.5</v>
      </c>
      <c r="G30">
        <v>147</v>
      </c>
      <c r="H30">
        <v>2</v>
      </c>
      <c r="I30">
        <v>3</v>
      </c>
      <c r="J30">
        <v>1</v>
      </c>
      <c r="K30">
        <v>6</v>
      </c>
    </row>
    <row r="31" spans="1:11" hidden="1">
      <c r="A31" s="3185" t="s">
        <v>3103</v>
      </c>
      <c r="B31" s="3185" t="s">
        <v>3060</v>
      </c>
      <c r="C31" s="3185">
        <f t="shared" si="0"/>
        <v>922.90000000000009</v>
      </c>
      <c r="D31">
        <v>337.54</v>
      </c>
      <c r="F31">
        <v>511.86</v>
      </c>
      <c r="G31">
        <v>73.5</v>
      </c>
      <c r="H31">
        <v>2</v>
      </c>
      <c r="I31">
        <v>3</v>
      </c>
      <c r="J31">
        <v>1</v>
      </c>
      <c r="K31">
        <v>3</v>
      </c>
    </row>
    <row r="32" spans="1:11" hidden="1">
      <c r="A32" s="3185" t="s">
        <v>3104</v>
      </c>
      <c r="B32" s="3185" t="s">
        <v>3060</v>
      </c>
      <c r="C32" s="3185">
        <f t="shared" si="0"/>
        <v>922.90000000000009</v>
      </c>
      <c r="D32">
        <v>337.54</v>
      </c>
      <c r="F32">
        <v>511.86</v>
      </c>
      <c r="G32">
        <v>73.5</v>
      </c>
      <c r="H32">
        <v>2</v>
      </c>
      <c r="I32">
        <v>3</v>
      </c>
      <c r="J32">
        <v>1</v>
      </c>
      <c r="K32">
        <v>3</v>
      </c>
    </row>
    <row r="33" spans="1:11" hidden="1">
      <c r="A33" s="3185" t="s">
        <v>3105</v>
      </c>
      <c r="B33" s="3185" t="s">
        <v>3060</v>
      </c>
      <c r="C33" s="3185">
        <f t="shared" si="0"/>
        <v>1799.5</v>
      </c>
      <c r="D33">
        <v>652</v>
      </c>
      <c r="F33">
        <v>1000.5</v>
      </c>
      <c r="G33">
        <v>147</v>
      </c>
      <c r="H33">
        <v>2</v>
      </c>
      <c r="I33">
        <v>3</v>
      </c>
      <c r="J33">
        <v>1</v>
      </c>
      <c r="K33">
        <v>6</v>
      </c>
    </row>
    <row r="34" spans="1:11" hidden="1">
      <c r="A34" s="3185" t="s">
        <v>3106</v>
      </c>
      <c r="B34" s="3185" t="s">
        <v>3060</v>
      </c>
      <c r="C34" s="3185">
        <f t="shared" si="0"/>
        <v>1799.5</v>
      </c>
      <c r="D34">
        <v>652</v>
      </c>
      <c r="F34">
        <v>1000.5</v>
      </c>
      <c r="G34">
        <v>147</v>
      </c>
      <c r="H34">
        <v>2</v>
      </c>
      <c r="I34">
        <v>3</v>
      </c>
      <c r="J34">
        <v>1</v>
      </c>
      <c r="K34">
        <v>6</v>
      </c>
    </row>
    <row r="35" spans="1:11" hidden="1">
      <c r="A35" s="3185" t="s">
        <v>3107</v>
      </c>
      <c r="B35" s="3185" t="s">
        <v>3060</v>
      </c>
      <c r="C35" s="3185">
        <f t="shared" si="0"/>
        <v>1799.5</v>
      </c>
      <c r="D35">
        <v>652</v>
      </c>
      <c r="F35">
        <v>1000.5</v>
      </c>
      <c r="G35">
        <v>147</v>
      </c>
      <c r="H35">
        <v>2</v>
      </c>
      <c r="I35">
        <v>3</v>
      </c>
      <c r="J35">
        <v>1</v>
      </c>
      <c r="K35">
        <v>6</v>
      </c>
    </row>
    <row r="36" spans="1:11" hidden="1">
      <c r="A36" s="3185" t="s">
        <v>3108</v>
      </c>
      <c r="B36" s="3185" t="s">
        <v>3060</v>
      </c>
      <c r="C36" s="3185">
        <f t="shared" si="0"/>
        <v>1511.08</v>
      </c>
      <c r="D36">
        <v>547.6</v>
      </c>
      <c r="F36">
        <v>840.98</v>
      </c>
      <c r="G36">
        <v>122.5</v>
      </c>
      <c r="H36">
        <v>2</v>
      </c>
      <c r="I36">
        <v>3</v>
      </c>
      <c r="J36">
        <v>1</v>
      </c>
      <c r="K36">
        <v>5</v>
      </c>
    </row>
    <row r="37" spans="1:11" hidden="1">
      <c r="A37" s="3185" t="s">
        <v>3109</v>
      </c>
      <c r="B37" s="3185" t="s">
        <v>3060</v>
      </c>
      <c r="C37" s="3185">
        <f t="shared" si="0"/>
        <v>1509.47</v>
      </c>
      <c r="D37">
        <v>547.6</v>
      </c>
      <c r="F37">
        <v>839.37</v>
      </c>
      <c r="G37">
        <v>122.5</v>
      </c>
      <c r="H37">
        <v>2</v>
      </c>
      <c r="I37">
        <v>3</v>
      </c>
      <c r="J37">
        <v>1</v>
      </c>
      <c r="K37">
        <v>5</v>
      </c>
    </row>
    <row r="38" spans="1:11" hidden="1">
      <c r="A38" s="3185" t="s">
        <v>3110</v>
      </c>
      <c r="B38" s="3185" t="s">
        <v>3060</v>
      </c>
      <c r="C38" s="3185">
        <f t="shared" si="0"/>
        <v>1799.5</v>
      </c>
      <c r="D38">
        <v>652</v>
      </c>
      <c r="F38">
        <v>1000.5</v>
      </c>
      <c r="G38">
        <v>147</v>
      </c>
      <c r="H38">
        <v>2</v>
      </c>
      <c r="I38">
        <v>3</v>
      </c>
      <c r="J38">
        <v>1</v>
      </c>
      <c r="K38">
        <v>6</v>
      </c>
    </row>
    <row r="39" spans="1:11" hidden="1">
      <c r="A39" s="3185" t="s">
        <v>3111</v>
      </c>
      <c r="B39" s="3185" t="s">
        <v>3060</v>
      </c>
      <c r="C39" s="3185">
        <f t="shared" si="0"/>
        <v>1799.5</v>
      </c>
      <c r="D39">
        <v>652</v>
      </c>
      <c r="F39">
        <v>1000.5</v>
      </c>
      <c r="G39">
        <v>147</v>
      </c>
      <c r="H39">
        <v>2</v>
      </c>
      <c r="I39">
        <v>3</v>
      </c>
      <c r="J39">
        <v>1</v>
      </c>
      <c r="K39">
        <v>6</v>
      </c>
    </row>
    <row r="40" spans="1:11" hidden="1">
      <c r="A40" s="3185" t="s">
        <v>3112</v>
      </c>
      <c r="B40" s="3185" t="s">
        <v>3060</v>
      </c>
      <c r="C40" s="3185">
        <f t="shared" si="0"/>
        <v>1799.5</v>
      </c>
      <c r="D40">
        <v>652</v>
      </c>
      <c r="F40">
        <v>1000.5</v>
      </c>
      <c r="G40">
        <v>147</v>
      </c>
      <c r="H40">
        <v>2</v>
      </c>
      <c r="I40">
        <v>3</v>
      </c>
      <c r="J40">
        <v>1</v>
      </c>
      <c r="K40">
        <v>6</v>
      </c>
    </row>
    <row r="41" spans="1:11" hidden="1">
      <c r="A41" s="3185" t="s">
        <v>3113</v>
      </c>
      <c r="B41" s="3185" t="s">
        <v>3060</v>
      </c>
      <c r="C41" s="3185">
        <f t="shared" si="0"/>
        <v>1510.45</v>
      </c>
      <c r="D41">
        <v>547.6</v>
      </c>
      <c r="F41">
        <v>840.35</v>
      </c>
      <c r="G41">
        <v>122.5</v>
      </c>
      <c r="H41">
        <v>2</v>
      </c>
      <c r="I41">
        <v>3</v>
      </c>
      <c r="J41">
        <v>1</v>
      </c>
      <c r="K41">
        <v>5</v>
      </c>
    </row>
    <row r="42" spans="1:11" hidden="1">
      <c r="A42" s="3185" t="s">
        <v>3114</v>
      </c>
      <c r="B42" s="3185" t="s">
        <v>3060</v>
      </c>
      <c r="C42" s="3185">
        <f t="shared" si="0"/>
        <v>1799.5</v>
      </c>
      <c r="D42">
        <v>652</v>
      </c>
      <c r="F42">
        <v>1000.5</v>
      </c>
      <c r="G42">
        <v>147</v>
      </c>
      <c r="H42">
        <v>2</v>
      </c>
      <c r="I42">
        <v>3</v>
      </c>
      <c r="J42">
        <v>1</v>
      </c>
      <c r="K42">
        <v>6</v>
      </c>
    </row>
    <row r="43" spans="1:11" hidden="1">
      <c r="A43" s="3185" t="s">
        <v>3115</v>
      </c>
      <c r="B43" s="3185" t="s">
        <v>3060</v>
      </c>
      <c r="C43" s="3185">
        <f t="shared" si="0"/>
        <v>1799.5</v>
      </c>
      <c r="D43">
        <v>652</v>
      </c>
      <c r="F43">
        <v>1000.5</v>
      </c>
      <c r="G43">
        <v>147</v>
      </c>
      <c r="H43">
        <v>2</v>
      </c>
      <c r="I43">
        <v>3</v>
      </c>
      <c r="J43">
        <v>1</v>
      </c>
      <c r="K43">
        <v>6</v>
      </c>
    </row>
    <row r="44" spans="1:11" hidden="1">
      <c r="A44" s="3185" t="s">
        <v>3116</v>
      </c>
      <c r="B44" s="3185" t="s">
        <v>3060</v>
      </c>
      <c r="C44" s="3185">
        <f t="shared" si="0"/>
        <v>1799.5</v>
      </c>
      <c r="D44">
        <v>652</v>
      </c>
      <c r="F44">
        <v>1000.5</v>
      </c>
      <c r="G44">
        <v>147</v>
      </c>
      <c r="H44">
        <v>2</v>
      </c>
      <c r="I44">
        <v>3</v>
      </c>
      <c r="J44">
        <v>1</v>
      </c>
      <c r="K44">
        <v>6</v>
      </c>
    </row>
    <row r="45" spans="1:11" hidden="1">
      <c r="A45" s="3185" t="s">
        <v>3117</v>
      </c>
      <c r="B45" s="3185" t="s">
        <v>3060</v>
      </c>
      <c r="C45" s="3185">
        <f t="shared" si="0"/>
        <v>1799.5</v>
      </c>
      <c r="D45">
        <v>652</v>
      </c>
      <c r="F45">
        <v>1000.5</v>
      </c>
      <c r="G45">
        <v>147</v>
      </c>
      <c r="H45">
        <v>2</v>
      </c>
      <c r="I45">
        <v>3</v>
      </c>
      <c r="J45">
        <v>1</v>
      </c>
      <c r="K45">
        <v>6</v>
      </c>
    </row>
    <row r="46" spans="1:11" hidden="1">
      <c r="A46" s="3185" t="s">
        <v>3118</v>
      </c>
      <c r="B46" s="3185" t="s">
        <v>3060</v>
      </c>
      <c r="C46" s="3185">
        <f t="shared" si="0"/>
        <v>1799.5</v>
      </c>
      <c r="D46">
        <v>652</v>
      </c>
      <c r="F46">
        <v>1000.5</v>
      </c>
      <c r="G46">
        <v>147</v>
      </c>
      <c r="H46">
        <v>2</v>
      </c>
      <c r="I46">
        <v>3</v>
      </c>
      <c r="J46">
        <v>1</v>
      </c>
      <c r="K46">
        <v>6</v>
      </c>
    </row>
    <row r="47" spans="1:11" hidden="1">
      <c r="A47" s="3185" t="s">
        <v>3119</v>
      </c>
      <c r="B47" s="3185" t="s">
        <v>3060</v>
      </c>
      <c r="C47" s="3185">
        <f t="shared" si="0"/>
        <v>1202.82</v>
      </c>
      <c r="D47">
        <v>435.55</v>
      </c>
      <c r="F47">
        <v>669.27</v>
      </c>
      <c r="G47">
        <v>98</v>
      </c>
      <c r="H47">
        <v>2</v>
      </c>
      <c r="I47">
        <v>3</v>
      </c>
      <c r="J47">
        <v>1</v>
      </c>
      <c r="K47">
        <v>4</v>
      </c>
    </row>
    <row r="48" spans="1:11" hidden="1">
      <c r="A48" s="3185" t="s">
        <v>3120</v>
      </c>
      <c r="B48" s="3185" t="s">
        <v>3060</v>
      </c>
      <c r="C48" s="3185">
        <f t="shared" si="0"/>
        <v>1229.8400000000001</v>
      </c>
      <c r="D48">
        <v>449.6</v>
      </c>
      <c r="F48">
        <v>682.24</v>
      </c>
      <c r="G48">
        <v>98</v>
      </c>
      <c r="H48">
        <v>2</v>
      </c>
      <c r="I48">
        <v>3</v>
      </c>
      <c r="J48">
        <v>1</v>
      </c>
      <c r="K48">
        <v>4</v>
      </c>
    </row>
    <row r="49" spans="1:11" hidden="1">
      <c r="A49" s="3185" t="s">
        <v>3121</v>
      </c>
      <c r="B49" s="3185" t="s">
        <v>3060</v>
      </c>
      <c r="C49" s="3185">
        <f t="shared" si="0"/>
        <v>1799.5</v>
      </c>
      <c r="D49">
        <v>652</v>
      </c>
      <c r="F49">
        <v>1000.5</v>
      </c>
      <c r="G49">
        <v>147</v>
      </c>
      <c r="H49">
        <v>2</v>
      </c>
      <c r="I49">
        <v>3</v>
      </c>
      <c r="J49">
        <v>1</v>
      </c>
      <c r="K49">
        <v>6</v>
      </c>
    </row>
    <row r="50" spans="1:11" hidden="1">
      <c r="A50" s="3185" t="s">
        <v>3122</v>
      </c>
      <c r="B50" s="3185" t="s">
        <v>3060</v>
      </c>
      <c r="C50" s="3185">
        <f t="shared" si="0"/>
        <v>1229.8400000000001</v>
      </c>
      <c r="D50">
        <v>449.6</v>
      </c>
      <c r="F50">
        <v>682.24</v>
      </c>
      <c r="G50">
        <v>98</v>
      </c>
      <c r="H50">
        <v>2</v>
      </c>
      <c r="I50">
        <v>3</v>
      </c>
      <c r="J50">
        <v>1</v>
      </c>
      <c r="K50">
        <v>4</v>
      </c>
    </row>
    <row r="51" spans="1:11" hidden="1">
      <c r="A51" s="3185" t="s">
        <v>3123</v>
      </c>
      <c r="B51" s="3185" t="s">
        <v>3060</v>
      </c>
      <c r="C51" s="3185">
        <f t="shared" si="0"/>
        <v>2397.12</v>
      </c>
      <c r="D51">
        <v>868.45</v>
      </c>
      <c r="F51">
        <v>1332.67</v>
      </c>
      <c r="G51">
        <v>196</v>
      </c>
      <c r="H51">
        <v>2</v>
      </c>
      <c r="I51">
        <v>3</v>
      </c>
      <c r="J51">
        <v>1</v>
      </c>
      <c r="K51">
        <v>8</v>
      </c>
    </row>
    <row r="52" spans="1:11" hidden="1">
      <c r="A52" s="3185" t="s">
        <v>3124</v>
      </c>
      <c r="B52" s="3185" t="s">
        <v>3060</v>
      </c>
      <c r="C52" s="3185">
        <f t="shared" si="0"/>
        <v>1799.5</v>
      </c>
      <c r="D52">
        <v>652</v>
      </c>
      <c r="F52">
        <v>1000.5</v>
      </c>
      <c r="G52">
        <v>147</v>
      </c>
      <c r="H52">
        <v>2</v>
      </c>
      <c r="I52">
        <v>3</v>
      </c>
      <c r="J52">
        <v>1</v>
      </c>
      <c r="K52">
        <v>6</v>
      </c>
    </row>
    <row r="53" spans="1:11" hidden="1">
      <c r="A53" s="3185" t="s">
        <v>3125</v>
      </c>
      <c r="B53" s="3185" t="s">
        <v>3060</v>
      </c>
      <c r="C53" s="3185">
        <f t="shared" si="0"/>
        <v>1799.5</v>
      </c>
      <c r="D53">
        <v>652</v>
      </c>
      <c r="F53">
        <v>1000.5</v>
      </c>
      <c r="G53">
        <v>147</v>
      </c>
      <c r="H53">
        <v>2</v>
      </c>
      <c r="I53">
        <v>3</v>
      </c>
      <c r="J53">
        <v>1</v>
      </c>
      <c r="K53">
        <v>6</v>
      </c>
    </row>
    <row r="54" spans="1:11" hidden="1">
      <c r="A54" s="3185" t="s">
        <v>3126</v>
      </c>
      <c r="B54" s="3185" t="s">
        <v>3060</v>
      </c>
      <c r="C54" s="3185">
        <f t="shared" si="0"/>
        <v>2397.12</v>
      </c>
      <c r="D54">
        <v>868.45</v>
      </c>
      <c r="F54">
        <v>1332.67</v>
      </c>
      <c r="G54">
        <v>196</v>
      </c>
      <c r="H54">
        <v>2</v>
      </c>
      <c r="I54">
        <v>3</v>
      </c>
      <c r="J54">
        <v>1</v>
      </c>
      <c r="K54">
        <v>8</v>
      </c>
    </row>
    <row r="55" spans="1:11" hidden="1">
      <c r="A55" s="3185" t="s">
        <v>3127</v>
      </c>
      <c r="B55" s="3185" t="s">
        <v>3060</v>
      </c>
      <c r="C55" s="3185">
        <f t="shared" si="0"/>
        <v>2397.12</v>
      </c>
      <c r="D55">
        <v>868.45</v>
      </c>
      <c r="F55">
        <v>1332.67</v>
      </c>
      <c r="G55">
        <v>196</v>
      </c>
      <c r="H55">
        <v>2</v>
      </c>
      <c r="I55">
        <v>3</v>
      </c>
      <c r="J55">
        <v>1</v>
      </c>
      <c r="K55">
        <v>8</v>
      </c>
    </row>
    <row r="56" spans="1:11" hidden="1">
      <c r="A56" s="3185" t="s">
        <v>3128</v>
      </c>
      <c r="B56" s="3185" t="s">
        <v>3060</v>
      </c>
      <c r="C56" s="3185">
        <f t="shared" si="0"/>
        <v>1163.2</v>
      </c>
      <c r="D56">
        <v>351.38</v>
      </c>
      <c r="F56">
        <v>762.82</v>
      </c>
      <c r="G56">
        <v>49</v>
      </c>
      <c r="H56">
        <v>2</v>
      </c>
      <c r="I56">
        <v>3</v>
      </c>
      <c r="J56">
        <v>1</v>
      </c>
      <c r="K56">
        <v>2</v>
      </c>
    </row>
    <row r="57" spans="1:11" hidden="1">
      <c r="A57" s="3185" t="s">
        <v>3129</v>
      </c>
      <c r="B57" s="3185" t="s">
        <v>3060</v>
      </c>
      <c r="C57" s="3185">
        <f t="shared" si="0"/>
        <v>1163.2</v>
      </c>
      <c r="D57">
        <v>351.38</v>
      </c>
      <c r="F57">
        <v>762.82</v>
      </c>
      <c r="G57">
        <v>49</v>
      </c>
      <c r="H57">
        <v>2</v>
      </c>
      <c r="I57">
        <v>3</v>
      </c>
      <c r="J57">
        <v>1</v>
      </c>
      <c r="K57">
        <v>2</v>
      </c>
    </row>
    <row r="58" spans="1:11" hidden="1">
      <c r="A58" s="3185" t="s">
        <v>3130</v>
      </c>
      <c r="B58" s="3185" t="s">
        <v>3060</v>
      </c>
      <c r="C58" s="3185">
        <f t="shared" si="0"/>
        <v>2397.12</v>
      </c>
      <c r="D58">
        <v>868.45</v>
      </c>
      <c r="F58">
        <v>1332.67</v>
      </c>
      <c r="G58">
        <v>196</v>
      </c>
      <c r="H58">
        <v>2</v>
      </c>
      <c r="I58">
        <v>3</v>
      </c>
      <c r="J58">
        <v>1</v>
      </c>
      <c r="K58">
        <v>8</v>
      </c>
    </row>
    <row r="59" spans="1:11" hidden="1">
      <c r="A59" s="3185" t="s">
        <v>3131</v>
      </c>
      <c r="B59" s="3185" t="s">
        <v>3060</v>
      </c>
      <c r="C59" s="3185">
        <f t="shared" si="0"/>
        <v>2397.12</v>
      </c>
      <c r="D59">
        <v>868.45</v>
      </c>
      <c r="F59">
        <v>1332.67</v>
      </c>
      <c r="G59">
        <v>196</v>
      </c>
      <c r="H59">
        <v>2</v>
      </c>
      <c r="I59">
        <v>3</v>
      </c>
      <c r="J59">
        <v>1</v>
      </c>
      <c r="K59">
        <v>8</v>
      </c>
    </row>
    <row r="60" spans="1:11" hidden="1">
      <c r="A60" s="3185" t="s">
        <v>3132</v>
      </c>
      <c r="B60" s="3185" t="s">
        <v>3060</v>
      </c>
      <c r="C60" s="3185">
        <f t="shared" si="0"/>
        <v>1799.5</v>
      </c>
      <c r="D60">
        <v>652</v>
      </c>
      <c r="F60">
        <v>1000.5</v>
      </c>
      <c r="G60">
        <v>147</v>
      </c>
      <c r="H60">
        <v>2</v>
      </c>
      <c r="I60">
        <v>3</v>
      </c>
      <c r="J60">
        <v>1</v>
      </c>
      <c r="K60">
        <v>6</v>
      </c>
    </row>
    <row r="61" spans="1:11" hidden="1">
      <c r="A61" s="3185" t="s">
        <v>3133</v>
      </c>
      <c r="B61" s="3185" t="s">
        <v>3060</v>
      </c>
      <c r="C61" s="3185">
        <f t="shared" si="0"/>
        <v>1799.5</v>
      </c>
      <c r="D61">
        <v>652</v>
      </c>
      <c r="F61">
        <v>1000.5</v>
      </c>
      <c r="G61">
        <v>147</v>
      </c>
      <c r="H61">
        <v>2</v>
      </c>
      <c r="I61">
        <v>3</v>
      </c>
      <c r="J61">
        <v>1</v>
      </c>
      <c r="K61">
        <v>6</v>
      </c>
    </row>
    <row r="62" spans="1:11" hidden="1">
      <c r="A62" s="3185" t="s">
        <v>3134</v>
      </c>
      <c r="B62" s="3185" t="s">
        <v>3060</v>
      </c>
      <c r="C62" s="3185">
        <f t="shared" si="0"/>
        <v>2397.12</v>
      </c>
      <c r="D62">
        <v>868.45</v>
      </c>
      <c r="F62">
        <v>1332.67</v>
      </c>
      <c r="G62">
        <v>196</v>
      </c>
      <c r="H62">
        <v>2</v>
      </c>
      <c r="I62">
        <v>3</v>
      </c>
      <c r="J62">
        <v>1</v>
      </c>
      <c r="K62">
        <v>8</v>
      </c>
    </row>
    <row r="63" spans="1:11" hidden="1">
      <c r="A63" s="3185" t="s">
        <v>3135</v>
      </c>
      <c r="B63" s="3185" t="s">
        <v>3060</v>
      </c>
      <c r="C63" s="3185">
        <f t="shared" si="0"/>
        <v>1228.76</v>
      </c>
      <c r="D63">
        <v>449.6</v>
      </c>
      <c r="F63">
        <v>681.16</v>
      </c>
      <c r="G63">
        <v>98</v>
      </c>
      <c r="H63">
        <v>2</v>
      </c>
      <c r="I63">
        <v>3</v>
      </c>
      <c r="J63">
        <v>1</v>
      </c>
      <c r="K63">
        <v>4</v>
      </c>
    </row>
    <row r="64" spans="1:11" hidden="1">
      <c r="A64" s="3185" t="s">
        <v>3136</v>
      </c>
      <c r="B64" s="3185" t="s">
        <v>3060</v>
      </c>
      <c r="C64" s="3185">
        <f t="shared" si="0"/>
        <v>922.90000000000009</v>
      </c>
      <c r="D64">
        <v>337.54</v>
      </c>
      <c r="F64">
        <v>511.86</v>
      </c>
      <c r="G64">
        <v>73.5</v>
      </c>
      <c r="H64">
        <v>2</v>
      </c>
      <c r="I64">
        <v>3</v>
      </c>
      <c r="J64">
        <v>1</v>
      </c>
      <c r="K64">
        <v>3</v>
      </c>
    </row>
    <row r="65" spans="1:11" hidden="1">
      <c r="A65" s="3185" t="s">
        <v>3137</v>
      </c>
      <c r="B65" s="3185" t="s">
        <v>3060</v>
      </c>
      <c r="C65" s="3185">
        <f t="shared" si="0"/>
        <v>1799.5</v>
      </c>
      <c r="D65">
        <v>652</v>
      </c>
      <c r="F65">
        <v>1000.5</v>
      </c>
      <c r="G65">
        <v>147</v>
      </c>
      <c r="H65">
        <v>2</v>
      </c>
      <c r="I65">
        <v>3</v>
      </c>
      <c r="J65">
        <v>1</v>
      </c>
      <c r="K65">
        <v>6</v>
      </c>
    </row>
    <row r="66" spans="1:11" hidden="1">
      <c r="A66" s="3185" t="s">
        <v>3138</v>
      </c>
      <c r="B66" s="3185" t="s">
        <v>3060</v>
      </c>
      <c r="C66" s="3185">
        <f t="shared" si="0"/>
        <v>2397.12</v>
      </c>
      <c r="D66">
        <v>868.45</v>
      </c>
      <c r="F66">
        <v>1332.67</v>
      </c>
      <c r="G66">
        <v>196</v>
      </c>
      <c r="H66">
        <v>2</v>
      </c>
      <c r="I66">
        <v>3</v>
      </c>
      <c r="J66">
        <v>1</v>
      </c>
      <c r="K66">
        <v>8</v>
      </c>
    </row>
    <row r="67" spans="1:11" hidden="1">
      <c r="A67" s="3185" t="s">
        <v>3139</v>
      </c>
      <c r="B67" s="3185" t="s">
        <v>3060</v>
      </c>
      <c r="C67" s="3185">
        <f t="shared" si="0"/>
        <v>1626.24</v>
      </c>
      <c r="D67">
        <v>564.07000000000005</v>
      </c>
      <c r="F67">
        <v>964.17</v>
      </c>
      <c r="G67">
        <v>98</v>
      </c>
      <c r="H67">
        <v>2</v>
      </c>
      <c r="I67">
        <v>3</v>
      </c>
      <c r="J67">
        <v>1</v>
      </c>
      <c r="K67">
        <v>4</v>
      </c>
    </row>
    <row r="68" spans="1:11" hidden="1">
      <c r="A68" s="3185" t="s">
        <v>3140</v>
      </c>
      <c r="B68" s="3185" t="s">
        <v>3060</v>
      </c>
      <c r="C68" s="3185">
        <f t="shared" ref="C68:C85" si="1">SUM(D68:G68)</f>
        <v>1626.24</v>
      </c>
      <c r="D68">
        <v>564.07000000000005</v>
      </c>
      <c r="F68">
        <v>964.17</v>
      </c>
      <c r="G68">
        <v>98</v>
      </c>
      <c r="H68">
        <v>2</v>
      </c>
      <c r="I68">
        <v>3</v>
      </c>
      <c r="J68">
        <v>1</v>
      </c>
      <c r="K68">
        <v>4</v>
      </c>
    </row>
    <row r="69" spans="1:11" hidden="1">
      <c r="A69" s="3185" t="s">
        <v>3141</v>
      </c>
      <c r="B69" s="3185" t="s">
        <v>3060</v>
      </c>
      <c r="C69" s="3185">
        <f t="shared" si="1"/>
        <v>1219.1500000000001</v>
      </c>
      <c r="D69">
        <v>423.44</v>
      </c>
      <c r="F69">
        <v>722.21</v>
      </c>
      <c r="G69">
        <v>73.5</v>
      </c>
      <c r="H69">
        <v>2</v>
      </c>
      <c r="I69">
        <v>3</v>
      </c>
      <c r="J69">
        <v>1</v>
      </c>
      <c r="K69">
        <v>3</v>
      </c>
    </row>
    <row r="70" spans="1:11" hidden="1">
      <c r="A70" s="3185" t="s">
        <v>3142</v>
      </c>
      <c r="B70" s="3185" t="s">
        <v>3060</v>
      </c>
      <c r="C70" s="3185">
        <f t="shared" si="1"/>
        <v>1799.5</v>
      </c>
      <c r="D70">
        <v>652</v>
      </c>
      <c r="F70">
        <v>1000.5</v>
      </c>
      <c r="G70">
        <v>147</v>
      </c>
      <c r="H70">
        <v>2</v>
      </c>
      <c r="I70">
        <v>3</v>
      </c>
      <c r="J70">
        <v>1</v>
      </c>
      <c r="K70">
        <v>6</v>
      </c>
    </row>
    <row r="71" spans="1:11" hidden="1">
      <c r="A71" s="3185" t="s">
        <v>3143</v>
      </c>
      <c r="B71" s="3185" t="s">
        <v>3060</v>
      </c>
      <c r="C71" s="3185">
        <f t="shared" si="1"/>
        <v>1202.82</v>
      </c>
      <c r="D71">
        <v>435.55</v>
      </c>
      <c r="F71">
        <v>669.27</v>
      </c>
      <c r="G71">
        <v>98</v>
      </c>
      <c r="H71">
        <v>2</v>
      </c>
      <c r="I71">
        <v>3</v>
      </c>
      <c r="J71">
        <v>1</v>
      </c>
      <c r="K71">
        <v>4</v>
      </c>
    </row>
    <row r="72" spans="1:11" hidden="1">
      <c r="A72" s="3185" t="s">
        <v>3144</v>
      </c>
      <c r="B72" s="3185" t="s">
        <v>3060</v>
      </c>
      <c r="C72" s="3185">
        <f t="shared" si="1"/>
        <v>1202.82</v>
      </c>
      <c r="D72">
        <v>435.55</v>
      </c>
      <c r="F72">
        <v>669.27</v>
      </c>
      <c r="G72">
        <v>98</v>
      </c>
      <c r="H72">
        <v>2</v>
      </c>
      <c r="I72">
        <v>3</v>
      </c>
      <c r="J72">
        <v>1</v>
      </c>
      <c r="K72">
        <v>4</v>
      </c>
    </row>
    <row r="73" spans="1:11" hidden="1">
      <c r="A73" s="3185" t="s">
        <v>3145</v>
      </c>
      <c r="B73" s="3185" t="s">
        <v>3060</v>
      </c>
      <c r="C73" s="3185">
        <f t="shared" si="1"/>
        <v>1799.5</v>
      </c>
      <c r="D73">
        <v>652</v>
      </c>
      <c r="F73">
        <v>1000.5</v>
      </c>
      <c r="G73">
        <v>147</v>
      </c>
      <c r="H73">
        <v>2</v>
      </c>
      <c r="I73">
        <v>3</v>
      </c>
      <c r="J73">
        <v>1</v>
      </c>
      <c r="K73">
        <v>6</v>
      </c>
    </row>
    <row r="74" spans="1:11" hidden="1">
      <c r="A74" s="3185" t="s">
        <v>3146</v>
      </c>
      <c r="B74" s="3185" t="s">
        <v>3060</v>
      </c>
      <c r="C74" s="3185">
        <f t="shared" si="1"/>
        <v>1799.5</v>
      </c>
      <c r="D74">
        <v>652</v>
      </c>
      <c r="F74">
        <v>1000.5</v>
      </c>
      <c r="G74">
        <v>147</v>
      </c>
      <c r="H74">
        <v>2</v>
      </c>
      <c r="I74">
        <v>3</v>
      </c>
      <c r="J74">
        <v>1</v>
      </c>
      <c r="K74">
        <v>6</v>
      </c>
    </row>
    <row r="75" spans="1:11" hidden="1">
      <c r="A75" s="3185" t="s">
        <v>3147</v>
      </c>
      <c r="B75" s="3185" t="s">
        <v>3060</v>
      </c>
      <c r="C75" s="3185">
        <f t="shared" si="1"/>
        <v>1202.82</v>
      </c>
      <c r="D75">
        <v>435.55</v>
      </c>
      <c r="F75">
        <v>669.27</v>
      </c>
      <c r="G75">
        <v>98</v>
      </c>
      <c r="H75">
        <v>2</v>
      </c>
      <c r="I75">
        <v>3</v>
      </c>
      <c r="J75">
        <v>1</v>
      </c>
      <c r="K75">
        <v>4</v>
      </c>
    </row>
    <row r="76" spans="1:11" hidden="1">
      <c r="A76" s="3185" t="s">
        <v>3148</v>
      </c>
      <c r="B76" s="3185" t="s">
        <v>3060</v>
      </c>
      <c r="C76" s="3185">
        <f t="shared" si="1"/>
        <v>1799.5</v>
      </c>
      <c r="D76">
        <v>652</v>
      </c>
      <c r="F76">
        <v>1000.5</v>
      </c>
      <c r="G76">
        <v>147</v>
      </c>
      <c r="H76">
        <v>2</v>
      </c>
      <c r="I76">
        <v>3</v>
      </c>
      <c r="J76">
        <v>1</v>
      </c>
      <c r="K76">
        <v>6</v>
      </c>
    </row>
    <row r="77" spans="1:11" hidden="1">
      <c r="A77" s="3185" t="s">
        <v>3149</v>
      </c>
      <c r="B77" s="3185" t="s">
        <v>3060</v>
      </c>
      <c r="C77" s="3185">
        <f t="shared" si="1"/>
        <v>1202.82</v>
      </c>
      <c r="D77">
        <v>435.55</v>
      </c>
      <c r="F77">
        <v>669.27</v>
      </c>
      <c r="G77">
        <v>98</v>
      </c>
      <c r="H77">
        <v>2</v>
      </c>
      <c r="I77">
        <v>3</v>
      </c>
      <c r="J77">
        <v>1</v>
      </c>
      <c r="K77">
        <v>4</v>
      </c>
    </row>
    <row r="78" spans="1:11" hidden="1">
      <c r="A78" s="3185" t="s">
        <v>3150</v>
      </c>
      <c r="B78" s="3185" t="s">
        <v>3060</v>
      </c>
      <c r="C78" s="3185">
        <f t="shared" si="1"/>
        <v>1203.48</v>
      </c>
      <c r="D78">
        <v>435.55</v>
      </c>
      <c r="F78">
        <v>669.93</v>
      </c>
      <c r="G78">
        <v>98</v>
      </c>
      <c r="H78">
        <v>2</v>
      </c>
      <c r="I78">
        <v>3</v>
      </c>
      <c r="J78">
        <v>1</v>
      </c>
      <c r="K78">
        <v>4</v>
      </c>
    </row>
    <row r="79" spans="1:11" hidden="1">
      <c r="A79" s="3185" t="s">
        <v>3151</v>
      </c>
      <c r="B79" s="3185" t="s">
        <v>3060</v>
      </c>
      <c r="C79" s="3185">
        <f t="shared" si="1"/>
        <v>1799.5</v>
      </c>
      <c r="D79">
        <v>652</v>
      </c>
      <c r="F79">
        <v>1000.5</v>
      </c>
      <c r="G79">
        <v>147</v>
      </c>
      <c r="H79">
        <v>2</v>
      </c>
      <c r="I79">
        <v>3</v>
      </c>
      <c r="J79">
        <v>1</v>
      </c>
      <c r="K79">
        <v>6</v>
      </c>
    </row>
    <row r="80" spans="1:11" hidden="1">
      <c r="A80" s="3185" t="s">
        <v>3152</v>
      </c>
      <c r="B80" s="3185" t="s">
        <v>3060</v>
      </c>
      <c r="C80" s="3185">
        <f t="shared" si="1"/>
        <v>1202.82</v>
      </c>
      <c r="D80">
        <v>435.55</v>
      </c>
      <c r="F80">
        <v>669.27</v>
      </c>
      <c r="G80">
        <v>98</v>
      </c>
      <c r="H80">
        <v>2</v>
      </c>
      <c r="I80">
        <v>3</v>
      </c>
      <c r="J80">
        <v>1</v>
      </c>
      <c r="K80">
        <v>4</v>
      </c>
    </row>
    <row r="81" spans="1:15" hidden="1">
      <c r="A81" s="3185" t="s">
        <v>3153</v>
      </c>
      <c r="B81" s="3185" t="s">
        <v>3060</v>
      </c>
      <c r="C81" s="3185">
        <f t="shared" si="1"/>
        <v>1799.5</v>
      </c>
      <c r="D81">
        <v>652</v>
      </c>
      <c r="F81">
        <v>1000.5</v>
      </c>
      <c r="G81">
        <v>147</v>
      </c>
      <c r="H81">
        <v>2</v>
      </c>
      <c r="I81">
        <v>3</v>
      </c>
      <c r="J81">
        <v>1</v>
      </c>
      <c r="K81">
        <v>6</v>
      </c>
    </row>
    <row r="82" spans="1:15" hidden="1">
      <c r="A82" s="3185" t="s">
        <v>3154</v>
      </c>
      <c r="B82" s="3185" t="s">
        <v>3060</v>
      </c>
      <c r="C82" s="3185">
        <f t="shared" si="1"/>
        <v>1799.5</v>
      </c>
      <c r="D82">
        <v>652</v>
      </c>
      <c r="F82">
        <v>1000.5</v>
      </c>
      <c r="G82">
        <v>147</v>
      </c>
      <c r="H82">
        <v>2</v>
      </c>
      <c r="I82">
        <v>3</v>
      </c>
      <c r="J82">
        <v>1</v>
      </c>
      <c r="K82">
        <v>6</v>
      </c>
    </row>
    <row r="83" spans="1:15" hidden="1">
      <c r="A83" s="3185" t="s">
        <v>3155</v>
      </c>
      <c r="B83" s="3185" t="s">
        <v>3060</v>
      </c>
      <c r="C83" s="3185">
        <f t="shared" si="1"/>
        <v>1202.82</v>
      </c>
      <c r="D83">
        <v>435.55</v>
      </c>
      <c r="F83">
        <v>669.27</v>
      </c>
      <c r="G83">
        <v>98</v>
      </c>
      <c r="H83">
        <v>2</v>
      </c>
      <c r="I83">
        <v>3</v>
      </c>
      <c r="J83">
        <v>1</v>
      </c>
      <c r="K83">
        <v>4</v>
      </c>
    </row>
    <row r="84" spans="1:15" hidden="1">
      <c r="A84" s="3185" t="s">
        <v>3156</v>
      </c>
      <c r="B84" s="3185" t="s">
        <v>3060</v>
      </c>
      <c r="C84" s="3185">
        <f t="shared" si="1"/>
        <v>1202.82</v>
      </c>
      <c r="D84">
        <v>435.55</v>
      </c>
      <c r="F84">
        <v>669.27</v>
      </c>
      <c r="G84">
        <v>98</v>
      </c>
      <c r="H84">
        <v>2</v>
      </c>
      <c r="I84">
        <v>3</v>
      </c>
      <c r="J84">
        <v>1</v>
      </c>
      <c r="K84">
        <v>4</v>
      </c>
    </row>
    <row r="85" spans="1:15" hidden="1">
      <c r="A85" s="3185" t="s">
        <v>3172</v>
      </c>
      <c r="B85" s="3185" t="s">
        <v>3060</v>
      </c>
      <c r="C85" s="3185">
        <f t="shared" si="1"/>
        <v>1799.5</v>
      </c>
      <c r="D85">
        <v>652</v>
      </c>
      <c r="F85">
        <v>1000.5</v>
      </c>
      <c r="G85">
        <v>147</v>
      </c>
      <c r="H85">
        <v>2</v>
      </c>
      <c r="I85">
        <v>3</v>
      </c>
      <c r="J85">
        <v>1</v>
      </c>
      <c r="K85">
        <v>6</v>
      </c>
    </row>
    <row r="86" spans="1:15" hidden="1">
      <c r="A86" s="3185" t="s">
        <v>3163</v>
      </c>
      <c r="C86" s="3185">
        <f>SUM(C3:C85)</f>
        <v>129624.39</v>
      </c>
      <c r="D86" s="3185">
        <f>SUM(D3:D85)</f>
        <v>46712.660000000018</v>
      </c>
      <c r="E86" s="3185">
        <f>SUM(E3:E85)</f>
        <v>0</v>
      </c>
      <c r="F86" s="3185">
        <f>SUM(F3:F85)</f>
        <v>72621.729999999967</v>
      </c>
      <c r="G86" s="3185">
        <f>SUM(G3:G85)</f>
        <v>10290</v>
      </c>
      <c r="K86">
        <f>SUM(K3:K85)</f>
        <v>420</v>
      </c>
    </row>
    <row r="87" spans="1:15" hidden="1">
      <c r="A87" s="3185" t="s">
        <v>3164</v>
      </c>
      <c r="B87" s="3185" t="s">
        <v>3165</v>
      </c>
      <c r="C87" s="3185">
        <f>E87+G87</f>
        <v>450</v>
      </c>
      <c r="E87">
        <v>300</v>
      </c>
      <c r="G87">
        <v>150</v>
      </c>
    </row>
    <row r="88" spans="1:15" hidden="1">
      <c r="A88" s="3185" t="s">
        <v>3166</v>
      </c>
      <c r="C88">
        <f>SUM(D88:G88)</f>
        <v>50636.86</v>
      </c>
      <c r="E88">
        <f>29+26+47+27</f>
        <v>129</v>
      </c>
      <c r="F88">
        <v>46509.14</v>
      </c>
      <c r="G88">
        <f>225+225+217.5+217.5+300+300+2513.72</f>
        <v>3998.72</v>
      </c>
    </row>
    <row r="89" spans="1:15" hidden="1">
      <c r="C89" s="3186">
        <f>C86+C87+C88</f>
        <v>180711.25</v>
      </c>
      <c r="F89">
        <v>10280</v>
      </c>
    </row>
    <row r="90" spans="1:15" hidden="1"/>
    <row r="91" spans="1:15" hidden="1">
      <c r="M91">
        <f>C94/G94</f>
        <v>0.64323254210551084</v>
      </c>
    </row>
    <row r="92" spans="1:15" hidden="1">
      <c r="B92" s="3352" t="s">
        <v>3163</v>
      </c>
      <c r="C92" s="3352" t="s">
        <v>3062</v>
      </c>
      <c r="D92" s="3352"/>
      <c r="E92" s="3352"/>
      <c r="F92" s="3352"/>
      <c r="G92" s="3352" t="s">
        <v>3064</v>
      </c>
      <c r="H92" s="3352"/>
      <c r="I92" s="3352"/>
      <c r="J92" s="3352"/>
      <c r="K92" s="3352"/>
    </row>
    <row r="93" spans="1:15" hidden="1">
      <c r="B93" s="3353"/>
      <c r="C93" s="3188" t="s">
        <v>3167</v>
      </c>
      <c r="D93" s="3188" t="s">
        <v>3168</v>
      </c>
      <c r="E93" s="3188" t="s">
        <v>3184</v>
      </c>
      <c r="F93" s="3188" t="s">
        <v>3185</v>
      </c>
      <c r="G93" s="3188" t="s">
        <v>3073</v>
      </c>
      <c r="H93" s="3188" t="s">
        <v>3170</v>
      </c>
      <c r="I93" s="3188" t="s">
        <v>3168</v>
      </c>
      <c r="J93" s="3191" t="s">
        <v>3186</v>
      </c>
      <c r="K93" s="3191" t="s">
        <v>3185</v>
      </c>
      <c r="M93" s="3185" t="s">
        <v>3171</v>
      </c>
    </row>
    <row r="94" spans="1:15" hidden="1">
      <c r="B94" s="3189">
        <f>SUM(C94:K94)</f>
        <v>170302.24999999997</v>
      </c>
      <c r="C94" s="3189">
        <f>D86</f>
        <v>46712.660000000018</v>
      </c>
      <c r="D94" s="3189">
        <f>E87</f>
        <v>300</v>
      </c>
      <c r="E94" s="3189"/>
      <c r="F94" s="3189"/>
      <c r="G94" s="3189">
        <f>F86</f>
        <v>72621.729999999967</v>
      </c>
      <c r="H94" s="3189">
        <f>F88-F89</f>
        <v>36229.14</v>
      </c>
      <c r="I94" s="3189">
        <f>G87+G86+G88</f>
        <v>14438.72</v>
      </c>
      <c r="J94" s="3189"/>
      <c r="K94" s="3189"/>
      <c r="L94" s="3185" t="s">
        <v>3221</v>
      </c>
      <c r="M94">
        <f>F89+E88</f>
        <v>10409</v>
      </c>
      <c r="O94" s="3186">
        <f>M94+B94</f>
        <v>180711.24999999997</v>
      </c>
    </row>
    <row r="95" spans="1:15" hidden="1">
      <c r="B95" s="3189">
        <f>SUM(C95:K95)</f>
        <v>58492.750000000007</v>
      </c>
      <c r="C95" s="3189">
        <f>D109</f>
        <v>42524.340000000011</v>
      </c>
      <c r="D95" s="3189">
        <f>E109</f>
        <v>168</v>
      </c>
      <c r="E95" s="3189">
        <f>F109</f>
        <v>1870</v>
      </c>
      <c r="F95" s="3189">
        <f>G109</f>
        <v>250</v>
      </c>
      <c r="G95" s="3189">
        <f>H109</f>
        <v>10172.129999999999</v>
      </c>
      <c r="H95" s="3189"/>
      <c r="I95" s="3189">
        <f>I109</f>
        <v>3228.2799999999997</v>
      </c>
      <c r="J95" s="3189">
        <v>50</v>
      </c>
      <c r="K95" s="3189">
        <v>230</v>
      </c>
    </row>
    <row r="96" spans="1:15" hidden="1">
      <c r="B96" s="3189">
        <f>SUM(B94:B95)</f>
        <v>228794.99999999997</v>
      </c>
      <c r="C96" s="3189">
        <f t="shared" ref="C96:K96" si="2">SUM(C94:C95)</f>
        <v>89237.000000000029</v>
      </c>
      <c r="D96" s="3189">
        <f t="shared" si="2"/>
        <v>468</v>
      </c>
      <c r="E96" s="3189">
        <f t="shared" si="2"/>
        <v>1870</v>
      </c>
      <c r="F96" s="3189">
        <f t="shared" si="2"/>
        <v>250</v>
      </c>
      <c r="G96" s="3189">
        <f t="shared" si="2"/>
        <v>82793.859999999971</v>
      </c>
      <c r="H96" s="3189">
        <f t="shared" si="2"/>
        <v>36229.14</v>
      </c>
      <c r="I96" s="3189">
        <f t="shared" si="2"/>
        <v>17667</v>
      </c>
      <c r="J96" s="3189">
        <f t="shared" si="2"/>
        <v>50</v>
      </c>
      <c r="K96" s="3189">
        <f t="shared" si="2"/>
        <v>230</v>
      </c>
      <c r="M96" s="3233"/>
    </row>
    <row r="97" spans="1:16" hidden="1">
      <c r="B97" s="3190"/>
      <c r="C97" s="3190"/>
      <c r="D97" s="3190"/>
      <c r="E97" s="3190"/>
      <c r="F97" s="3190"/>
      <c r="G97" s="3190"/>
    </row>
    <row r="98" spans="1:16" hidden="1">
      <c r="A98" s="3188" t="s">
        <v>3173</v>
      </c>
      <c r="B98" s="3189"/>
      <c r="C98" s="3189"/>
      <c r="D98" s="3188" t="s">
        <v>3062</v>
      </c>
      <c r="E98" s="3188"/>
      <c r="F98" s="3188"/>
      <c r="G98" s="3188"/>
      <c r="H98" s="3188" t="s">
        <v>3064</v>
      </c>
      <c r="I98" s="3188"/>
      <c r="J98" s="3189"/>
      <c r="K98" s="3189"/>
      <c r="L98" s="3189"/>
      <c r="M98" s="3189"/>
      <c r="N98" s="3189"/>
      <c r="O98" s="3189"/>
      <c r="P98" s="3189"/>
    </row>
    <row r="99" spans="1:16" hidden="1">
      <c r="A99" s="3188"/>
      <c r="B99" s="3189"/>
      <c r="C99" s="3188" t="s">
        <v>3163</v>
      </c>
      <c r="D99" s="3188" t="s">
        <v>3069</v>
      </c>
      <c r="E99" s="3188" t="s">
        <v>3177</v>
      </c>
      <c r="F99" s="3188" t="s">
        <v>3178</v>
      </c>
      <c r="G99" s="3188" t="s">
        <v>3179</v>
      </c>
      <c r="H99" s="3188" t="s">
        <v>3073</v>
      </c>
      <c r="I99" s="3188" t="s">
        <v>3071</v>
      </c>
      <c r="J99" s="3188" t="s">
        <v>3181</v>
      </c>
      <c r="K99" s="3188" t="s">
        <v>3180</v>
      </c>
      <c r="L99" s="3188" t="s">
        <v>3065</v>
      </c>
      <c r="M99" s="3188" t="s">
        <v>3066</v>
      </c>
      <c r="N99" s="3188" t="s">
        <v>3067</v>
      </c>
      <c r="O99" s="3188" t="s">
        <v>3068</v>
      </c>
      <c r="P99" s="3188" t="s">
        <v>3021</v>
      </c>
    </row>
    <row r="100" spans="1:16" hidden="1">
      <c r="A100" s="3188" t="s">
        <v>3174</v>
      </c>
      <c r="B100" s="3188" t="s">
        <v>3176</v>
      </c>
      <c r="C100" s="3189">
        <f>SUM(D100:K100)</f>
        <v>9627.16</v>
      </c>
      <c r="D100" s="3189">
        <v>6972.46</v>
      </c>
      <c r="E100" s="3189"/>
      <c r="F100" s="3189"/>
      <c r="G100" s="3189"/>
      <c r="H100" s="3189">
        <v>1536.46</v>
      </c>
      <c r="I100" s="3189">
        <f>228.24+780+50+30+30</f>
        <v>1118.24</v>
      </c>
      <c r="J100" s="3189"/>
      <c r="K100" s="3189"/>
      <c r="L100" s="3189">
        <v>8</v>
      </c>
      <c r="M100" s="3189">
        <v>3</v>
      </c>
      <c r="N100" s="3189">
        <v>1</v>
      </c>
      <c r="O100" s="3189">
        <v>48</v>
      </c>
      <c r="P100" s="3189">
        <v>6115.4</v>
      </c>
    </row>
    <row r="101" spans="1:16" hidden="1">
      <c r="A101" s="3188" t="s">
        <v>3157</v>
      </c>
      <c r="B101" s="3188" t="s">
        <v>3176</v>
      </c>
      <c r="C101" s="3189">
        <f t="shared" ref="C101:C108" si="3">SUM(D101:K101)</f>
        <v>8835.02</v>
      </c>
      <c r="D101" s="3189">
        <v>6984.06</v>
      </c>
      <c r="E101" s="3189"/>
      <c r="F101" s="3189"/>
      <c r="G101" s="3189"/>
      <c r="H101" s="3189">
        <v>1622.72</v>
      </c>
      <c r="I101" s="3189">
        <v>228.24</v>
      </c>
      <c r="J101" s="3189"/>
      <c r="K101" s="3189"/>
      <c r="L101" s="3189">
        <v>8</v>
      </c>
      <c r="M101" s="3189">
        <v>3</v>
      </c>
      <c r="N101" s="3189">
        <v>1</v>
      </c>
      <c r="O101" s="3189">
        <v>48</v>
      </c>
      <c r="P101" s="3189">
        <v>6115.4</v>
      </c>
    </row>
    <row r="102" spans="1:16" hidden="1">
      <c r="A102" s="3188" t="s">
        <v>3158</v>
      </c>
      <c r="B102" s="3188" t="s">
        <v>3176</v>
      </c>
      <c r="C102" s="3189">
        <f t="shared" si="3"/>
        <v>8835.07</v>
      </c>
      <c r="D102" s="3189">
        <v>6975.06</v>
      </c>
      <c r="E102" s="3189"/>
      <c r="F102" s="3189"/>
      <c r="G102" s="3189"/>
      <c r="H102" s="3189">
        <v>1631.77</v>
      </c>
      <c r="I102" s="3189">
        <v>228.24</v>
      </c>
      <c r="J102" s="3189"/>
      <c r="K102" s="3189"/>
      <c r="L102" s="3189">
        <v>8</v>
      </c>
      <c r="M102" s="3189">
        <v>3</v>
      </c>
      <c r="N102" s="3189">
        <v>1</v>
      </c>
      <c r="O102" s="3189">
        <v>48</v>
      </c>
      <c r="P102" s="3189">
        <v>6115.4</v>
      </c>
    </row>
    <row r="103" spans="1:16" hidden="1">
      <c r="A103" s="3188" t="s">
        <v>3159</v>
      </c>
      <c r="B103" s="3188" t="s">
        <v>3176</v>
      </c>
      <c r="C103" s="3189">
        <f t="shared" si="3"/>
        <v>7910.56</v>
      </c>
      <c r="D103" s="3189">
        <v>4540.51</v>
      </c>
      <c r="E103" s="3189">
        <f>78</f>
        <v>78</v>
      </c>
      <c r="F103" s="3189">
        <f>450+200</f>
        <v>650</v>
      </c>
      <c r="G103" s="3189">
        <f>50+200</f>
        <v>250</v>
      </c>
      <c r="H103" s="3189">
        <v>1294.5899999999999</v>
      </c>
      <c r="I103" s="3189">
        <v>867.46</v>
      </c>
      <c r="J103" s="3189"/>
      <c r="K103" s="3189">
        <v>230</v>
      </c>
      <c r="L103" s="3189">
        <v>8</v>
      </c>
      <c r="M103" s="3189">
        <v>3</v>
      </c>
      <c r="N103" s="3189">
        <v>1</v>
      </c>
      <c r="O103" s="3189">
        <v>30</v>
      </c>
      <c r="P103" s="3189">
        <v>4191.8999999999996</v>
      </c>
    </row>
    <row r="104" spans="1:16" hidden="1">
      <c r="A104" s="3188" t="s">
        <v>3160</v>
      </c>
      <c r="B104" s="3188" t="s">
        <v>3176</v>
      </c>
      <c r="C104" s="3189">
        <f t="shared" si="3"/>
        <v>6088.81</v>
      </c>
      <c r="D104" s="3189">
        <v>4545.8500000000004</v>
      </c>
      <c r="E104" s="3189">
        <f>70+20</f>
        <v>90</v>
      </c>
      <c r="F104" s="3189">
        <f>100+120</f>
        <v>220</v>
      </c>
      <c r="G104" s="3189"/>
      <c r="H104" s="3189">
        <v>897.65</v>
      </c>
      <c r="I104" s="3189">
        <v>285.31</v>
      </c>
      <c r="J104" s="3189">
        <v>50</v>
      </c>
      <c r="K104" s="3189"/>
      <c r="L104" s="3189">
        <v>8</v>
      </c>
      <c r="M104" s="3189">
        <v>3</v>
      </c>
      <c r="N104" s="3189">
        <v>1</v>
      </c>
      <c r="O104" s="3189">
        <v>30</v>
      </c>
      <c r="P104" s="3189">
        <v>4191.8999999999996</v>
      </c>
    </row>
    <row r="105" spans="1:16" hidden="1">
      <c r="A105" s="3188" t="s">
        <v>3161</v>
      </c>
      <c r="B105" s="3188" t="s">
        <v>3176</v>
      </c>
      <c r="C105" s="3189">
        <f t="shared" si="3"/>
        <v>5398.7100000000009</v>
      </c>
      <c r="D105" s="3189">
        <v>4168.8</v>
      </c>
      <c r="E105" s="3189"/>
      <c r="F105" s="3189"/>
      <c r="G105" s="3189"/>
      <c r="H105" s="3189">
        <v>1062.98</v>
      </c>
      <c r="I105" s="3189">
        <v>166.93</v>
      </c>
      <c r="J105" s="3189"/>
      <c r="K105" s="3189"/>
      <c r="L105" s="3189">
        <v>8</v>
      </c>
      <c r="M105" s="3189">
        <v>3</v>
      </c>
      <c r="N105" s="3189">
        <v>1</v>
      </c>
      <c r="O105" s="3189">
        <v>28</v>
      </c>
      <c r="P105" s="3189">
        <v>1364</v>
      </c>
    </row>
    <row r="106" spans="1:16" hidden="1">
      <c r="A106" s="3188" t="s">
        <v>3162</v>
      </c>
      <c r="B106" s="3188" t="s">
        <v>3176</v>
      </c>
      <c r="C106" s="3189">
        <f t="shared" si="3"/>
        <v>5398.7100000000009</v>
      </c>
      <c r="D106" s="3189">
        <v>4168.8</v>
      </c>
      <c r="E106" s="3189"/>
      <c r="F106" s="3189"/>
      <c r="G106" s="3189"/>
      <c r="H106" s="3189">
        <v>1062.98</v>
      </c>
      <c r="I106" s="3189">
        <v>166.93</v>
      </c>
      <c r="J106" s="3189"/>
      <c r="K106" s="3189"/>
      <c r="L106" s="3189">
        <v>8</v>
      </c>
      <c r="M106" s="3189">
        <v>3</v>
      </c>
      <c r="N106" s="3189">
        <v>1</v>
      </c>
      <c r="O106" s="3189">
        <v>28</v>
      </c>
      <c r="P106" s="3189">
        <v>0</v>
      </c>
    </row>
    <row r="107" spans="1:16" hidden="1">
      <c r="A107" s="3188" t="s">
        <v>3175</v>
      </c>
      <c r="B107" s="3188" t="s">
        <v>3176</v>
      </c>
      <c r="C107" s="3189">
        <f t="shared" si="3"/>
        <v>5398.7100000000009</v>
      </c>
      <c r="D107" s="3189">
        <v>4168.8</v>
      </c>
      <c r="E107" s="3189"/>
      <c r="F107" s="3189"/>
      <c r="G107" s="3189"/>
      <c r="H107" s="3189">
        <v>1062.98</v>
      </c>
      <c r="I107" s="3189">
        <v>166.93</v>
      </c>
      <c r="J107" s="3189"/>
      <c r="K107" s="3189"/>
      <c r="L107" s="3189">
        <v>8</v>
      </c>
      <c r="M107" s="3189">
        <v>3</v>
      </c>
      <c r="N107" s="3189">
        <v>1</v>
      </c>
      <c r="O107" s="3189">
        <v>28</v>
      </c>
      <c r="P107" s="3189">
        <v>3582.1</v>
      </c>
    </row>
    <row r="108" spans="1:16" hidden="1">
      <c r="A108" s="3188" t="s">
        <v>3182</v>
      </c>
      <c r="B108" s="3188" t="s">
        <v>3183</v>
      </c>
      <c r="C108" s="3189">
        <f t="shared" si="3"/>
        <v>1000</v>
      </c>
      <c r="D108" s="3189"/>
      <c r="E108" s="3189"/>
      <c r="F108" s="3189">
        <v>1000</v>
      </c>
      <c r="G108" s="3189"/>
      <c r="H108" s="3189"/>
      <c r="I108" s="3189"/>
      <c r="J108" s="3189"/>
      <c r="K108" s="3189"/>
      <c r="L108" s="3189"/>
      <c r="M108" s="3189"/>
      <c r="N108" s="3189"/>
      <c r="O108" s="3189"/>
      <c r="P108" s="3189"/>
    </row>
    <row r="109" spans="1:16" hidden="1">
      <c r="A109" s="3188" t="s">
        <v>3163</v>
      </c>
      <c r="B109" s="3189"/>
      <c r="C109" s="3189">
        <f>SUM(C100:C108)</f>
        <v>58492.749999999993</v>
      </c>
      <c r="D109" s="3189">
        <f>SUM(D100:D108)</f>
        <v>42524.340000000011</v>
      </c>
      <c r="E109" s="3189">
        <f>SUM(E100:E108)</f>
        <v>168</v>
      </c>
      <c r="F109" s="3189">
        <f t="shared" ref="F109:K109" si="4">SUM(F100:F108)</f>
        <v>1870</v>
      </c>
      <c r="G109" s="3189">
        <f t="shared" si="4"/>
        <v>250</v>
      </c>
      <c r="H109" s="3189">
        <f t="shared" si="4"/>
        <v>10172.129999999999</v>
      </c>
      <c r="I109" s="3189">
        <f t="shared" si="4"/>
        <v>3228.2799999999997</v>
      </c>
      <c r="J109" s="3189">
        <f t="shared" si="4"/>
        <v>50</v>
      </c>
      <c r="K109" s="3189">
        <f t="shared" si="4"/>
        <v>230</v>
      </c>
      <c r="L109" s="3189"/>
      <c r="M109" s="3189"/>
      <c r="N109" s="3189"/>
      <c r="O109" s="3189"/>
      <c r="P109" s="3189">
        <f>SUM(P100:P108)</f>
        <v>31676.1</v>
      </c>
    </row>
    <row r="111" spans="1:16" s="3249" customFormat="1">
      <c r="B111" s="3250" t="s">
        <v>3219</v>
      </c>
      <c r="C111" s="3249">
        <v>64089.62</v>
      </c>
    </row>
    <row r="112" spans="1:16">
      <c r="B112" s="3204" t="s">
        <v>3220</v>
      </c>
      <c r="C112">
        <v>91043.21</v>
      </c>
    </row>
    <row r="113" spans="1:13">
      <c r="B113" s="3204"/>
      <c r="C113" s="3189"/>
      <c r="D113" s="3188" t="s">
        <v>3062</v>
      </c>
      <c r="E113" s="3189"/>
      <c r="F113" s="3188" t="s">
        <v>3226</v>
      </c>
      <c r="G113" s="3189"/>
      <c r="H113" s="3189"/>
      <c r="I113" s="3189"/>
    </row>
    <row r="114" spans="1:13">
      <c r="B114" s="3187" t="s">
        <v>3227</v>
      </c>
      <c r="C114" s="3188" t="s">
        <v>3217</v>
      </c>
      <c r="D114" s="3188" t="s">
        <v>3218</v>
      </c>
      <c r="E114" s="3188" t="s">
        <v>3168</v>
      </c>
      <c r="F114" s="3188" t="s">
        <v>3222</v>
      </c>
      <c r="G114" s="3188" t="s">
        <v>3223</v>
      </c>
      <c r="H114" s="3188" t="s">
        <v>3168</v>
      </c>
      <c r="I114" s="3188" t="s">
        <v>3224</v>
      </c>
      <c r="L114" s="3185" t="s">
        <v>3171</v>
      </c>
    </row>
    <row r="115" spans="1:13">
      <c r="B115" s="3174">
        <f>SUM(C115:I115)</f>
        <v>168826</v>
      </c>
      <c r="C115" s="3188">
        <f>64616-D115</f>
        <v>40845.619999999995</v>
      </c>
      <c r="D115" s="3189">
        <v>23770.38</v>
      </c>
      <c r="E115" s="3189">
        <f>78</f>
        <v>78</v>
      </c>
      <c r="F115" s="3189">
        <v>64403</v>
      </c>
      <c r="G115" s="3189">
        <f>990</f>
        <v>990</v>
      </c>
      <c r="H115" s="3189">
        <f>757+10933</f>
        <v>11690</v>
      </c>
      <c r="I115" s="3189">
        <f>31217-4168</f>
        <v>27049</v>
      </c>
      <c r="K115" s="3185" t="s">
        <v>3225</v>
      </c>
      <c r="L115">
        <f>36+4168</f>
        <v>4204</v>
      </c>
      <c r="M115">
        <f>B115+L115</f>
        <v>173030</v>
      </c>
    </row>
    <row r="116" spans="1:13">
      <c r="C116" s="3185" t="s">
        <v>3273</v>
      </c>
      <c r="D116" s="3185" t="s">
        <v>3274</v>
      </c>
      <c r="E116" s="3185" t="s">
        <v>3275</v>
      </c>
      <c r="F116" s="3232" t="s">
        <v>3276</v>
      </c>
      <c r="K116">
        <f>I115/684</f>
        <v>39.545321637426902</v>
      </c>
    </row>
    <row r="117" spans="1:13">
      <c r="C117">
        <v>37366</v>
      </c>
      <c r="D117">
        <v>27250</v>
      </c>
      <c r="E117">
        <v>3356</v>
      </c>
      <c r="F117">
        <f>F115-E117</f>
        <v>61047</v>
      </c>
    </row>
    <row r="119" spans="1:13">
      <c r="C119">
        <f>C111+C112</f>
        <v>155132.83000000002</v>
      </c>
    </row>
    <row r="120" spans="1:13">
      <c r="A120" s="3187" t="s">
        <v>3302</v>
      </c>
      <c r="B120" s="3187" t="s">
        <v>3312</v>
      </c>
      <c r="C120" s="3174"/>
      <c r="D120" s="3187" t="s">
        <v>3061</v>
      </c>
      <c r="E120" s="3187"/>
      <c r="F120" s="3187" t="s">
        <v>3063</v>
      </c>
      <c r="G120" s="3187"/>
      <c r="H120" s="3174"/>
      <c r="I120" s="3174"/>
      <c r="J120" s="3174"/>
      <c r="K120" s="3174"/>
    </row>
    <row r="121" spans="1:13">
      <c r="A121" s="3187"/>
      <c r="B121" s="3174"/>
      <c r="C121" s="3187" t="s">
        <v>3310</v>
      </c>
      <c r="D121" s="3187" t="s">
        <v>923</v>
      </c>
      <c r="E121" s="3187" t="s">
        <v>3303</v>
      </c>
      <c r="F121" s="3187" t="s">
        <v>3072</v>
      </c>
      <c r="G121" s="3187" t="s">
        <v>3304</v>
      </c>
      <c r="H121" s="3187" t="s">
        <v>3305</v>
      </c>
      <c r="I121" s="3187" t="s">
        <v>3306</v>
      </c>
      <c r="J121" s="3187" t="s">
        <v>3307</v>
      </c>
      <c r="K121" s="3187" t="s">
        <v>3308</v>
      </c>
    </row>
    <row r="122" spans="1:13">
      <c r="A122" s="3187" t="s">
        <v>3311</v>
      </c>
      <c r="B122" s="3187" t="s">
        <v>3309</v>
      </c>
      <c r="C122">
        <f>D122+E122+F122+G122</f>
        <v>1226.19</v>
      </c>
      <c r="D122">
        <v>423.44</v>
      </c>
      <c r="F122">
        <v>729.25</v>
      </c>
      <c r="G122">
        <v>73.5</v>
      </c>
      <c r="H122">
        <v>2</v>
      </c>
      <c r="I122">
        <v>3</v>
      </c>
      <c r="J122">
        <v>1</v>
      </c>
      <c r="K122">
        <v>3</v>
      </c>
    </row>
    <row r="123" spans="1:13">
      <c r="A123" s="3185" t="s">
        <v>3313</v>
      </c>
      <c r="B123" s="3187" t="s">
        <v>3309</v>
      </c>
      <c r="C123">
        <f t="shared" ref="C123:C179" si="5">D123+E123+F123+G123</f>
        <v>2411.12</v>
      </c>
      <c r="D123">
        <v>868.45</v>
      </c>
      <c r="F123">
        <v>1346.67</v>
      </c>
      <c r="G123">
        <v>196</v>
      </c>
      <c r="H123">
        <v>2</v>
      </c>
      <c r="I123">
        <v>3</v>
      </c>
      <c r="J123">
        <v>1</v>
      </c>
      <c r="K123">
        <v>8</v>
      </c>
    </row>
    <row r="124" spans="1:13">
      <c r="A124" s="3187" t="s">
        <v>3314</v>
      </c>
      <c r="B124" s="3187" t="s">
        <v>3309</v>
      </c>
      <c r="C124">
        <f t="shared" si="5"/>
        <v>2411.12</v>
      </c>
      <c r="D124">
        <v>868.45</v>
      </c>
      <c r="F124">
        <v>1346.67</v>
      </c>
      <c r="G124">
        <v>196</v>
      </c>
      <c r="H124">
        <v>2</v>
      </c>
      <c r="I124">
        <v>3</v>
      </c>
      <c r="J124">
        <v>1</v>
      </c>
      <c r="K124">
        <v>8</v>
      </c>
    </row>
    <row r="125" spans="1:13">
      <c r="A125" s="3187" t="s">
        <v>3315</v>
      </c>
      <c r="B125" s="3187" t="s">
        <v>3309</v>
      </c>
      <c r="C125">
        <f t="shared" si="5"/>
        <v>2411.12</v>
      </c>
      <c r="D125">
        <v>868.45</v>
      </c>
      <c r="F125">
        <v>1346.67</v>
      </c>
      <c r="G125">
        <v>196</v>
      </c>
      <c r="H125">
        <v>2</v>
      </c>
      <c r="I125">
        <v>3</v>
      </c>
      <c r="J125">
        <v>1</v>
      </c>
      <c r="K125">
        <v>8</v>
      </c>
    </row>
    <row r="126" spans="1:13">
      <c r="A126" s="3187" t="s">
        <v>3316</v>
      </c>
      <c r="B126" s="3187" t="s">
        <v>3309</v>
      </c>
      <c r="C126">
        <f t="shared" si="5"/>
        <v>932.81</v>
      </c>
      <c r="D126">
        <v>337.54</v>
      </c>
      <c r="F126">
        <v>521.77</v>
      </c>
      <c r="G126">
        <v>73.5</v>
      </c>
      <c r="H126">
        <v>2</v>
      </c>
      <c r="I126">
        <v>3</v>
      </c>
      <c r="J126">
        <v>1</v>
      </c>
      <c r="K126">
        <v>3</v>
      </c>
    </row>
    <row r="127" spans="1:13">
      <c r="A127" s="3187" t="s">
        <v>3317</v>
      </c>
      <c r="B127" s="3187" t="s">
        <v>3309</v>
      </c>
      <c r="C127">
        <f t="shared" si="5"/>
        <v>1241.49</v>
      </c>
      <c r="D127">
        <v>449.6</v>
      </c>
      <c r="F127">
        <v>693.89</v>
      </c>
      <c r="G127">
        <v>98</v>
      </c>
      <c r="H127">
        <v>2</v>
      </c>
      <c r="I127">
        <v>3</v>
      </c>
      <c r="J127">
        <v>1</v>
      </c>
      <c r="K127">
        <v>4</v>
      </c>
    </row>
    <row r="128" spans="1:13">
      <c r="A128" s="3187" t="s">
        <v>3318</v>
      </c>
      <c r="B128" s="3187" t="s">
        <v>3309</v>
      </c>
      <c r="C128">
        <f t="shared" si="5"/>
        <v>2411.12</v>
      </c>
      <c r="D128">
        <v>868.45</v>
      </c>
      <c r="F128">
        <v>1346.67</v>
      </c>
      <c r="G128">
        <v>196</v>
      </c>
      <c r="H128">
        <v>2</v>
      </c>
      <c r="I128">
        <v>3</v>
      </c>
      <c r="J128">
        <v>1</v>
      </c>
      <c r="K128">
        <v>8</v>
      </c>
    </row>
    <row r="129" spans="1:11">
      <c r="A129" s="3187" t="s">
        <v>3319</v>
      </c>
      <c r="B129" s="3187" t="s">
        <v>3309</v>
      </c>
      <c r="C129">
        <f t="shared" si="5"/>
        <v>2411.12</v>
      </c>
      <c r="D129">
        <v>868.45</v>
      </c>
      <c r="F129">
        <v>1346.67</v>
      </c>
      <c r="G129">
        <v>196</v>
      </c>
      <c r="H129">
        <v>2</v>
      </c>
      <c r="I129">
        <v>3</v>
      </c>
      <c r="J129">
        <v>1</v>
      </c>
      <c r="K129">
        <v>8</v>
      </c>
    </row>
    <row r="130" spans="1:11">
      <c r="A130" s="3187" t="s">
        <v>3320</v>
      </c>
      <c r="B130" s="3187" t="s">
        <v>3309</v>
      </c>
      <c r="C130">
        <f t="shared" si="5"/>
        <v>2411.12</v>
      </c>
      <c r="D130">
        <v>868.45</v>
      </c>
      <c r="F130">
        <v>1346.67</v>
      </c>
      <c r="G130">
        <v>196</v>
      </c>
      <c r="H130">
        <v>2</v>
      </c>
      <c r="I130">
        <v>3</v>
      </c>
      <c r="J130">
        <v>1</v>
      </c>
      <c r="K130">
        <v>8</v>
      </c>
    </row>
    <row r="131" spans="1:11">
      <c r="A131" s="3187" t="s">
        <v>3321</v>
      </c>
      <c r="B131" s="3187" t="s">
        <v>3309</v>
      </c>
      <c r="C131">
        <f t="shared" si="5"/>
        <v>2411.12</v>
      </c>
      <c r="D131">
        <v>868.45</v>
      </c>
      <c r="F131">
        <v>1346.67</v>
      </c>
      <c r="G131">
        <v>196</v>
      </c>
      <c r="H131">
        <v>2</v>
      </c>
      <c r="I131">
        <v>3</v>
      </c>
      <c r="J131">
        <v>1</v>
      </c>
      <c r="K131">
        <v>8</v>
      </c>
    </row>
    <row r="132" spans="1:11">
      <c r="A132" s="3187" t="s">
        <v>3322</v>
      </c>
      <c r="B132" s="3187" t="s">
        <v>3309</v>
      </c>
      <c r="C132">
        <f t="shared" si="5"/>
        <v>1632.62</v>
      </c>
      <c r="D132">
        <v>564.07000000000005</v>
      </c>
      <c r="F132">
        <v>970.55</v>
      </c>
      <c r="G132">
        <v>98</v>
      </c>
      <c r="H132">
        <v>2</v>
      </c>
      <c r="I132">
        <v>3</v>
      </c>
      <c r="J132">
        <v>1</v>
      </c>
      <c r="K132">
        <v>4</v>
      </c>
    </row>
    <row r="133" spans="1:11">
      <c r="A133" s="3187" t="s">
        <v>3323</v>
      </c>
      <c r="B133" s="3187" t="s">
        <v>3309</v>
      </c>
      <c r="C133">
        <f t="shared" si="5"/>
        <v>1632.62</v>
      </c>
      <c r="D133">
        <v>564.07000000000005</v>
      </c>
      <c r="F133">
        <v>970.55</v>
      </c>
      <c r="G133">
        <v>98</v>
      </c>
      <c r="H133">
        <v>2</v>
      </c>
      <c r="I133">
        <v>3</v>
      </c>
      <c r="J133">
        <v>1</v>
      </c>
      <c r="K133">
        <v>4</v>
      </c>
    </row>
    <row r="134" spans="1:11">
      <c r="A134" s="3187" t="s">
        <v>3324</v>
      </c>
      <c r="B134" s="3187" t="s">
        <v>3309</v>
      </c>
      <c r="C134">
        <f t="shared" si="5"/>
        <v>2407.25</v>
      </c>
      <c r="D134">
        <v>868.45</v>
      </c>
      <c r="F134">
        <v>1342.8</v>
      </c>
      <c r="G134">
        <v>196</v>
      </c>
      <c r="H134">
        <v>2</v>
      </c>
      <c r="I134">
        <v>3</v>
      </c>
      <c r="J134">
        <v>1</v>
      </c>
      <c r="K134">
        <v>8</v>
      </c>
    </row>
    <row r="135" spans="1:11">
      <c r="A135" s="3187" t="s">
        <v>3325</v>
      </c>
      <c r="B135" s="3187" t="s">
        <v>3309</v>
      </c>
      <c r="C135">
        <f t="shared" si="5"/>
        <v>688.92000000000007</v>
      </c>
      <c r="D135">
        <v>225.49</v>
      </c>
      <c r="F135">
        <v>414.43</v>
      </c>
      <c r="G135">
        <v>49</v>
      </c>
      <c r="H135">
        <v>2</v>
      </c>
      <c r="I135">
        <v>3</v>
      </c>
      <c r="J135">
        <v>1</v>
      </c>
      <c r="K135">
        <v>2</v>
      </c>
    </row>
    <row r="136" spans="1:11">
      <c r="A136" s="3187" t="s">
        <v>3326</v>
      </c>
      <c r="B136" s="3187" t="s">
        <v>3309</v>
      </c>
      <c r="C136">
        <f t="shared" si="5"/>
        <v>1027.96</v>
      </c>
      <c r="D136">
        <v>337.54</v>
      </c>
      <c r="F136">
        <v>616.91999999999996</v>
      </c>
      <c r="G136">
        <v>73.5</v>
      </c>
      <c r="H136">
        <v>2</v>
      </c>
      <c r="I136">
        <v>3</v>
      </c>
      <c r="J136">
        <v>1</v>
      </c>
      <c r="K136">
        <v>3</v>
      </c>
    </row>
    <row r="137" spans="1:11">
      <c r="A137" s="3187" t="s">
        <v>3327</v>
      </c>
      <c r="B137" s="3187" t="s">
        <v>3309</v>
      </c>
      <c r="C137">
        <f t="shared" si="5"/>
        <v>1807.52</v>
      </c>
      <c r="D137">
        <v>652</v>
      </c>
      <c r="F137">
        <v>1008.52</v>
      </c>
      <c r="G137">
        <v>147</v>
      </c>
      <c r="H137">
        <v>2</v>
      </c>
      <c r="I137">
        <v>3</v>
      </c>
      <c r="J137">
        <v>1</v>
      </c>
      <c r="K137">
        <v>6</v>
      </c>
    </row>
    <row r="138" spans="1:11">
      <c r="A138" s="3187" t="s">
        <v>3328</v>
      </c>
      <c r="B138" s="3187" t="s">
        <v>3309</v>
      </c>
      <c r="C138">
        <f t="shared" si="5"/>
        <v>1207.9000000000001</v>
      </c>
      <c r="D138">
        <v>435.55</v>
      </c>
      <c r="F138">
        <v>674.35</v>
      </c>
      <c r="G138">
        <v>98</v>
      </c>
      <c r="H138">
        <v>2</v>
      </c>
      <c r="I138">
        <v>3</v>
      </c>
      <c r="J138">
        <v>1</v>
      </c>
      <c r="K138">
        <v>4</v>
      </c>
    </row>
    <row r="139" spans="1:11">
      <c r="A139" s="3187" t="s">
        <v>3329</v>
      </c>
      <c r="B139" s="3187" t="s">
        <v>3309</v>
      </c>
      <c r="C139">
        <f t="shared" si="5"/>
        <v>1516.65</v>
      </c>
      <c r="D139">
        <v>547.6</v>
      </c>
      <c r="F139">
        <v>846.55</v>
      </c>
      <c r="G139">
        <v>122.5</v>
      </c>
      <c r="H139">
        <v>2</v>
      </c>
      <c r="I139">
        <v>3</v>
      </c>
      <c r="J139">
        <v>1</v>
      </c>
      <c r="K139">
        <v>5</v>
      </c>
    </row>
    <row r="140" spans="1:11">
      <c r="A140" s="3187" t="s">
        <v>3330</v>
      </c>
      <c r="B140" s="3187" t="s">
        <v>3309</v>
      </c>
      <c r="C140">
        <f t="shared" si="5"/>
        <v>1207.9000000000001</v>
      </c>
      <c r="D140">
        <v>435.55</v>
      </c>
      <c r="F140">
        <v>674.35</v>
      </c>
      <c r="G140">
        <v>98</v>
      </c>
      <c r="H140">
        <v>2</v>
      </c>
      <c r="I140">
        <v>3</v>
      </c>
      <c r="J140">
        <v>1</v>
      </c>
      <c r="K140">
        <v>4</v>
      </c>
    </row>
    <row r="141" spans="1:11">
      <c r="A141" s="3187" t="s">
        <v>3331</v>
      </c>
      <c r="B141" s="3187" t="s">
        <v>3309</v>
      </c>
      <c r="C141">
        <f t="shared" si="5"/>
        <v>1904.75</v>
      </c>
      <c r="D141">
        <v>652</v>
      </c>
      <c r="F141">
        <v>1105.75</v>
      </c>
      <c r="G141">
        <v>147</v>
      </c>
      <c r="H141">
        <v>2</v>
      </c>
      <c r="I141">
        <v>3</v>
      </c>
      <c r="J141">
        <v>1</v>
      </c>
      <c r="K141">
        <v>6</v>
      </c>
    </row>
    <row r="142" spans="1:11">
      <c r="A142" s="3187" t="s">
        <v>3332</v>
      </c>
      <c r="B142" s="3187" t="s">
        <v>3309</v>
      </c>
      <c r="C142">
        <f t="shared" si="5"/>
        <v>1272.3499999999999</v>
      </c>
      <c r="D142">
        <v>435.55</v>
      </c>
      <c r="F142">
        <v>738.8</v>
      </c>
      <c r="G142">
        <v>98</v>
      </c>
      <c r="H142">
        <v>2</v>
      </c>
      <c r="I142">
        <v>3</v>
      </c>
      <c r="J142">
        <v>1</v>
      </c>
      <c r="K142">
        <v>4</v>
      </c>
    </row>
    <row r="143" spans="1:11">
      <c r="A143" s="3187" t="s">
        <v>3333</v>
      </c>
      <c r="B143" s="3187" t="s">
        <v>3309</v>
      </c>
      <c r="C143">
        <f t="shared" si="5"/>
        <v>1207.9000000000001</v>
      </c>
      <c r="D143">
        <v>435.55</v>
      </c>
      <c r="F143">
        <v>674.35</v>
      </c>
      <c r="G143">
        <v>98</v>
      </c>
      <c r="H143">
        <v>2</v>
      </c>
      <c r="I143">
        <v>3</v>
      </c>
      <c r="J143">
        <v>1</v>
      </c>
      <c r="K143">
        <v>4</v>
      </c>
    </row>
    <row r="144" spans="1:11">
      <c r="A144" s="3187" t="s">
        <v>3334</v>
      </c>
      <c r="B144" s="3187" t="s">
        <v>3309</v>
      </c>
      <c r="C144">
        <f t="shared" si="5"/>
        <v>2407.25</v>
      </c>
      <c r="D144">
        <v>868.45</v>
      </c>
      <c r="F144">
        <v>1342.8</v>
      </c>
      <c r="G144">
        <v>196</v>
      </c>
      <c r="H144">
        <v>2</v>
      </c>
      <c r="I144">
        <v>3</v>
      </c>
      <c r="J144">
        <v>1</v>
      </c>
      <c r="K144">
        <v>8</v>
      </c>
    </row>
    <row r="145" spans="1:11">
      <c r="A145" s="3187" t="s">
        <v>3335</v>
      </c>
      <c r="B145" s="3187" t="s">
        <v>3309</v>
      </c>
      <c r="C145">
        <f t="shared" si="5"/>
        <v>2116.77</v>
      </c>
      <c r="D145">
        <v>764.05</v>
      </c>
      <c r="F145">
        <v>1181.22</v>
      </c>
      <c r="G145">
        <v>171.5</v>
      </c>
      <c r="H145">
        <v>2</v>
      </c>
      <c r="I145">
        <v>3</v>
      </c>
      <c r="J145">
        <v>1</v>
      </c>
      <c r="K145">
        <v>7</v>
      </c>
    </row>
    <row r="146" spans="1:11">
      <c r="A146" s="3187" t="s">
        <v>3336</v>
      </c>
      <c r="B146" s="3187" t="s">
        <v>3309</v>
      </c>
      <c r="C146">
        <f t="shared" si="5"/>
        <v>1207.9000000000001</v>
      </c>
      <c r="D146">
        <v>435.55</v>
      </c>
      <c r="F146">
        <v>674.35</v>
      </c>
      <c r="G146">
        <v>98</v>
      </c>
      <c r="H146">
        <v>2</v>
      </c>
      <c r="I146">
        <v>3</v>
      </c>
      <c r="J146">
        <v>1</v>
      </c>
      <c r="K146">
        <v>4</v>
      </c>
    </row>
    <row r="147" spans="1:11">
      <c r="A147" s="3187" t="s">
        <v>3337</v>
      </c>
      <c r="B147" s="3187" t="s">
        <v>3309</v>
      </c>
      <c r="C147">
        <f t="shared" si="5"/>
        <v>1549.5900000000001</v>
      </c>
      <c r="D147">
        <v>547.6</v>
      </c>
      <c r="F147">
        <v>879.49</v>
      </c>
      <c r="G147">
        <v>122.5</v>
      </c>
      <c r="H147">
        <v>2</v>
      </c>
      <c r="I147">
        <v>3</v>
      </c>
      <c r="J147">
        <v>1</v>
      </c>
      <c r="K147">
        <v>5</v>
      </c>
    </row>
    <row r="148" spans="1:11">
      <c r="A148" s="3187" t="s">
        <v>3338</v>
      </c>
      <c r="B148" s="3187" t="s">
        <v>3309</v>
      </c>
      <c r="C148">
        <f t="shared" si="5"/>
        <v>1904.75</v>
      </c>
      <c r="D148">
        <v>652</v>
      </c>
      <c r="F148">
        <v>1105.75</v>
      </c>
      <c r="G148">
        <v>147</v>
      </c>
      <c r="H148">
        <v>2</v>
      </c>
      <c r="I148">
        <v>3</v>
      </c>
      <c r="J148">
        <v>1</v>
      </c>
      <c r="K148">
        <v>6</v>
      </c>
    </row>
    <row r="149" spans="1:11">
      <c r="A149" s="3187" t="s">
        <v>3339</v>
      </c>
      <c r="B149" s="3187" t="s">
        <v>3309</v>
      </c>
      <c r="C149">
        <f t="shared" si="5"/>
        <v>1807.52</v>
      </c>
      <c r="D149">
        <v>652</v>
      </c>
      <c r="F149">
        <v>1008.52</v>
      </c>
      <c r="G149">
        <v>147</v>
      </c>
      <c r="H149">
        <v>2</v>
      </c>
      <c r="I149">
        <v>3</v>
      </c>
      <c r="J149">
        <v>1</v>
      </c>
      <c r="K149">
        <v>6</v>
      </c>
    </row>
    <row r="150" spans="1:11">
      <c r="A150" s="3187" t="s">
        <v>3340</v>
      </c>
      <c r="B150" s="3187" t="s">
        <v>3309</v>
      </c>
      <c r="C150">
        <f t="shared" si="5"/>
        <v>1207.9000000000001</v>
      </c>
      <c r="D150">
        <v>435.55</v>
      </c>
      <c r="F150">
        <v>674.35</v>
      </c>
      <c r="G150">
        <v>98</v>
      </c>
      <c r="H150">
        <v>2</v>
      </c>
      <c r="I150">
        <v>3</v>
      </c>
      <c r="J150">
        <v>1</v>
      </c>
      <c r="K150">
        <v>4</v>
      </c>
    </row>
    <row r="151" spans="1:11">
      <c r="A151" s="3187" t="s">
        <v>3341</v>
      </c>
      <c r="B151" s="3187" t="s">
        <v>3309</v>
      </c>
      <c r="C151">
        <f t="shared" si="5"/>
        <v>1226.19</v>
      </c>
      <c r="D151">
        <v>423.44</v>
      </c>
      <c r="F151">
        <v>729.25</v>
      </c>
      <c r="G151">
        <v>73.5</v>
      </c>
      <c r="H151">
        <v>2</v>
      </c>
      <c r="I151">
        <v>3</v>
      </c>
      <c r="J151">
        <v>1</v>
      </c>
      <c r="K151">
        <v>3</v>
      </c>
    </row>
    <row r="152" spans="1:11">
      <c r="A152" s="3187" t="s">
        <v>3342</v>
      </c>
      <c r="B152" s="3187" t="s">
        <v>3309</v>
      </c>
      <c r="C152">
        <f t="shared" si="5"/>
        <v>819.96</v>
      </c>
      <c r="D152">
        <v>282.8</v>
      </c>
      <c r="F152">
        <v>488.16</v>
      </c>
      <c r="G152">
        <v>49</v>
      </c>
      <c r="H152">
        <v>2</v>
      </c>
      <c r="I152">
        <v>3</v>
      </c>
      <c r="J152">
        <v>1</v>
      </c>
      <c r="K152">
        <v>2</v>
      </c>
    </row>
    <row r="153" spans="1:11">
      <c r="A153" s="3187" t="s">
        <v>3343</v>
      </c>
      <c r="B153" s="3187" t="s">
        <v>3309</v>
      </c>
      <c r="C153">
        <f t="shared" si="5"/>
        <v>1226.19</v>
      </c>
      <c r="D153">
        <v>423.44</v>
      </c>
      <c r="F153">
        <v>729.25</v>
      </c>
      <c r="G153">
        <v>73.5</v>
      </c>
      <c r="H153">
        <v>2</v>
      </c>
      <c r="I153">
        <v>3</v>
      </c>
      <c r="J153">
        <v>1</v>
      </c>
      <c r="K153">
        <v>3</v>
      </c>
    </row>
    <row r="154" spans="1:11">
      <c r="A154" s="3187" t="s">
        <v>3344</v>
      </c>
      <c r="B154" s="3187" t="s">
        <v>3309</v>
      </c>
      <c r="C154">
        <f t="shared" si="5"/>
        <v>1807.52</v>
      </c>
      <c r="D154">
        <v>652</v>
      </c>
      <c r="F154">
        <v>1008.52</v>
      </c>
      <c r="G154">
        <v>147</v>
      </c>
      <c r="H154">
        <v>2</v>
      </c>
      <c r="I154">
        <v>3</v>
      </c>
      <c r="J154">
        <v>1</v>
      </c>
      <c r="K154">
        <v>6</v>
      </c>
    </row>
    <row r="155" spans="1:11">
      <c r="A155" s="3187" t="s">
        <v>3345</v>
      </c>
      <c r="B155" s="3187" t="s">
        <v>3309</v>
      </c>
      <c r="C155">
        <f t="shared" si="5"/>
        <v>1369.02</v>
      </c>
      <c r="D155">
        <v>449.6</v>
      </c>
      <c r="F155">
        <v>821.42</v>
      </c>
      <c r="G155">
        <v>98</v>
      </c>
      <c r="H155">
        <v>2</v>
      </c>
      <c r="I155">
        <v>3</v>
      </c>
      <c r="J155">
        <v>1</v>
      </c>
      <c r="K155">
        <v>4</v>
      </c>
    </row>
    <row r="156" spans="1:11">
      <c r="A156" s="3187" t="s">
        <v>3346</v>
      </c>
      <c r="B156" s="3187" t="s">
        <v>3309</v>
      </c>
      <c r="C156">
        <f t="shared" si="5"/>
        <v>3039.07</v>
      </c>
      <c r="D156">
        <v>1084.9000000000001</v>
      </c>
      <c r="F156">
        <v>1709.17</v>
      </c>
      <c r="G156">
        <v>245</v>
      </c>
      <c r="H156">
        <v>2</v>
      </c>
      <c r="I156">
        <v>3</v>
      </c>
      <c r="J156">
        <v>1</v>
      </c>
      <c r="K156">
        <v>10</v>
      </c>
    </row>
    <row r="157" spans="1:11">
      <c r="A157" s="3187" t="s">
        <v>3347</v>
      </c>
      <c r="B157" s="3187" t="s">
        <v>3309</v>
      </c>
      <c r="C157">
        <f t="shared" si="5"/>
        <v>2720.66</v>
      </c>
      <c r="D157">
        <v>981.76</v>
      </c>
      <c r="F157">
        <v>1518.4</v>
      </c>
      <c r="G157">
        <v>220.5</v>
      </c>
      <c r="H157">
        <v>2</v>
      </c>
      <c r="I157">
        <v>3</v>
      </c>
      <c r="J157">
        <v>1</v>
      </c>
      <c r="K157">
        <v>9</v>
      </c>
    </row>
    <row r="158" spans="1:11">
      <c r="A158" s="3187" t="s">
        <v>3348</v>
      </c>
      <c r="B158" s="3187" t="s">
        <v>3309</v>
      </c>
      <c r="C158">
        <f t="shared" si="5"/>
        <v>3006.77</v>
      </c>
      <c r="D158">
        <v>1084.9000000000001</v>
      </c>
      <c r="F158">
        <v>1676.87</v>
      </c>
      <c r="G158">
        <v>245</v>
      </c>
      <c r="H158">
        <v>2</v>
      </c>
      <c r="I158">
        <v>3</v>
      </c>
      <c r="J158">
        <v>1</v>
      </c>
      <c r="K158">
        <v>10</v>
      </c>
    </row>
    <row r="159" spans="1:11">
      <c r="A159" s="3187" t="s">
        <v>3349</v>
      </c>
      <c r="B159" s="3187" t="s">
        <v>3309</v>
      </c>
      <c r="C159">
        <f t="shared" si="5"/>
        <v>1904.75</v>
      </c>
      <c r="D159">
        <v>652</v>
      </c>
      <c r="F159">
        <v>1105.75</v>
      </c>
      <c r="G159">
        <v>147</v>
      </c>
      <c r="H159">
        <v>2</v>
      </c>
      <c r="I159">
        <v>3</v>
      </c>
      <c r="J159">
        <v>1</v>
      </c>
      <c r="K159">
        <v>6</v>
      </c>
    </row>
    <row r="160" spans="1:11">
      <c r="A160" s="3187" t="s">
        <v>3350</v>
      </c>
      <c r="B160" s="3187" t="s">
        <v>3309</v>
      </c>
      <c r="C160">
        <f t="shared" si="5"/>
        <v>1872.39</v>
      </c>
      <c r="D160">
        <v>652</v>
      </c>
      <c r="F160">
        <v>1073.3900000000001</v>
      </c>
      <c r="G160">
        <v>147</v>
      </c>
      <c r="H160">
        <v>2</v>
      </c>
      <c r="I160">
        <v>3</v>
      </c>
      <c r="J160">
        <v>1</v>
      </c>
      <c r="K160">
        <v>6</v>
      </c>
    </row>
    <row r="161" spans="1:11">
      <c r="A161" s="3187" t="s">
        <v>3351</v>
      </c>
      <c r="B161" s="3187" t="s">
        <v>3309</v>
      </c>
      <c r="C161">
        <f t="shared" si="5"/>
        <v>1807.52</v>
      </c>
      <c r="D161">
        <v>652</v>
      </c>
      <c r="F161">
        <v>1008.52</v>
      </c>
      <c r="G161">
        <v>147</v>
      </c>
      <c r="H161">
        <v>2</v>
      </c>
      <c r="I161">
        <v>3</v>
      </c>
      <c r="J161">
        <v>1</v>
      </c>
      <c r="K161">
        <v>6</v>
      </c>
    </row>
    <row r="162" spans="1:11">
      <c r="A162" s="3187" t="s">
        <v>3352</v>
      </c>
      <c r="B162" s="3187" t="s">
        <v>3309</v>
      </c>
      <c r="C162">
        <f t="shared" si="5"/>
        <v>1516.26</v>
      </c>
      <c r="D162">
        <v>547.6</v>
      </c>
      <c r="F162">
        <v>846.16</v>
      </c>
      <c r="G162">
        <v>122.5</v>
      </c>
      <c r="H162">
        <v>2</v>
      </c>
      <c r="I162">
        <v>3</v>
      </c>
      <c r="J162">
        <v>1</v>
      </c>
      <c r="K162">
        <v>5</v>
      </c>
    </row>
    <row r="163" spans="1:11">
      <c r="A163" s="3187" t="s">
        <v>3353</v>
      </c>
      <c r="B163" s="3187" t="s">
        <v>3309</v>
      </c>
      <c r="C163">
        <f t="shared" si="5"/>
        <v>1807.52</v>
      </c>
      <c r="D163">
        <v>652</v>
      </c>
      <c r="F163">
        <v>1008.52</v>
      </c>
      <c r="G163">
        <v>147</v>
      </c>
      <c r="H163">
        <v>2</v>
      </c>
      <c r="I163">
        <v>3</v>
      </c>
      <c r="J163">
        <v>1</v>
      </c>
      <c r="K163">
        <v>6</v>
      </c>
    </row>
    <row r="164" spans="1:11">
      <c r="A164" s="3187" t="s">
        <v>3354</v>
      </c>
      <c r="B164" s="3187" t="s">
        <v>3309</v>
      </c>
      <c r="C164">
        <f t="shared" si="5"/>
        <v>1807.52</v>
      </c>
      <c r="D164">
        <v>652</v>
      </c>
      <c r="F164">
        <v>1008.52</v>
      </c>
      <c r="G164">
        <v>147</v>
      </c>
      <c r="H164">
        <v>2</v>
      </c>
      <c r="I164">
        <v>3</v>
      </c>
      <c r="J164">
        <v>1</v>
      </c>
      <c r="K164">
        <v>6</v>
      </c>
    </row>
    <row r="165" spans="1:11">
      <c r="A165" s="3187" t="s">
        <v>3355</v>
      </c>
      <c r="B165" s="3187" t="s">
        <v>3309</v>
      </c>
      <c r="C165">
        <f t="shared" si="5"/>
        <v>1807.52</v>
      </c>
      <c r="D165">
        <v>652</v>
      </c>
      <c r="F165">
        <v>1008.52</v>
      </c>
      <c r="G165">
        <v>147</v>
      </c>
      <c r="H165">
        <v>2</v>
      </c>
      <c r="I165">
        <v>3</v>
      </c>
      <c r="J165">
        <v>1</v>
      </c>
      <c r="K165">
        <v>6</v>
      </c>
    </row>
    <row r="166" spans="1:11">
      <c r="A166" s="3187" t="s">
        <v>3356</v>
      </c>
      <c r="B166" s="3187" t="s">
        <v>3309</v>
      </c>
      <c r="C166">
        <f t="shared" si="5"/>
        <v>1516.65</v>
      </c>
      <c r="D166">
        <v>547.6</v>
      </c>
      <c r="F166">
        <v>846.55</v>
      </c>
      <c r="G166">
        <v>122.5</v>
      </c>
      <c r="H166">
        <v>2</v>
      </c>
      <c r="I166">
        <v>3</v>
      </c>
      <c r="J166">
        <v>1</v>
      </c>
      <c r="K166">
        <v>5</v>
      </c>
    </row>
    <row r="167" spans="1:11">
      <c r="A167" s="3187" t="s">
        <v>3357</v>
      </c>
      <c r="B167" s="3187" t="s">
        <v>3309</v>
      </c>
      <c r="C167">
        <f t="shared" si="5"/>
        <v>1632.62</v>
      </c>
      <c r="D167">
        <v>564.07000000000005</v>
      </c>
      <c r="F167">
        <v>970.55</v>
      </c>
      <c r="G167">
        <v>98</v>
      </c>
      <c r="H167">
        <v>2</v>
      </c>
      <c r="I167">
        <v>3</v>
      </c>
      <c r="J167">
        <v>1</v>
      </c>
      <c r="K167">
        <v>4</v>
      </c>
    </row>
    <row r="168" spans="1:11">
      <c r="A168" s="3187" t="s">
        <v>3358</v>
      </c>
      <c r="B168" s="3187" t="s">
        <v>3309</v>
      </c>
      <c r="C168">
        <f t="shared" si="5"/>
        <v>1632.62</v>
      </c>
      <c r="D168">
        <v>564.07000000000005</v>
      </c>
      <c r="F168">
        <v>970.55</v>
      </c>
      <c r="G168">
        <v>98</v>
      </c>
      <c r="H168">
        <v>2</v>
      </c>
      <c r="I168">
        <v>3</v>
      </c>
      <c r="J168">
        <v>1</v>
      </c>
      <c r="K168">
        <v>4</v>
      </c>
    </row>
    <row r="169" spans="1:11">
      <c r="A169" s="3187" t="s">
        <v>3359</v>
      </c>
      <c r="B169" s="3187" t="s">
        <v>3309</v>
      </c>
      <c r="C169">
        <f t="shared" si="5"/>
        <v>2407.25</v>
      </c>
      <c r="D169">
        <v>868.45</v>
      </c>
      <c r="F169">
        <v>1342.8</v>
      </c>
      <c r="G169">
        <v>196</v>
      </c>
      <c r="H169">
        <v>2</v>
      </c>
      <c r="I169">
        <v>3</v>
      </c>
      <c r="J169">
        <v>1</v>
      </c>
      <c r="K169">
        <v>8</v>
      </c>
    </row>
    <row r="170" spans="1:11">
      <c r="A170" s="3187" t="s">
        <v>3360</v>
      </c>
      <c r="B170" s="3187" t="s">
        <v>3309</v>
      </c>
      <c r="C170">
        <f t="shared" si="5"/>
        <v>2407.25</v>
      </c>
      <c r="D170">
        <v>868.45</v>
      </c>
      <c r="F170">
        <v>1342.8</v>
      </c>
      <c r="G170">
        <v>196</v>
      </c>
      <c r="H170">
        <v>2</v>
      </c>
      <c r="I170">
        <v>3</v>
      </c>
      <c r="J170">
        <v>1</v>
      </c>
      <c r="K170">
        <v>8</v>
      </c>
    </row>
    <row r="171" spans="1:11">
      <c r="A171" s="3187" t="s">
        <v>3361</v>
      </c>
      <c r="B171" s="3187" t="s">
        <v>3309</v>
      </c>
      <c r="C171">
        <f t="shared" si="5"/>
        <v>2121.0500000000002</v>
      </c>
      <c r="D171">
        <v>765.31</v>
      </c>
      <c r="F171">
        <v>1184.24</v>
      </c>
      <c r="G171">
        <v>171.5</v>
      </c>
      <c r="H171">
        <v>2</v>
      </c>
      <c r="I171">
        <v>3</v>
      </c>
      <c r="J171">
        <v>1</v>
      </c>
      <c r="K171">
        <v>7</v>
      </c>
    </row>
    <row r="172" spans="1:11">
      <c r="A172" s="3187" t="s">
        <v>3362</v>
      </c>
      <c r="B172" s="3187" t="s">
        <v>3309</v>
      </c>
      <c r="C172">
        <f t="shared" si="5"/>
        <v>2536.59</v>
      </c>
      <c r="D172">
        <v>868.45</v>
      </c>
      <c r="F172">
        <v>1472.14</v>
      </c>
      <c r="G172">
        <v>196</v>
      </c>
      <c r="H172">
        <v>2</v>
      </c>
      <c r="I172">
        <v>3</v>
      </c>
      <c r="J172">
        <v>1</v>
      </c>
      <c r="K172">
        <v>8</v>
      </c>
    </row>
    <row r="173" spans="1:11">
      <c r="A173" s="3187" t="s">
        <v>3363</v>
      </c>
      <c r="B173" s="3187" t="s">
        <v>3309</v>
      </c>
      <c r="C173">
        <f t="shared" si="5"/>
        <v>2407.25</v>
      </c>
      <c r="D173">
        <v>868.45</v>
      </c>
      <c r="F173">
        <v>1342.8</v>
      </c>
      <c r="G173">
        <v>196</v>
      </c>
      <c r="H173">
        <v>2</v>
      </c>
      <c r="I173">
        <v>3</v>
      </c>
      <c r="J173">
        <v>1</v>
      </c>
      <c r="K173">
        <v>8</v>
      </c>
    </row>
    <row r="174" spans="1:11">
      <c r="A174" s="3187" t="s">
        <v>3364</v>
      </c>
      <c r="B174" s="3187" t="s">
        <v>3309</v>
      </c>
      <c r="C174">
        <f t="shared" si="5"/>
        <v>2407.25</v>
      </c>
      <c r="D174">
        <v>868.45</v>
      </c>
      <c r="F174">
        <v>1342.8</v>
      </c>
      <c r="G174">
        <v>196</v>
      </c>
      <c r="H174">
        <v>2</v>
      </c>
      <c r="I174">
        <v>3</v>
      </c>
      <c r="J174">
        <v>1</v>
      </c>
      <c r="K174">
        <v>8</v>
      </c>
    </row>
    <row r="175" spans="1:11">
      <c r="A175" s="3187" t="s">
        <v>3365</v>
      </c>
      <c r="B175" s="3187" t="s">
        <v>3309</v>
      </c>
      <c r="C175">
        <f t="shared" si="5"/>
        <v>2121.0500000000002</v>
      </c>
      <c r="D175">
        <v>765.31</v>
      </c>
      <c r="F175">
        <v>1184.24</v>
      </c>
      <c r="G175">
        <v>171.5</v>
      </c>
      <c r="H175">
        <v>2</v>
      </c>
      <c r="I175">
        <v>3</v>
      </c>
      <c r="J175">
        <v>1</v>
      </c>
      <c r="K175">
        <v>7</v>
      </c>
    </row>
    <row r="176" spans="1:11">
      <c r="A176" s="3187" t="s">
        <v>3366</v>
      </c>
      <c r="B176" s="3187" t="s">
        <v>3309</v>
      </c>
      <c r="C176">
        <f t="shared" si="5"/>
        <v>1239.5</v>
      </c>
      <c r="D176">
        <v>449.6</v>
      </c>
      <c r="F176">
        <v>691.9</v>
      </c>
      <c r="G176">
        <v>98</v>
      </c>
      <c r="H176">
        <v>2</v>
      </c>
      <c r="I176">
        <v>3</v>
      </c>
      <c r="J176">
        <v>1</v>
      </c>
      <c r="K176">
        <v>4</v>
      </c>
    </row>
    <row r="177" spans="1:13">
      <c r="A177" s="3187" t="s">
        <v>3367</v>
      </c>
      <c r="B177" s="3187" t="s">
        <v>3309</v>
      </c>
      <c r="C177">
        <f t="shared" si="5"/>
        <v>2407.25</v>
      </c>
      <c r="D177">
        <v>868.45</v>
      </c>
      <c r="F177">
        <v>1342.8</v>
      </c>
      <c r="G177">
        <v>196</v>
      </c>
      <c r="H177">
        <v>2</v>
      </c>
      <c r="I177">
        <v>3</v>
      </c>
      <c r="J177">
        <v>1</v>
      </c>
      <c r="K177">
        <v>8</v>
      </c>
    </row>
    <row r="178" spans="1:13">
      <c r="A178" s="3187" t="s">
        <v>3368</v>
      </c>
      <c r="B178" s="3187" t="s">
        <v>3309</v>
      </c>
      <c r="C178">
        <f t="shared" si="5"/>
        <v>1207.9000000000001</v>
      </c>
      <c r="D178">
        <v>435.55</v>
      </c>
      <c r="F178">
        <v>674.35</v>
      </c>
      <c r="G178">
        <v>98</v>
      </c>
      <c r="H178">
        <v>2</v>
      </c>
      <c r="I178">
        <v>3</v>
      </c>
      <c r="J178">
        <v>1</v>
      </c>
      <c r="K178">
        <v>4</v>
      </c>
    </row>
    <row r="179" spans="1:13">
      <c r="A179" s="3187" t="s">
        <v>3369</v>
      </c>
      <c r="B179" s="3187" t="s">
        <v>3309</v>
      </c>
      <c r="C179">
        <f t="shared" si="5"/>
        <v>1226.19</v>
      </c>
      <c r="D179">
        <v>423.44</v>
      </c>
      <c r="F179">
        <v>729.25</v>
      </c>
      <c r="G179">
        <v>73.5</v>
      </c>
      <c r="H179">
        <v>2</v>
      </c>
      <c r="I179">
        <v>3</v>
      </c>
      <c r="J179">
        <v>1</v>
      </c>
      <c r="K179">
        <v>3</v>
      </c>
    </row>
    <row r="180" spans="1:13">
      <c r="A180" s="3354" t="s">
        <v>3370</v>
      </c>
      <c r="B180" s="3355"/>
      <c r="C180">
        <f>SUM(C122:C179)</f>
        <v>105003.62999999998</v>
      </c>
      <c r="D180">
        <f>SUM(D122:D179)</f>
        <v>37366.439999999988</v>
      </c>
      <c r="F180">
        <f>SUM(F122:F179)</f>
        <v>59454.19</v>
      </c>
      <c r="G180">
        <f>SUM(G122:G179)</f>
        <v>8183</v>
      </c>
      <c r="K180">
        <f>SUM(K122:K179)</f>
        <v>334</v>
      </c>
    </row>
    <row r="181" spans="1:13">
      <c r="A181" s="3251" t="s">
        <v>3371</v>
      </c>
      <c r="D181">
        <v>36</v>
      </c>
      <c r="G181">
        <f>270+240+240+240+1875.5</f>
        <v>2865.5</v>
      </c>
    </row>
    <row r="182" spans="1:13">
      <c r="E182" s="3185"/>
      <c r="F182" s="3252">
        <f>30291.5+D181-4204</f>
        <v>26123.5</v>
      </c>
    </row>
    <row r="183" spans="1:13">
      <c r="B183" s="3352" t="s">
        <v>24</v>
      </c>
      <c r="C183" s="3352" t="s">
        <v>3061</v>
      </c>
      <c r="D183" s="3352"/>
      <c r="E183" s="3352"/>
      <c r="F183" s="3352"/>
      <c r="G183" s="3352" t="s">
        <v>3063</v>
      </c>
      <c r="H183" s="3352"/>
      <c r="I183" s="3352"/>
      <c r="J183" s="3352"/>
      <c r="K183" s="3352"/>
    </row>
    <row r="184" spans="1:13">
      <c r="B184" s="3353"/>
      <c r="C184" s="3247" t="s">
        <v>923</v>
      </c>
      <c r="D184" s="3247" t="s">
        <v>3304</v>
      </c>
      <c r="E184" s="3247" t="s">
        <v>3372</v>
      </c>
      <c r="F184" s="3247" t="s">
        <v>3377</v>
      </c>
      <c r="G184" s="3247" t="s">
        <v>3072</v>
      </c>
      <c r="H184" s="3247" t="s">
        <v>3169</v>
      </c>
      <c r="I184" s="3247" t="s">
        <v>3304</v>
      </c>
      <c r="J184" s="3191" t="s">
        <v>3372</v>
      </c>
      <c r="K184" s="3191" t="s">
        <v>3033</v>
      </c>
      <c r="L184" s="3254" t="s">
        <v>3373</v>
      </c>
    </row>
    <row r="185" spans="1:13">
      <c r="B185" s="3248">
        <f>SUM(C185:K185)</f>
        <v>133992.63</v>
      </c>
      <c r="C185" s="3248">
        <f>D180</f>
        <v>37366.439999999988</v>
      </c>
      <c r="D185" s="3248"/>
      <c r="E185" s="3248"/>
      <c r="F185" s="3248"/>
      <c r="G185" s="3248">
        <f>F180</f>
        <v>59454.19</v>
      </c>
      <c r="H185" s="3248">
        <f>F182</f>
        <v>26123.5</v>
      </c>
      <c r="I185" s="3248">
        <f>G180+G181</f>
        <v>11048.5</v>
      </c>
      <c r="J185" s="3248"/>
      <c r="K185" s="3248"/>
      <c r="L185">
        <v>4204</v>
      </c>
      <c r="M185">
        <f>B185+L185</f>
        <v>138196.63</v>
      </c>
    </row>
    <row r="186" spans="1:13">
      <c r="B186" s="3248">
        <f>SUM(C186:K186)</f>
        <v>35823.369999999995</v>
      </c>
      <c r="C186" s="3253">
        <f>D194-F186</f>
        <v>3473.1799999999967</v>
      </c>
      <c r="D186" s="3253">
        <f>E194</f>
        <v>84</v>
      </c>
      <c r="E186" s="3253"/>
      <c r="F186" s="3253">
        <f>L194</f>
        <v>23770.38</v>
      </c>
      <c r="G186" s="3253">
        <f>F194</f>
        <v>5874.31</v>
      </c>
      <c r="H186" s="3253"/>
      <c r="I186" s="3253">
        <f>G194</f>
        <v>1631.5</v>
      </c>
      <c r="J186" s="3253">
        <v>990</v>
      </c>
      <c r="K186" s="3253"/>
      <c r="L186">
        <f>L185-D181</f>
        <v>4168</v>
      </c>
    </row>
    <row r="187" spans="1:13">
      <c r="B187" s="3248">
        <f>SUM(B185:B186)</f>
        <v>169816</v>
      </c>
      <c r="C187" s="3248">
        <f t="shared" ref="C187:K187" si="6">SUM(C185:C186)</f>
        <v>40839.619999999981</v>
      </c>
      <c r="D187" s="3248">
        <f t="shared" si="6"/>
        <v>84</v>
      </c>
      <c r="E187" s="3248">
        <f t="shared" si="6"/>
        <v>0</v>
      </c>
      <c r="F187" s="3248">
        <f t="shared" si="6"/>
        <v>23770.38</v>
      </c>
      <c r="G187" s="3248">
        <f>SUM(G185:G186)</f>
        <v>65328.5</v>
      </c>
      <c r="H187" s="3248">
        <f t="shared" si="6"/>
        <v>26123.5</v>
      </c>
      <c r="I187" s="3248">
        <f>SUM(I185:I186)</f>
        <v>12680</v>
      </c>
      <c r="J187" s="3248">
        <v>990</v>
      </c>
      <c r="K187" s="3248">
        <f t="shared" si="6"/>
        <v>0</v>
      </c>
    </row>
    <row r="189" spans="1:13">
      <c r="C189" s="3174"/>
      <c r="D189" s="3187" t="s">
        <v>3061</v>
      </c>
      <c r="E189" s="3187"/>
      <c r="F189" s="3187" t="s">
        <v>3063</v>
      </c>
      <c r="G189" s="3187"/>
      <c r="H189" s="3174"/>
      <c r="I189" s="3174"/>
      <c r="J189" s="3174"/>
      <c r="K189" s="3174"/>
    </row>
    <row r="190" spans="1:13">
      <c r="A190" s="3185"/>
      <c r="C190" s="3187" t="s">
        <v>3310</v>
      </c>
      <c r="D190" s="3187" t="s">
        <v>923</v>
      </c>
      <c r="E190" s="3187" t="s">
        <v>3303</v>
      </c>
      <c r="F190" s="3187" t="s">
        <v>3072</v>
      </c>
      <c r="G190" s="3187" t="s">
        <v>3304</v>
      </c>
      <c r="H190" s="3187" t="s">
        <v>3305</v>
      </c>
      <c r="I190" s="3187" t="s">
        <v>3306</v>
      </c>
      <c r="J190" s="3187" t="s">
        <v>3307</v>
      </c>
      <c r="K190" s="3187" t="s">
        <v>3308</v>
      </c>
    </row>
    <row r="191" spans="1:13">
      <c r="A191" s="3185" t="s">
        <v>3374</v>
      </c>
      <c r="C191">
        <f>SUM(D191:G191)</f>
        <v>11468.789999999999</v>
      </c>
      <c r="D191">
        <v>9025.48</v>
      </c>
      <c r="F191">
        <v>2151.81</v>
      </c>
      <c r="G191">
        <v>291.5</v>
      </c>
      <c r="H191">
        <v>8</v>
      </c>
      <c r="I191">
        <v>3</v>
      </c>
      <c r="J191">
        <v>1</v>
      </c>
      <c r="K191">
        <v>64</v>
      </c>
      <c r="L191">
        <v>7879.05</v>
      </c>
    </row>
    <row r="192" spans="1:13">
      <c r="A192" s="3185" t="s">
        <v>3375</v>
      </c>
      <c r="C192">
        <f>SUM(D192:G192)</f>
        <v>11676.560000000001</v>
      </c>
      <c r="D192">
        <v>9192.68</v>
      </c>
      <c r="F192">
        <v>2192.38</v>
      </c>
      <c r="G192">
        <v>291.5</v>
      </c>
      <c r="H192">
        <v>8</v>
      </c>
      <c r="I192">
        <v>3</v>
      </c>
      <c r="J192">
        <v>1</v>
      </c>
      <c r="K192">
        <v>64</v>
      </c>
      <c r="L192">
        <v>8012.28</v>
      </c>
    </row>
    <row r="193" spans="1:13">
      <c r="A193" s="3185" t="s">
        <v>3376</v>
      </c>
      <c r="C193">
        <f>SUM(D193:G193)</f>
        <v>11688.02</v>
      </c>
      <c r="D193">
        <v>9025.4</v>
      </c>
      <c r="E193">
        <v>84</v>
      </c>
      <c r="F193">
        <v>1530.12</v>
      </c>
      <c r="G193">
        <f>757+291.5</f>
        <v>1048.5</v>
      </c>
      <c r="H193">
        <v>8</v>
      </c>
      <c r="I193">
        <v>3</v>
      </c>
      <c r="J193">
        <v>1</v>
      </c>
      <c r="K193">
        <v>64</v>
      </c>
      <c r="L193">
        <v>7879.05</v>
      </c>
    </row>
    <row r="194" spans="1:13">
      <c r="C194">
        <f>SUM(D194:G194)</f>
        <v>34833.369999999995</v>
      </c>
      <c r="D194">
        <f>SUM(D191:D193)</f>
        <v>27243.559999999998</v>
      </c>
      <c r="E194">
        <f>SUM(E191:E193)</f>
        <v>84</v>
      </c>
      <c r="F194">
        <f>SUM(F191:F193)</f>
        <v>5874.31</v>
      </c>
      <c r="G194">
        <f>SUM(G191:G193)</f>
        <v>1631.5</v>
      </c>
      <c r="K194">
        <f>SUM(K191:K193)</f>
        <v>192</v>
      </c>
      <c r="L194">
        <f>SUM(L191:L193)</f>
        <v>23770.38</v>
      </c>
    </row>
    <row r="197" spans="1:13">
      <c r="I197">
        <f>G181+F182</f>
        <v>28989</v>
      </c>
    </row>
    <row r="202" spans="1:13" ht="14.25" thickBot="1"/>
    <row r="203" spans="1:13" ht="14.25" thickBot="1">
      <c r="C203" s="3350" t="s">
        <v>27</v>
      </c>
      <c r="D203" s="3351"/>
      <c r="E203" s="3255">
        <v>105003.63</v>
      </c>
      <c r="F203" s="3255">
        <v>37366.44</v>
      </c>
      <c r="G203" s="3255">
        <v>0</v>
      </c>
      <c r="H203" s="3255">
        <v>59454.19</v>
      </c>
      <c r="I203" s="3255">
        <v>8183</v>
      </c>
      <c r="J203" s="3256">
        <v>0</v>
      </c>
      <c r="K203" s="3257" t="s">
        <v>952</v>
      </c>
      <c r="L203" s="3258" t="s">
        <v>952</v>
      </c>
      <c r="M203" s="3255">
        <v>334</v>
      </c>
    </row>
    <row r="204" spans="1:13" ht="14.25" thickBot="1">
      <c r="C204" s="3259" t="s">
        <v>3378</v>
      </c>
      <c r="D204" s="3260" t="s">
        <v>35</v>
      </c>
      <c r="E204" s="3261">
        <f>I204+J204</f>
        <v>29979</v>
      </c>
      <c r="F204" s="3262">
        <v>0</v>
      </c>
      <c r="G204" s="3262">
        <v>0</v>
      </c>
      <c r="H204" s="3261">
        <v>0</v>
      </c>
      <c r="I204" s="3262">
        <f>2865.5+990</f>
        <v>3855.5</v>
      </c>
      <c r="J204" s="3263">
        <v>26123.5</v>
      </c>
      <c r="K204" s="3260" t="s">
        <v>952</v>
      </c>
      <c r="L204" s="3260" t="s">
        <v>952</v>
      </c>
      <c r="M204" s="3260" t="s">
        <v>952</v>
      </c>
    </row>
    <row r="205" spans="1:13" ht="14.25" thickBot="1">
      <c r="C205" s="3259" t="s">
        <v>3379</v>
      </c>
      <c r="D205" s="3260" t="s">
        <v>3309</v>
      </c>
      <c r="E205" s="3261">
        <v>11468.79</v>
      </c>
      <c r="F205" s="3261">
        <v>9025.48</v>
      </c>
      <c r="G205" s="3261">
        <v>0</v>
      </c>
      <c r="H205" s="3261">
        <v>2151.81</v>
      </c>
      <c r="I205" s="3261">
        <v>291.5</v>
      </c>
      <c r="J205" s="3264">
        <v>0</v>
      </c>
      <c r="K205" s="3261">
        <v>8</v>
      </c>
      <c r="L205" s="3261">
        <v>3</v>
      </c>
      <c r="M205" s="3261">
        <v>64</v>
      </c>
    </row>
    <row r="206" spans="1:13" ht="14.25" thickBot="1">
      <c r="C206" s="3259" t="s">
        <v>3380</v>
      </c>
      <c r="D206" s="3260" t="s">
        <v>3309</v>
      </c>
      <c r="E206" s="3261">
        <v>11676.56</v>
      </c>
      <c r="F206" s="3261">
        <v>9192.68</v>
      </c>
      <c r="G206" s="3261">
        <v>0</v>
      </c>
      <c r="H206" s="3261">
        <v>2192.38</v>
      </c>
      <c r="I206" s="3261">
        <v>291.5</v>
      </c>
      <c r="J206" s="3264">
        <v>0</v>
      </c>
      <c r="K206" s="3261">
        <v>8</v>
      </c>
      <c r="L206" s="3261">
        <v>3</v>
      </c>
      <c r="M206" s="3261">
        <v>64</v>
      </c>
    </row>
    <row r="207" spans="1:13" ht="14.25" thickBot="1">
      <c r="C207" s="3259" t="s">
        <v>3381</v>
      </c>
      <c r="D207" s="3260" t="s">
        <v>3309</v>
      </c>
      <c r="E207" s="3261">
        <v>11688.02</v>
      </c>
      <c r="F207" s="3261">
        <v>9025.4</v>
      </c>
      <c r="G207" s="3261">
        <v>84</v>
      </c>
      <c r="H207" s="3261">
        <v>1530.12</v>
      </c>
      <c r="I207" s="3261">
        <v>1048.5</v>
      </c>
      <c r="J207" s="3264">
        <v>0</v>
      </c>
      <c r="K207" s="3261">
        <v>8</v>
      </c>
      <c r="L207" s="3261">
        <v>3</v>
      </c>
      <c r="M207" s="3261">
        <v>64</v>
      </c>
    </row>
    <row r="208" spans="1:13">
      <c r="C208" s="3266" t="s">
        <v>3382</v>
      </c>
      <c r="D208" s="3267"/>
      <c r="E208" s="1792">
        <f>SUM(E205:E207)</f>
        <v>34833.369999999995</v>
      </c>
      <c r="F208" s="1792">
        <f>SUM(F205:F207)</f>
        <v>27243.559999999998</v>
      </c>
      <c r="G208" s="1792">
        <f>SUM(G205:G207)</f>
        <v>84</v>
      </c>
      <c r="H208" s="1792">
        <f>SUM(H205:H207)</f>
        <v>5874.31</v>
      </c>
      <c r="I208" s="1792">
        <f>SUM(I205:I207)</f>
        <v>1631.5</v>
      </c>
      <c r="J208" s="1792"/>
      <c r="K208" s="1792"/>
      <c r="L208" s="1792"/>
      <c r="M208" s="1792"/>
    </row>
    <row r="209" spans="3:10">
      <c r="C209" s="3265" t="s">
        <v>3383</v>
      </c>
      <c r="D209" s="1792"/>
      <c r="E209" s="1792">
        <f t="shared" ref="E209:J209" si="7">E203+E204+E208</f>
        <v>169816</v>
      </c>
      <c r="F209" s="1792">
        <f t="shared" si="7"/>
        <v>64610</v>
      </c>
      <c r="G209" s="1792">
        <f t="shared" si="7"/>
        <v>84</v>
      </c>
      <c r="H209" s="1792">
        <f t="shared" si="7"/>
        <v>65328.5</v>
      </c>
      <c r="I209" s="1792">
        <f t="shared" si="7"/>
        <v>13670</v>
      </c>
      <c r="J209" s="1792">
        <f t="shared" si="7"/>
        <v>26123.5</v>
      </c>
    </row>
    <row r="256" ht="14.25" thickBot="1"/>
    <row r="257" spans="5:11" ht="24" customHeight="1" thickBot="1">
      <c r="E257" s="3356" t="s">
        <v>3282</v>
      </c>
      <c r="F257" s="3359" t="s">
        <v>3283</v>
      </c>
      <c r="G257" s="3359" t="s">
        <v>3284</v>
      </c>
      <c r="H257" s="3361" t="s">
        <v>3384</v>
      </c>
      <c r="I257" s="3362"/>
      <c r="J257" s="3363"/>
      <c r="K257" s="3364" t="s">
        <v>3385</v>
      </c>
    </row>
    <row r="258" spans="5:11" ht="14.25" thickBot="1">
      <c r="E258" s="3357"/>
      <c r="F258" s="3360"/>
      <c r="G258" s="3360"/>
      <c r="H258" s="3269" t="s">
        <v>24</v>
      </c>
      <c r="I258" s="3270" t="s">
        <v>3061</v>
      </c>
      <c r="J258" s="3270" t="s">
        <v>3063</v>
      </c>
      <c r="K258" s="3365"/>
    </row>
    <row r="259" spans="5:11" ht="14.25" thickBot="1">
      <c r="E259" s="3357"/>
      <c r="F259" s="3366" t="s">
        <v>3286</v>
      </c>
      <c r="G259" s="3271" t="s">
        <v>3197</v>
      </c>
      <c r="H259" s="3272">
        <v>40265.83</v>
      </c>
      <c r="I259" s="3272">
        <v>40265.83</v>
      </c>
      <c r="J259" s="3272">
        <v>0</v>
      </c>
      <c r="K259" s="3369">
        <v>60947.48</v>
      </c>
    </row>
    <row r="260" spans="5:11" ht="14.25" thickBot="1">
      <c r="E260" s="3357"/>
      <c r="F260" s="3367"/>
      <c r="G260" s="3271" t="s">
        <v>3199</v>
      </c>
      <c r="H260" s="3272">
        <v>10848.24</v>
      </c>
      <c r="I260" s="3272">
        <v>10848.24</v>
      </c>
      <c r="J260" s="3272">
        <v>0</v>
      </c>
      <c r="K260" s="3370"/>
    </row>
    <row r="261" spans="5:11" ht="14.25" thickBot="1">
      <c r="E261" s="3357"/>
      <c r="F261" s="3367"/>
      <c r="G261" s="3271" t="s">
        <v>3201</v>
      </c>
      <c r="H261" s="3272">
        <v>31676.1</v>
      </c>
      <c r="I261" s="3272">
        <v>31676.1</v>
      </c>
      <c r="J261" s="3272">
        <v>0</v>
      </c>
      <c r="K261" s="3370"/>
    </row>
    <row r="262" spans="5:11" ht="14.25" thickBot="1">
      <c r="E262" s="3357"/>
      <c r="F262" s="3367"/>
      <c r="G262" s="3271" t="s">
        <v>3033</v>
      </c>
      <c r="H262" s="3272">
        <v>480</v>
      </c>
      <c r="I262" s="3272">
        <v>250</v>
      </c>
      <c r="J262" s="3272">
        <v>230</v>
      </c>
      <c r="K262" s="3370"/>
    </row>
    <row r="263" spans="5:11" ht="14.25" thickBot="1">
      <c r="E263" s="3357"/>
      <c r="F263" s="3367"/>
      <c r="G263" s="3271" t="s">
        <v>35</v>
      </c>
      <c r="H263" s="3272">
        <v>33813.93</v>
      </c>
      <c r="I263" s="3272">
        <v>0</v>
      </c>
      <c r="J263" s="3272">
        <v>33813.93</v>
      </c>
      <c r="K263" s="3370"/>
    </row>
    <row r="264" spans="5:11" ht="14.25" thickBot="1">
      <c r="E264" s="3357"/>
      <c r="F264" s="3367"/>
      <c r="G264" s="3271" t="s">
        <v>3287</v>
      </c>
      <c r="H264" s="3272">
        <v>10172.129999999999</v>
      </c>
      <c r="I264" s="3272">
        <v>0</v>
      </c>
      <c r="J264" s="3272">
        <v>10172.129999999999</v>
      </c>
      <c r="K264" s="3370"/>
    </row>
    <row r="265" spans="5:11" ht="14.25" thickBot="1">
      <c r="E265" s="3357"/>
      <c r="F265" s="3368"/>
      <c r="G265" s="3271" t="s">
        <v>3229</v>
      </c>
      <c r="H265" s="3272">
        <v>74192.240000000005</v>
      </c>
      <c r="I265" s="3272">
        <v>0</v>
      </c>
      <c r="J265" s="3272">
        <v>74192.240000000005</v>
      </c>
      <c r="K265" s="3370"/>
    </row>
    <row r="266" spans="5:11" ht="14.25" thickBot="1">
      <c r="E266" s="3357"/>
      <c r="F266" s="3372" t="s">
        <v>3288</v>
      </c>
      <c r="G266" s="3373"/>
      <c r="H266" s="3273">
        <v>201448.47</v>
      </c>
      <c r="I266" s="3273">
        <v>83040.17</v>
      </c>
      <c r="J266" s="3273">
        <v>118408.3</v>
      </c>
      <c r="K266" s="3370"/>
    </row>
    <row r="267" spans="5:11" ht="14.25" thickBot="1">
      <c r="E267" s="3357"/>
      <c r="F267" s="3366" t="s">
        <v>1680</v>
      </c>
      <c r="G267" s="3271" t="s">
        <v>2314</v>
      </c>
      <c r="H267" s="3272">
        <v>4741.9399999999996</v>
      </c>
      <c r="I267" s="3272">
        <v>168</v>
      </c>
      <c r="J267" s="3272">
        <v>4573.9399999999996</v>
      </c>
      <c r="K267" s="3370"/>
    </row>
    <row r="268" spans="5:11" ht="14.25" thickBot="1">
      <c r="E268" s="3357"/>
      <c r="F268" s="3368"/>
      <c r="G268" s="3271" t="s">
        <v>3289</v>
      </c>
      <c r="H268" s="3272">
        <v>1920</v>
      </c>
      <c r="I268" s="3272">
        <v>1870</v>
      </c>
      <c r="J268" s="3272">
        <v>50</v>
      </c>
      <c r="K268" s="3370"/>
    </row>
    <row r="269" spans="5:11" ht="14.25" thickBot="1">
      <c r="E269" s="3357"/>
      <c r="F269" s="3372" t="s">
        <v>3290</v>
      </c>
      <c r="G269" s="3373"/>
      <c r="H269" s="3273">
        <v>6661.94</v>
      </c>
      <c r="I269" s="3273">
        <v>2038</v>
      </c>
      <c r="J269" s="3273">
        <v>4623.9399999999996</v>
      </c>
      <c r="K269" s="3370"/>
    </row>
    <row r="270" spans="5:11" ht="14.25" thickBot="1">
      <c r="E270" s="3358"/>
      <c r="F270" s="3374" t="s">
        <v>3291</v>
      </c>
      <c r="G270" s="3375"/>
      <c r="H270" s="3273">
        <v>208110.41</v>
      </c>
      <c r="I270" s="3273">
        <v>85078.17</v>
      </c>
      <c r="J270" s="3273">
        <v>123032.24</v>
      </c>
      <c r="K270" s="3371"/>
    </row>
    <row r="271" spans="5:11" ht="14.25" thickBot="1">
      <c r="E271" s="3356" t="s">
        <v>3292</v>
      </c>
      <c r="F271" s="3366" t="s">
        <v>3286</v>
      </c>
      <c r="G271" s="3271" t="s">
        <v>3197</v>
      </c>
      <c r="H271" s="3272">
        <v>37366.44</v>
      </c>
      <c r="I271" s="3272">
        <v>37366.44</v>
      </c>
      <c r="J271" s="3272">
        <v>0</v>
      </c>
      <c r="K271" s="3369">
        <v>0</v>
      </c>
    </row>
    <row r="272" spans="5:11" ht="14.25" thickBot="1">
      <c r="E272" s="3357"/>
      <c r="F272" s="3367"/>
      <c r="G272" s="3271" t="s">
        <v>3199</v>
      </c>
      <c r="H272" s="3272">
        <v>3473.18</v>
      </c>
      <c r="I272" s="3272">
        <v>3473.18</v>
      </c>
      <c r="J272" s="3272">
        <v>0</v>
      </c>
      <c r="K272" s="3370"/>
    </row>
    <row r="273" spans="5:11" ht="14.25" thickBot="1">
      <c r="E273" s="3357"/>
      <c r="F273" s="3367"/>
      <c r="G273" s="3271" t="s">
        <v>3201</v>
      </c>
      <c r="H273" s="3272">
        <v>23770.38</v>
      </c>
      <c r="I273" s="3272">
        <v>23770.38</v>
      </c>
      <c r="J273" s="3272">
        <v>0</v>
      </c>
      <c r="K273" s="3370"/>
    </row>
    <row r="274" spans="5:11" ht="14.25" thickBot="1">
      <c r="E274" s="3357"/>
      <c r="F274" s="3367"/>
      <c r="G274" s="3271" t="s">
        <v>35</v>
      </c>
      <c r="H274" s="3272">
        <v>26123.5</v>
      </c>
      <c r="I274" s="3272">
        <v>0</v>
      </c>
      <c r="J274" s="3272">
        <v>26123.5</v>
      </c>
      <c r="K274" s="3370"/>
    </row>
    <row r="275" spans="5:11" ht="14.25" thickBot="1">
      <c r="E275" s="3357"/>
      <c r="F275" s="3367"/>
      <c r="G275" s="3271" t="s">
        <v>3287</v>
      </c>
      <c r="H275" s="3272">
        <v>5874.31</v>
      </c>
      <c r="I275" s="3272">
        <v>0</v>
      </c>
      <c r="J275" s="3272">
        <v>5874.31</v>
      </c>
      <c r="K275" s="3370"/>
    </row>
    <row r="276" spans="5:11" ht="14.25" thickBot="1">
      <c r="E276" s="3357"/>
      <c r="F276" s="3368"/>
      <c r="G276" s="3271" t="s">
        <v>3229</v>
      </c>
      <c r="H276" s="3272">
        <v>59454.19</v>
      </c>
      <c r="I276" s="3272">
        <v>0</v>
      </c>
      <c r="J276" s="3272">
        <v>59454.19</v>
      </c>
      <c r="K276" s="3370"/>
    </row>
    <row r="277" spans="5:11" ht="14.25" thickBot="1">
      <c r="E277" s="3357"/>
      <c r="F277" s="3372" t="s">
        <v>3293</v>
      </c>
      <c r="G277" s="3373"/>
      <c r="H277" s="3272">
        <v>156062</v>
      </c>
      <c r="I277" s="3272">
        <v>64610</v>
      </c>
      <c r="J277" s="3272">
        <v>91452</v>
      </c>
      <c r="K277" s="3370"/>
    </row>
    <row r="278" spans="5:11" ht="14.25" thickBot="1">
      <c r="E278" s="3357"/>
      <c r="F278" s="3366" t="s">
        <v>1680</v>
      </c>
      <c r="G278" s="3271" t="s">
        <v>2314</v>
      </c>
      <c r="H278" s="3272">
        <v>12764</v>
      </c>
      <c r="I278" s="3272">
        <v>84</v>
      </c>
      <c r="J278" s="3272">
        <v>12680</v>
      </c>
      <c r="K278" s="3370"/>
    </row>
    <row r="279" spans="5:11" ht="14.25" thickBot="1">
      <c r="E279" s="3357"/>
      <c r="F279" s="3368"/>
      <c r="G279" s="3271" t="s">
        <v>3289</v>
      </c>
      <c r="H279" s="3272">
        <v>990</v>
      </c>
      <c r="I279" s="3272">
        <v>0</v>
      </c>
      <c r="J279" s="3272">
        <v>990</v>
      </c>
      <c r="K279" s="3370"/>
    </row>
    <row r="280" spans="5:11" ht="14.25" thickBot="1">
      <c r="E280" s="3357"/>
      <c r="F280" s="3372" t="s">
        <v>3294</v>
      </c>
      <c r="G280" s="3373"/>
      <c r="H280" s="3272">
        <v>13754</v>
      </c>
      <c r="I280" s="3272">
        <v>84</v>
      </c>
      <c r="J280" s="3272">
        <v>13670</v>
      </c>
      <c r="K280" s="3370"/>
    </row>
    <row r="281" spans="5:11" ht="14.25" thickBot="1">
      <c r="E281" s="3358"/>
      <c r="F281" s="3374" t="s">
        <v>3295</v>
      </c>
      <c r="G281" s="3375"/>
      <c r="H281" s="3273">
        <v>169816</v>
      </c>
      <c r="I281" s="3273">
        <v>64694</v>
      </c>
      <c r="J281" s="3273">
        <v>105122</v>
      </c>
      <c r="K281" s="3371"/>
    </row>
    <row r="282" spans="5:11" ht="14.25" thickBot="1">
      <c r="E282" s="3376" t="s">
        <v>3296</v>
      </c>
      <c r="F282" s="3377"/>
      <c r="G282" s="3378"/>
      <c r="H282" s="3273">
        <f>H270+H281</f>
        <v>377926.41000000003</v>
      </c>
      <c r="I282" s="3273">
        <f t="shared" ref="I282:J282" si="8">I270+I281</f>
        <v>149772.16999999998</v>
      </c>
      <c r="J282" s="3273">
        <f t="shared" si="8"/>
        <v>228154.23999999999</v>
      </c>
      <c r="K282" s="3274">
        <f>K259</f>
        <v>60947.48</v>
      </c>
    </row>
    <row r="290" spans="3:12" ht="14.25" thickBot="1"/>
    <row r="291" spans="3:12" ht="39" thickTop="1">
      <c r="C291" s="3379" t="s">
        <v>3386</v>
      </c>
      <c r="D291" s="3379" t="s">
        <v>3387</v>
      </c>
      <c r="E291" s="3379" t="s">
        <v>3388</v>
      </c>
      <c r="F291" s="3275" t="s">
        <v>3385</v>
      </c>
      <c r="G291" s="3381" t="s">
        <v>3390</v>
      </c>
      <c r="H291" s="3382"/>
      <c r="I291" s="3381" t="s">
        <v>3391</v>
      </c>
      <c r="J291" s="3382"/>
      <c r="K291" s="3381" t="s">
        <v>3392</v>
      </c>
      <c r="L291" s="3382"/>
    </row>
    <row r="292" spans="3:12" ht="25.5">
      <c r="C292" s="3380"/>
      <c r="D292" s="3380"/>
      <c r="E292" s="3380"/>
      <c r="F292" s="3276" t="s">
        <v>3389</v>
      </c>
      <c r="G292" s="3276" t="s">
        <v>2932</v>
      </c>
      <c r="H292" s="3276" t="s">
        <v>3393</v>
      </c>
      <c r="I292" s="3276" t="s">
        <v>3394</v>
      </c>
      <c r="J292" s="3276" t="s">
        <v>3393</v>
      </c>
      <c r="K292" s="3276" t="s">
        <v>3394</v>
      </c>
      <c r="L292" s="3276" t="s">
        <v>3393</v>
      </c>
    </row>
    <row r="293" spans="3:12" ht="114.75">
      <c r="C293" s="3277" t="s">
        <v>3395</v>
      </c>
      <c r="D293" s="3278">
        <v>208110.41</v>
      </c>
      <c r="E293" s="3278">
        <v>72636.320000000007</v>
      </c>
      <c r="F293" s="3279">
        <v>60947.48</v>
      </c>
      <c r="G293" s="3278">
        <v>438261</v>
      </c>
      <c r="H293" s="3278">
        <v>21060</v>
      </c>
      <c r="I293" s="3278">
        <v>16367</v>
      </c>
      <c r="J293" s="3278">
        <v>786</v>
      </c>
      <c r="K293" s="3278">
        <v>454628</v>
      </c>
      <c r="L293" s="3278">
        <v>21846</v>
      </c>
    </row>
    <row r="294" spans="3:12" ht="89.25">
      <c r="C294" s="3277" t="s">
        <v>3396</v>
      </c>
      <c r="D294" s="3278">
        <v>169816</v>
      </c>
      <c r="E294" s="3278">
        <v>62541.33</v>
      </c>
      <c r="F294" s="3278">
        <v>0</v>
      </c>
      <c r="G294" s="3278">
        <v>311695</v>
      </c>
      <c r="H294" s="3278">
        <v>18355</v>
      </c>
      <c r="I294" s="3278">
        <v>0</v>
      </c>
      <c r="J294" s="3278">
        <v>0</v>
      </c>
      <c r="K294" s="3278">
        <v>311695</v>
      </c>
      <c r="L294" s="3278">
        <v>18355</v>
      </c>
    </row>
    <row r="295" spans="3:12">
      <c r="C295" s="3277" t="s">
        <v>24</v>
      </c>
      <c r="D295" s="3278">
        <v>377926.41</v>
      </c>
      <c r="E295" s="3278">
        <v>135177.65</v>
      </c>
      <c r="F295" s="3279">
        <v>60947.48</v>
      </c>
      <c r="G295" s="3383">
        <f>G293+G294</f>
        <v>749956</v>
      </c>
      <c r="H295" s="3384"/>
      <c r="I295" s="3383">
        <f>I293+I294</f>
        <v>16367</v>
      </c>
      <c r="J295" s="3384"/>
      <c r="K295" s="3383">
        <f>K293+K294</f>
        <v>766323</v>
      </c>
      <c r="L295" s="3384"/>
    </row>
    <row r="296" spans="3:12" ht="25.5" customHeight="1">
      <c r="C296" s="3385" t="s">
        <v>3397</v>
      </c>
      <c r="D296" s="3386"/>
      <c r="E296" s="3386"/>
      <c r="F296" s="3387"/>
      <c r="G296" s="3388">
        <f>G295*10000</f>
        <v>7499560000</v>
      </c>
      <c r="H296" s="3389"/>
      <c r="I296" s="3388">
        <f t="shared" ref="I296" si="9">I295*10000</f>
        <v>163670000</v>
      </c>
      <c r="J296" s="3389"/>
      <c r="K296" s="3388">
        <f t="shared" ref="K296" si="10">K295*10000</f>
        <v>7663230000</v>
      </c>
      <c r="L296" s="3389"/>
    </row>
    <row r="297" spans="3:12">
      <c r="C297" s="3390" t="s">
        <v>3399</v>
      </c>
      <c r="D297" s="3391"/>
      <c r="E297" s="3391"/>
      <c r="F297" s="3392"/>
      <c r="G297" s="3383">
        <v>0</v>
      </c>
      <c r="H297" s="3393"/>
      <c r="I297" s="3393"/>
      <c r="J297" s="3393"/>
      <c r="K297" s="3393"/>
      <c r="L297" s="3384"/>
    </row>
    <row r="298" spans="3:12">
      <c r="C298" s="3385" t="s">
        <v>3397</v>
      </c>
      <c r="D298" s="3386"/>
      <c r="E298" s="3386"/>
      <c r="F298" s="3387"/>
      <c r="G298" s="3385" t="s">
        <v>3400</v>
      </c>
      <c r="H298" s="3386"/>
      <c r="I298" s="3386"/>
      <c r="J298" s="3386"/>
      <c r="K298" s="3386"/>
      <c r="L298" s="3387"/>
    </row>
    <row r="299" spans="3:12">
      <c r="C299" s="3390" t="s">
        <v>3401</v>
      </c>
      <c r="D299" s="3391"/>
      <c r="E299" s="3391"/>
      <c r="F299" s="3392"/>
      <c r="G299" s="3383">
        <v>790992</v>
      </c>
      <c r="H299" s="3393"/>
      <c r="I299" s="3393"/>
      <c r="J299" s="3393"/>
      <c r="K299" s="3393"/>
      <c r="L299" s="3384"/>
    </row>
    <row r="300" spans="3:12" ht="14.25" thickBot="1">
      <c r="C300" s="3394" t="s">
        <v>3397</v>
      </c>
      <c r="D300" s="3395"/>
      <c r="E300" s="3395"/>
      <c r="F300" s="3396"/>
      <c r="G300" s="3394" t="s">
        <v>3398</v>
      </c>
      <c r="H300" s="3395"/>
      <c r="I300" s="3395"/>
      <c r="J300" s="3395"/>
      <c r="K300" s="3395"/>
      <c r="L300" s="3396"/>
    </row>
    <row r="301" spans="3:12" ht="14.25" thickTop="1"/>
  </sheetData>
  <mergeCells count="48">
    <mergeCell ref="C298:F298"/>
    <mergeCell ref="G298:L298"/>
    <mergeCell ref="C299:F299"/>
    <mergeCell ref="G299:L299"/>
    <mergeCell ref="C300:F300"/>
    <mergeCell ref="G300:L300"/>
    <mergeCell ref="C296:F296"/>
    <mergeCell ref="G296:H296"/>
    <mergeCell ref="I296:J296"/>
    <mergeCell ref="K296:L296"/>
    <mergeCell ref="C297:F297"/>
    <mergeCell ref="G297:L297"/>
    <mergeCell ref="I291:J291"/>
    <mergeCell ref="K291:L291"/>
    <mergeCell ref="G295:H295"/>
    <mergeCell ref="I295:J295"/>
    <mergeCell ref="K295:L295"/>
    <mergeCell ref="E282:G282"/>
    <mergeCell ref="C291:C292"/>
    <mergeCell ref="D291:D292"/>
    <mergeCell ref="E291:E292"/>
    <mergeCell ref="G291:H291"/>
    <mergeCell ref="E271:E281"/>
    <mergeCell ref="F271:F276"/>
    <mergeCell ref="K271:K281"/>
    <mergeCell ref="F277:G277"/>
    <mergeCell ref="F278:F279"/>
    <mergeCell ref="F280:G280"/>
    <mergeCell ref="F281:G281"/>
    <mergeCell ref="E257:E270"/>
    <mergeCell ref="F257:F258"/>
    <mergeCell ref="G257:G258"/>
    <mergeCell ref="H257:J257"/>
    <mergeCell ref="K257:K258"/>
    <mergeCell ref="F259:F265"/>
    <mergeCell ref="K259:K270"/>
    <mergeCell ref="F266:G266"/>
    <mergeCell ref="F267:F268"/>
    <mergeCell ref="F269:G269"/>
    <mergeCell ref="F270:G270"/>
    <mergeCell ref="C203:D203"/>
    <mergeCell ref="B92:B93"/>
    <mergeCell ref="C92:F92"/>
    <mergeCell ref="G92:K92"/>
    <mergeCell ref="A180:B180"/>
    <mergeCell ref="B183:B184"/>
    <mergeCell ref="C183:F183"/>
    <mergeCell ref="G183:K183"/>
  </mergeCells>
  <phoneticPr fontId="234" type="noConversion"/>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D3" sqref="D3"/>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406" t="s">
        <v>203</v>
      </c>
      <c r="B2" s="3406"/>
      <c r="C2" s="3406"/>
      <c r="D2" s="1972" t="s">
        <v>204</v>
      </c>
      <c r="E2" s="106" t="s">
        <v>205</v>
      </c>
      <c r="F2" s="1981"/>
      <c r="G2" s="1197"/>
      <c r="H2" s="1198"/>
      <c r="I2" s="1199" t="s">
        <v>857</v>
      </c>
      <c r="J2" s="1981"/>
      <c r="K2" s="1981"/>
      <c r="L2" s="1981"/>
    </row>
    <row r="3" spans="1:16" ht="15.75" thickBot="1">
      <c r="A3" s="3407" t="s">
        <v>206</v>
      </c>
      <c r="B3" s="3407"/>
      <c r="C3" s="3407"/>
      <c r="D3" s="107">
        <f>'数据-基础表'!AY6</f>
        <v>64089.62</v>
      </c>
      <c r="E3" s="107">
        <f>'数据-基础表'!AZ5</f>
        <v>169816</v>
      </c>
      <c r="F3" s="1981"/>
      <c r="G3" s="279" t="s">
        <v>858</v>
      </c>
      <c r="H3" s="274" t="s">
        <v>859</v>
      </c>
      <c r="I3" s="1973">
        <f>ROUND('数据-基础表'!B3/'数据-基础表'!A3,2)</f>
        <v>2.65</v>
      </c>
      <c r="J3" s="1981"/>
      <c r="K3" s="1981"/>
      <c r="L3" s="1981"/>
    </row>
    <row r="4" spans="1:16" ht="15">
      <c r="A4" s="3408"/>
      <c r="B4" s="3409"/>
      <c r="C4" s="3410"/>
      <c r="D4" s="108" t="s">
        <v>204</v>
      </c>
      <c r="E4" s="109" t="s">
        <v>205</v>
      </c>
      <c r="F4" s="1981"/>
      <c r="G4" s="1200"/>
      <c r="H4" s="274" t="s">
        <v>860</v>
      </c>
      <c r="I4" s="1973">
        <f>ROUND(SUMIF('数据-基础表'!I9:AS9,"地上",'数据-基础表'!I5:AS5)/'数据-基础表'!A3,2)</f>
        <v>1.01</v>
      </c>
      <c r="J4" s="1981"/>
      <c r="K4" s="1981"/>
      <c r="L4" s="1981"/>
    </row>
    <row r="5" spans="1:16">
      <c r="A5" s="110" t="s">
        <v>207</v>
      </c>
      <c r="B5" s="3411" t="s">
        <v>230</v>
      </c>
      <c r="C5" s="3411"/>
      <c r="D5" s="111">
        <f>ROUND($D$3*E5/$E$3,2)</f>
        <v>24384.22</v>
      </c>
      <c r="E5" s="112">
        <f>SUMIF('数据-基础表'!$11:$11,"住宅",'数据-基础表'!$5:$5)</f>
        <v>64609.999999999985</v>
      </c>
      <c r="F5" s="1981"/>
      <c r="G5" s="279" t="s">
        <v>861</v>
      </c>
      <c r="H5" s="274" t="s">
        <v>859</v>
      </c>
      <c r="I5" s="1973">
        <f>ROUND(E31/D31,2)</f>
        <v>2.65</v>
      </c>
      <c r="J5" s="1981"/>
      <c r="K5" s="1981"/>
      <c r="L5" s="1981"/>
    </row>
    <row r="6" spans="1:16" ht="15" thickBot="1">
      <c r="A6" s="113"/>
      <c r="B6" s="3411" t="s">
        <v>208</v>
      </c>
      <c r="C6" s="3411"/>
      <c r="D6" s="111">
        <f>ROUND($D$3*E6/$E$3,2)</f>
        <v>39705.4</v>
      </c>
      <c r="E6" s="112">
        <f>E3-E5</f>
        <v>105206.00000000001</v>
      </c>
      <c r="F6" s="1981"/>
      <c r="G6" s="1200"/>
      <c r="H6" s="274" t="s">
        <v>860</v>
      </c>
      <c r="I6" s="1973">
        <f>ROUND(F31/D31,2)</f>
        <v>1.01</v>
      </c>
      <c r="J6" s="1981"/>
      <c r="K6" s="1981"/>
      <c r="L6" s="1981"/>
    </row>
    <row r="7" spans="1:16" ht="15">
      <c r="A7" s="3403"/>
      <c r="B7" s="3404"/>
      <c r="C7" s="3405"/>
      <c r="D7" s="108" t="s">
        <v>204</v>
      </c>
      <c r="E7" s="114" t="s">
        <v>231</v>
      </c>
      <c r="F7" s="1981"/>
      <c r="G7" s="1155" t="s">
        <v>1646</v>
      </c>
      <c r="H7" s="1156"/>
      <c r="I7" s="1843"/>
      <c r="J7" s="1981"/>
      <c r="K7" s="1981"/>
      <c r="L7" s="1981"/>
    </row>
    <row r="8" spans="1:16">
      <c r="A8" s="110" t="s">
        <v>209</v>
      </c>
      <c r="B8" s="115" t="s">
        <v>210</v>
      </c>
      <c r="C8" s="111" t="s">
        <v>211</v>
      </c>
      <c r="D8" s="111">
        <f t="shared" ref="D8:D15" si="0">ROUND($D$3*E8/$E$3,2)</f>
        <v>24384.22</v>
      </c>
      <c r="E8" s="116">
        <f>SUMIF('数据-基础表'!BB10:BK10,"地上",'数据-基础表'!BB5:BK5)</f>
        <v>64609.999999999985</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2325</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24655.38</v>
      </c>
      <c r="E12" s="116">
        <f>SUMPRODUCT(('数据-基础表'!BB10:BK10="地下")*('数据-基础表'!BB11:BK11="仓储")*('数据-基础表'!BB5:BK5))</f>
        <v>65328.5</v>
      </c>
      <c r="F12" s="1981"/>
      <c r="G12" s="1983"/>
      <c r="H12" s="1983"/>
      <c r="I12" s="1981"/>
      <c r="J12" s="1981"/>
      <c r="K12" s="1981"/>
      <c r="L12" s="1981"/>
    </row>
    <row r="13" spans="1:16">
      <c r="A13" s="117"/>
      <c r="B13" s="118"/>
      <c r="C13" s="2328" t="s">
        <v>2332</v>
      </c>
      <c r="D13" s="111">
        <f t="shared" si="0"/>
        <v>9859.17</v>
      </c>
      <c r="E13" s="116">
        <f>SUMPRODUCT(('数据-基础表'!BB10:BK10="地下")*('数据-基础表'!BB11:BK11="车库")*('数据-基础表'!BB5:BK5))</f>
        <v>26123.5</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58898.770000000004</v>
      </c>
      <c r="E16" s="120">
        <f>SUM(E8:E15)</f>
        <v>156062</v>
      </c>
      <c r="F16" s="1981"/>
      <c r="G16" s="1983"/>
      <c r="H16" s="967" t="s">
        <v>219</v>
      </c>
      <c r="I16" s="968"/>
      <c r="J16" s="1981"/>
      <c r="K16" s="3397" t="s">
        <v>2564</v>
      </c>
      <c r="L16" s="3398"/>
      <c r="M16" s="3398"/>
      <c r="N16" s="3398"/>
      <c r="O16" s="3398"/>
      <c r="P16" s="3399"/>
    </row>
    <row r="17" spans="1:19" ht="15">
      <c r="A17" s="121" t="s">
        <v>216</v>
      </c>
      <c r="B17" s="122" t="s">
        <v>217</v>
      </c>
      <c r="C17" s="2295" t="s">
        <v>2313</v>
      </c>
      <c r="D17" s="108" t="s">
        <v>204</v>
      </c>
      <c r="E17" s="124" t="s">
        <v>205</v>
      </c>
      <c r="F17" s="125"/>
      <c r="G17" s="1364"/>
      <c r="H17" s="969" t="s">
        <v>218</v>
      </c>
      <c r="I17" s="970" t="s">
        <v>2312</v>
      </c>
      <c r="J17" s="1981"/>
      <c r="K17" s="3400" t="s">
        <v>2565</v>
      </c>
      <c r="L17" s="3401"/>
      <c r="M17" s="3402"/>
      <c r="N17" s="3400" t="s">
        <v>2566</v>
      </c>
      <c r="O17" s="3401"/>
      <c r="P17" s="3402"/>
      <c r="R17" s="2296" t="s">
        <v>2311</v>
      </c>
      <c r="S17" s="143"/>
    </row>
    <row r="18" spans="1:19" ht="15">
      <c r="A18" s="117"/>
      <c r="B18" s="128"/>
      <c r="C18" s="129"/>
      <c r="D18" s="2639"/>
      <c r="E18" s="130" t="s">
        <v>220</v>
      </c>
      <c r="F18" s="131" t="s">
        <v>221</v>
      </c>
      <c r="G18" s="1365" t="s">
        <v>222</v>
      </c>
      <c r="H18" s="971" t="s">
        <v>223</v>
      </c>
      <c r="I18" s="972" t="s">
        <v>224</v>
      </c>
      <c r="J18" s="1981"/>
      <c r="K18" s="2602" t="s">
        <v>2567</v>
      </c>
      <c r="L18" s="2603" t="s">
        <v>2568</v>
      </c>
      <c r="M18" s="2604" t="s">
        <v>2569</v>
      </c>
      <c r="N18" s="2602" t="s">
        <v>2567</v>
      </c>
      <c r="O18" s="2603" t="s">
        <v>2568</v>
      </c>
      <c r="P18" s="2604" t="s">
        <v>2569</v>
      </c>
      <c r="R18" s="2297" t="s">
        <v>2309</v>
      </c>
      <c r="S18" s="2297" t="s">
        <v>2310</v>
      </c>
    </row>
    <row r="19" spans="1:19">
      <c r="A19" s="133"/>
      <c r="B19" s="115" t="s">
        <v>225</v>
      </c>
      <c r="C19" s="3021" t="s">
        <v>3198</v>
      </c>
      <c r="D19" s="111">
        <f t="shared" ref="D19:D26" si="1">ROUND($D$3*E19/$E$3,2)</f>
        <v>14102.33</v>
      </c>
      <c r="E19" s="134">
        <f t="shared" ref="E19:E26" si="2">SUM(F19:G19)</f>
        <v>37366.439999999988</v>
      </c>
      <c r="F19" s="135">
        <f>'数据-基础表'!I14</f>
        <v>37366.439999999988</v>
      </c>
      <c r="G19" s="1366"/>
      <c r="H19" s="973">
        <f>ROUND($D$3*I19/$E$3,2)</f>
        <v>1369.49</v>
      </c>
      <c r="I19" s="116">
        <f>IF($I$17="自定义",P19,M19)</f>
        <v>3628.6800000000003</v>
      </c>
      <c r="J19" s="1981"/>
      <c r="K19" s="2605">
        <f t="shared" ref="K19:K26" si="3">ROUND(E$28*E19/E$27,2)</f>
        <v>3056.13</v>
      </c>
      <c r="L19" s="274">
        <f t="shared" ref="L19:L26" si="4">ROUND(IF(COUNTIF(C19,"*住宅*")&gt;0,E$29*E19/E$32,0),2)</f>
        <v>572.54999999999995</v>
      </c>
      <c r="M19" s="2606">
        <f>K19+L19</f>
        <v>3628.6800000000003</v>
      </c>
      <c r="N19" s="2607"/>
      <c r="O19" s="2608"/>
      <c r="P19" s="2609">
        <f>N19+O19</f>
        <v>0</v>
      </c>
      <c r="R19" s="274">
        <f t="shared" ref="R19:S26" si="5">D19+H19</f>
        <v>15471.82</v>
      </c>
      <c r="S19" s="2298">
        <f t="shared" si="5"/>
        <v>40995.119999999988</v>
      </c>
    </row>
    <row r="20" spans="1:19">
      <c r="A20" s="138"/>
      <c r="B20" s="115" t="s">
        <v>226</v>
      </c>
      <c r="C20" s="3021" t="s">
        <v>3200</v>
      </c>
      <c r="D20" s="111">
        <f t="shared" si="1"/>
        <v>1310.8</v>
      </c>
      <c r="E20" s="134">
        <f t="shared" si="2"/>
        <v>3473.1799999999967</v>
      </c>
      <c r="F20" s="135">
        <f>'数据-基础表'!K14</f>
        <v>3473.1799999999967</v>
      </c>
      <c r="G20" s="1366"/>
      <c r="H20" s="973">
        <f t="shared" ref="H20:H26" si="6">ROUND($D$3*I20/$E$3,2)</f>
        <v>127.29</v>
      </c>
      <c r="I20" s="116">
        <f t="shared" ref="I20:I26" si="7">IF($I$17="自定义",P20,M20)</f>
        <v>337.28</v>
      </c>
      <c r="J20" s="1981"/>
      <c r="K20" s="2605">
        <f t="shared" si="3"/>
        <v>284.06</v>
      </c>
      <c r="L20" s="274">
        <f t="shared" si="4"/>
        <v>53.22</v>
      </c>
      <c r="M20" s="2606">
        <f t="shared" ref="M20:M26" si="8">K20+L20</f>
        <v>337.28</v>
      </c>
      <c r="N20" s="2607"/>
      <c r="O20" s="2608"/>
      <c r="P20" s="2609">
        <f t="shared" ref="P20:P26" si="9">N20+O20</f>
        <v>0</v>
      </c>
      <c r="R20" s="274">
        <f t="shared" si="5"/>
        <v>1438.09</v>
      </c>
      <c r="S20" s="2298">
        <f t="shared" si="5"/>
        <v>3810.4599999999964</v>
      </c>
    </row>
    <row r="21" spans="1:19">
      <c r="A21" s="138"/>
      <c r="B21" s="115" t="s">
        <v>226</v>
      </c>
      <c r="C21" s="3021" t="s">
        <v>3202</v>
      </c>
      <c r="D21" s="111">
        <f t="shared" si="1"/>
        <v>8971.09</v>
      </c>
      <c r="E21" s="134">
        <f t="shared" si="2"/>
        <v>23770.38</v>
      </c>
      <c r="F21" s="135">
        <f>'数据-基础表'!M14</f>
        <v>23770.38</v>
      </c>
      <c r="G21" s="1366"/>
      <c r="H21" s="973">
        <f t="shared" si="6"/>
        <v>871.19</v>
      </c>
      <c r="I21" s="116">
        <f t="shared" si="7"/>
        <v>2308.36</v>
      </c>
      <c r="J21" s="1981"/>
      <c r="K21" s="2605">
        <f t="shared" si="3"/>
        <v>1944.13</v>
      </c>
      <c r="L21" s="274">
        <f t="shared" si="4"/>
        <v>364.23</v>
      </c>
      <c r="M21" s="2606">
        <f t="shared" si="8"/>
        <v>2308.36</v>
      </c>
      <c r="N21" s="2607"/>
      <c r="O21" s="2608"/>
      <c r="P21" s="2609">
        <f t="shared" si="9"/>
        <v>0</v>
      </c>
      <c r="R21" s="274">
        <f t="shared" si="5"/>
        <v>9842.2800000000007</v>
      </c>
      <c r="S21" s="2298">
        <f t="shared" si="5"/>
        <v>26078.74</v>
      </c>
    </row>
    <row r="22" spans="1:19">
      <c r="A22" s="138"/>
      <c r="B22" s="115" t="s">
        <v>226</v>
      </c>
      <c r="C22" s="3192" t="s">
        <v>3192</v>
      </c>
      <c r="D22" s="111">
        <f t="shared" si="1"/>
        <v>0</v>
      </c>
      <c r="E22" s="134">
        <f t="shared" si="2"/>
        <v>0</v>
      </c>
      <c r="F22" s="139"/>
      <c r="G22" s="1367"/>
      <c r="H22" s="973">
        <f t="shared" si="6"/>
        <v>0</v>
      </c>
      <c r="I22" s="116">
        <f t="shared" si="7"/>
        <v>0</v>
      </c>
      <c r="J22" s="1981"/>
      <c r="K22" s="2605">
        <f t="shared" si="3"/>
        <v>0</v>
      </c>
      <c r="L22" s="274">
        <f t="shared" si="4"/>
        <v>0</v>
      </c>
      <c r="M22" s="2606">
        <f t="shared" si="8"/>
        <v>0</v>
      </c>
      <c r="N22" s="2607"/>
      <c r="O22" s="2608"/>
      <c r="P22" s="2609">
        <f t="shared" si="9"/>
        <v>0</v>
      </c>
      <c r="R22" s="274">
        <f t="shared" si="5"/>
        <v>0</v>
      </c>
      <c r="S22" s="2298">
        <f t="shared" si="5"/>
        <v>0</v>
      </c>
    </row>
    <row r="23" spans="1:19">
      <c r="A23" s="138"/>
      <c r="B23" s="115" t="s">
        <v>226</v>
      </c>
      <c r="C23" s="3192" t="s">
        <v>3193</v>
      </c>
      <c r="D23" s="111">
        <f>ROUND($D$3*E23/$E$3,2)</f>
        <v>9859.17</v>
      </c>
      <c r="E23" s="134">
        <f>SUM(F23:G23)</f>
        <v>26123.5</v>
      </c>
      <c r="F23" s="139"/>
      <c r="G23" s="1367">
        <f>'数据-基础表'!S14</f>
        <v>26123.5</v>
      </c>
      <c r="H23" s="973">
        <f>ROUND($D$3*I23/$E$3,2)</f>
        <v>806.36</v>
      </c>
      <c r="I23" s="116">
        <f t="shared" si="7"/>
        <v>2136.59</v>
      </c>
      <c r="J23" s="1981"/>
      <c r="K23" s="2605">
        <f t="shared" si="3"/>
        <v>2136.59</v>
      </c>
      <c r="L23" s="274">
        <f t="shared" si="4"/>
        <v>0</v>
      </c>
      <c r="M23" s="2606">
        <f t="shared" si="8"/>
        <v>2136.59</v>
      </c>
      <c r="N23" s="2607"/>
      <c r="O23" s="2608"/>
      <c r="P23" s="2609">
        <f t="shared" si="9"/>
        <v>0</v>
      </c>
      <c r="R23" s="274">
        <f t="shared" si="5"/>
        <v>10665.53</v>
      </c>
      <c r="S23" s="2298">
        <f t="shared" si="5"/>
        <v>28260.09</v>
      </c>
    </row>
    <row r="24" spans="1:19">
      <c r="A24" s="138"/>
      <c r="B24" s="115" t="s">
        <v>226</v>
      </c>
      <c r="C24" s="3192" t="s">
        <v>3196</v>
      </c>
      <c r="D24" s="111">
        <f>ROUND($D$3*E24/$E$3,2)</f>
        <v>2217</v>
      </c>
      <c r="E24" s="134">
        <f>SUM(F24:G24)</f>
        <v>5874.31</v>
      </c>
      <c r="F24" s="139"/>
      <c r="G24" s="1367">
        <f>'数据-基础表'!W14</f>
        <v>5874.31</v>
      </c>
      <c r="H24" s="973">
        <f>ROUND($D$3*I24/$E$3,2)</f>
        <v>181.32</v>
      </c>
      <c r="I24" s="116">
        <f t="shared" si="7"/>
        <v>480.45</v>
      </c>
      <c r="J24" s="1981"/>
      <c r="K24" s="2605">
        <f t="shared" si="3"/>
        <v>480.45</v>
      </c>
      <c r="L24" s="274">
        <f t="shared" si="4"/>
        <v>0</v>
      </c>
      <c r="M24" s="2606">
        <f t="shared" si="8"/>
        <v>480.45</v>
      </c>
      <c r="N24" s="2607"/>
      <c r="O24" s="2608"/>
      <c r="P24" s="2609">
        <f t="shared" si="9"/>
        <v>0</v>
      </c>
      <c r="R24" s="274">
        <f t="shared" si="5"/>
        <v>2398.3200000000002</v>
      </c>
      <c r="S24" s="2298">
        <f t="shared" si="5"/>
        <v>6354.76</v>
      </c>
    </row>
    <row r="25" spans="1:19">
      <c r="A25" s="138"/>
      <c r="B25" s="115" t="s">
        <v>226</v>
      </c>
      <c r="C25" s="3192" t="s">
        <v>3230</v>
      </c>
      <c r="D25" s="111">
        <f t="shared" si="1"/>
        <v>22438.38</v>
      </c>
      <c r="E25" s="134">
        <f t="shared" si="2"/>
        <v>59454.19</v>
      </c>
      <c r="F25" s="139"/>
      <c r="G25" s="1367">
        <f>'数据-基础表'!U14</f>
        <v>59454.19</v>
      </c>
      <c r="H25" s="110">
        <f t="shared" si="6"/>
        <v>1835.19</v>
      </c>
      <c r="I25" s="116">
        <f t="shared" si="7"/>
        <v>4862.6400000000003</v>
      </c>
      <c r="J25" s="1981"/>
      <c r="K25" s="2605">
        <f t="shared" si="3"/>
        <v>4862.6400000000003</v>
      </c>
      <c r="L25" s="274">
        <f t="shared" si="4"/>
        <v>0</v>
      </c>
      <c r="M25" s="2606">
        <f t="shared" si="8"/>
        <v>4862.6400000000003</v>
      </c>
      <c r="N25" s="2607"/>
      <c r="O25" s="2608"/>
      <c r="P25" s="2609">
        <f t="shared" si="9"/>
        <v>0</v>
      </c>
      <c r="R25" s="274">
        <f t="shared" si="5"/>
        <v>24273.57</v>
      </c>
      <c r="S25" s="2298">
        <f t="shared" si="5"/>
        <v>64316.83</v>
      </c>
    </row>
    <row r="26" spans="1:19">
      <c r="A26" s="138"/>
      <c r="B26" s="115" t="s">
        <v>226</v>
      </c>
      <c r="C26" s="141"/>
      <c r="D26" s="111">
        <f t="shared" si="1"/>
        <v>0</v>
      </c>
      <c r="E26" s="134">
        <f t="shared" si="2"/>
        <v>0</v>
      </c>
      <c r="F26" s="139"/>
      <c r="G26" s="1367"/>
      <c r="H26" s="110">
        <f t="shared" si="6"/>
        <v>0</v>
      </c>
      <c r="I26" s="116">
        <f t="shared" si="7"/>
        <v>0</v>
      </c>
      <c r="J26" s="1981"/>
      <c r="K26" s="2610">
        <f t="shared" si="3"/>
        <v>0</v>
      </c>
      <c r="L26" s="279">
        <f t="shared" si="4"/>
        <v>0</v>
      </c>
      <c r="M26" s="145">
        <f t="shared" si="8"/>
        <v>0</v>
      </c>
      <c r="N26" s="2611"/>
      <c r="O26" s="2612"/>
      <c r="P26" s="2613">
        <f t="shared" si="9"/>
        <v>0</v>
      </c>
      <c r="R26" s="274">
        <f t="shared" si="5"/>
        <v>0</v>
      </c>
      <c r="S26" s="2298">
        <f t="shared" si="5"/>
        <v>0</v>
      </c>
    </row>
    <row r="27" spans="1:19" ht="29.25" thickBot="1">
      <c r="A27" s="138"/>
      <c r="B27" s="111"/>
      <c r="C27" s="127" t="s">
        <v>215</v>
      </c>
      <c r="D27" s="134">
        <f>SUM(D19:D26)</f>
        <v>58898.770000000004</v>
      </c>
      <c r="E27" s="142">
        <f>IF(SUM(E19:E26)='数据-基础表'!BA5,SUM(E19:E26),IF(F27="地上面积有误","面积有误","地下面积有误"))</f>
        <v>156062</v>
      </c>
      <c r="F27" s="134">
        <f>IF(SUM(F19:F26)=E8,SUM(F19:F26),"地上面积有误")</f>
        <v>64609.999999999985</v>
      </c>
      <c r="G27" s="112">
        <f>SUM(G19:G26)</f>
        <v>91452</v>
      </c>
      <c r="H27" s="974">
        <f>SUM(H19:H26)</f>
        <v>5190.84</v>
      </c>
      <c r="I27" s="975">
        <f>SUM(I19:I26)</f>
        <v>13754</v>
      </c>
      <c r="J27" s="1981"/>
      <c r="K27" s="2614">
        <f t="shared" ref="K27:P27" si="10">SUM(K19:K26)</f>
        <v>12764</v>
      </c>
      <c r="L27" s="2615">
        <f t="shared" si="10"/>
        <v>990</v>
      </c>
      <c r="M27" s="2616">
        <f t="shared" si="10"/>
        <v>13754</v>
      </c>
      <c r="N27" s="2614">
        <f t="shared" si="10"/>
        <v>0</v>
      </c>
      <c r="O27" s="2615">
        <f t="shared" si="10"/>
        <v>0</v>
      </c>
      <c r="P27" s="2617">
        <f t="shared" si="10"/>
        <v>0</v>
      </c>
      <c r="R27" s="2302" t="str">
        <f>IF(SUM(R19:R26)=$D$3,SUM(R19:R26),SUM(R19:R26)&amp;"误差"&amp;ROUND(SUM(R19:R26)-$D$3,2))</f>
        <v>64089.61误差-0.01</v>
      </c>
      <c r="S27" s="274">
        <f>IF(SUM(S19:S26)=$E$3,SUM(S19:S26),SUM(S19:S26)&amp;"误差"&amp;ROUND(SUM(S19:S26)-E3,2))</f>
        <v>169816</v>
      </c>
    </row>
    <row r="28" spans="1:19">
      <c r="A28" s="138"/>
      <c r="B28" s="115" t="s">
        <v>227</v>
      </c>
      <c r="C28" s="136" t="s">
        <v>228</v>
      </c>
      <c r="D28" s="111">
        <f>ROUND($D$3*E28/$E$3,2)</f>
        <v>4817.21</v>
      </c>
      <c r="E28" s="134">
        <f>SUM(F28:G28)</f>
        <v>12764</v>
      </c>
      <c r="F28" s="143">
        <f>'数据-基础表'!BQ5+'数据-基础表'!BS5</f>
        <v>84</v>
      </c>
      <c r="G28" s="144">
        <f>'数据-基础表'!BR5+'数据-基础表'!BT5</f>
        <v>12680</v>
      </c>
      <c r="H28" s="1981"/>
      <c r="I28" s="1981"/>
      <c r="J28" s="1981"/>
      <c r="K28" s="1981"/>
      <c r="L28" s="1981"/>
    </row>
    <row r="29" spans="1:19">
      <c r="A29" s="138"/>
      <c r="B29" s="115" t="s">
        <v>227</v>
      </c>
      <c r="C29" s="2310" t="s">
        <v>2320</v>
      </c>
      <c r="D29" s="111">
        <f>ROUND($D$3*E29/$E$3,2)</f>
        <v>373.63</v>
      </c>
      <c r="E29" s="134">
        <f>SUM(F29:G29)</f>
        <v>990</v>
      </c>
      <c r="F29" s="143">
        <f>'数据-基础表'!BM5+'数据-基础表'!BO5</f>
        <v>0</v>
      </c>
      <c r="G29" s="145">
        <f>'数据-基础表'!BN5+'数据-基础表'!BP5</f>
        <v>990</v>
      </c>
      <c r="H29" s="1981"/>
      <c r="I29" s="1981"/>
      <c r="J29" s="1981"/>
      <c r="K29" s="1981"/>
      <c r="L29" s="1981"/>
    </row>
    <row r="30" spans="1:19">
      <c r="A30" s="138"/>
      <c r="B30" s="111"/>
      <c r="C30" s="146" t="s">
        <v>215</v>
      </c>
      <c r="D30" s="134">
        <f>SUM(D28:D29)</f>
        <v>5190.84</v>
      </c>
      <c r="E30" s="134">
        <f>SUM(E28:E29)</f>
        <v>13754</v>
      </c>
      <c r="F30" s="134">
        <f>SUM(F28:F29)</f>
        <v>84</v>
      </c>
      <c r="G30" s="112">
        <f>SUM(G28:G29)</f>
        <v>13670</v>
      </c>
      <c r="H30" s="1981"/>
      <c r="I30" s="1981"/>
      <c r="J30" s="1981"/>
      <c r="K30" s="1981"/>
      <c r="L30" s="1981"/>
    </row>
    <row r="31" spans="1:19" ht="32.25" customHeight="1" thickBot="1">
      <c r="A31" s="1368"/>
      <c r="B31" s="1369" t="s">
        <v>229</v>
      </c>
      <c r="C31" s="2327" t="s">
        <v>2322</v>
      </c>
      <c r="D31" s="1370">
        <f>D27+D30</f>
        <v>64089.61</v>
      </c>
      <c r="E31" s="1370">
        <f>E27+E30</f>
        <v>169816</v>
      </c>
      <c r="F31" s="1371">
        <f>F27+F30</f>
        <v>64693.999999999985</v>
      </c>
      <c r="G31" s="1372">
        <f>G27+G30</f>
        <v>105122</v>
      </c>
      <c r="H31" s="1981"/>
      <c r="I31" s="1981"/>
      <c r="J31" s="1981"/>
      <c r="K31" s="1981"/>
      <c r="L31" s="1981"/>
    </row>
    <row r="32" spans="1:19">
      <c r="A32" s="1981"/>
      <c r="B32" s="2360" t="s">
        <v>2321</v>
      </c>
      <c r="C32" s="2644"/>
      <c r="D32" s="1200"/>
      <c r="E32" s="1200">
        <f>SUMIF(C19:C26,"*住宅*",E19:E26)</f>
        <v>64609.999999999985</v>
      </c>
      <c r="F32" s="1200"/>
      <c r="G32" s="1200"/>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96"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H29" sqref="H29"/>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5"/>
    <col min="42" max="42" width="0" style="1995" hidden="1" customWidth="1"/>
    <col min="43" max="83" width="13.75" style="1995"/>
    <col min="84" max="16384" width="13.75" style="1202"/>
  </cols>
  <sheetData>
    <row r="1" spans="1:83" ht="19.5" thickBot="1">
      <c r="A1" s="147" t="s">
        <v>234</v>
      </c>
      <c r="B1" s="1201"/>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5" customFormat="1" ht="15.75" thickBot="1">
      <c r="A2" s="148" t="s">
        <v>235</v>
      </c>
      <c r="B2" s="2335">
        <f>项目基本情况!D3</f>
        <v>43444</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5" customFormat="1" ht="15" thickBot="1">
      <c r="A3" s="1206"/>
      <c r="B3" s="1203"/>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5" customFormat="1" ht="15" thickBot="1">
      <c r="A4" s="149" t="s">
        <v>864</v>
      </c>
      <c r="B4" s="151"/>
      <c r="C4" s="152"/>
      <c r="D4" s="1207"/>
      <c r="E4" s="1208" t="s">
        <v>865</v>
      </c>
      <c r="F4" s="152"/>
      <c r="G4" s="152"/>
      <c r="H4" s="152"/>
      <c r="I4" s="152"/>
      <c r="J4" s="153"/>
      <c r="K4" s="1209"/>
      <c r="L4" s="1210"/>
      <c r="M4" s="152"/>
      <c r="N4" s="1208" t="s">
        <v>866</v>
      </c>
      <c r="O4" s="152"/>
      <c r="P4" s="152"/>
      <c r="Q4" s="152"/>
      <c r="R4" s="152"/>
      <c r="S4" s="153"/>
      <c r="T4" s="976" t="str">
        <f>'数据-汇总表'!I17</f>
        <v>按面积比例</v>
      </c>
      <c r="U4" s="151" t="s">
        <v>867</v>
      </c>
      <c r="V4" s="152"/>
      <c r="W4" s="152"/>
      <c r="X4" s="152"/>
      <c r="Y4" s="153"/>
      <c r="Z4" s="123" t="s">
        <v>868</v>
      </c>
      <c r="AA4" s="123"/>
      <c r="AB4" s="123"/>
      <c r="AC4" s="123"/>
      <c r="AD4" s="123"/>
      <c r="AE4" s="121" t="s">
        <v>869</v>
      </c>
      <c r="AF4" s="123"/>
      <c r="AG4" s="154"/>
      <c r="AH4" s="151"/>
      <c r="AI4" s="152"/>
      <c r="AJ4" s="152"/>
      <c r="AK4" s="152"/>
      <c r="AL4" s="152"/>
      <c r="AM4" s="153"/>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1" customFormat="1" ht="40.5">
      <c r="A5" s="2301" t="s">
        <v>2324</v>
      </c>
      <c r="B5" s="155" t="s">
        <v>236</v>
      </c>
      <c r="C5" s="156" t="s">
        <v>237</v>
      </c>
      <c r="D5" s="157" t="s">
        <v>238</v>
      </c>
      <c r="E5" s="158" t="s">
        <v>239</v>
      </c>
      <c r="F5" s="159" t="s">
        <v>240</v>
      </c>
      <c r="G5" s="158" t="s">
        <v>241</v>
      </c>
      <c r="H5" s="158" t="s">
        <v>862</v>
      </c>
      <c r="I5" s="158" t="s">
        <v>863</v>
      </c>
      <c r="J5" s="160" t="s">
        <v>242</v>
      </c>
      <c r="K5" s="161" t="s">
        <v>243</v>
      </c>
      <c r="L5" s="162" t="s">
        <v>244</v>
      </c>
      <c r="M5" s="163" t="s">
        <v>245</v>
      </c>
      <c r="N5" s="1218" t="s">
        <v>2825</v>
      </c>
      <c r="O5" s="162" t="s">
        <v>246</v>
      </c>
      <c r="P5" s="164" t="s">
        <v>247</v>
      </c>
      <c r="Q5" s="165" t="s">
        <v>248</v>
      </c>
      <c r="R5" s="166" t="s">
        <v>249</v>
      </c>
      <c r="S5" s="2618" t="s">
        <v>2570</v>
      </c>
      <c r="T5" s="167" t="s">
        <v>250</v>
      </c>
      <c r="U5" s="168" t="s">
        <v>251</v>
      </c>
      <c r="V5" s="158" t="s">
        <v>252</v>
      </c>
      <c r="W5" s="158" t="s">
        <v>253</v>
      </c>
      <c r="X5" s="1815"/>
      <c r="Y5" s="169" t="s">
        <v>254</v>
      </c>
      <c r="Z5" s="170" t="s">
        <v>255</v>
      </c>
      <c r="AA5" s="158" t="s">
        <v>252</v>
      </c>
      <c r="AB5" s="158" t="s">
        <v>253</v>
      </c>
      <c r="AC5" s="1816"/>
      <c r="AD5" s="171" t="s">
        <v>254</v>
      </c>
      <c r="AE5" s="1" t="s">
        <v>870</v>
      </c>
      <c r="AF5" s="158" t="s">
        <v>256</v>
      </c>
      <c r="AG5" s="169" t="s">
        <v>257</v>
      </c>
      <c r="AH5" s="1816" t="s">
        <v>2323</v>
      </c>
      <c r="AI5" s="170" t="s">
        <v>2292</v>
      </c>
      <c r="AJ5" s="170" t="s">
        <v>258</v>
      </c>
      <c r="AK5" s="158" t="s">
        <v>259</v>
      </c>
      <c r="AL5" s="158" t="s">
        <v>260</v>
      </c>
      <c r="AM5" s="171" t="s">
        <v>261</v>
      </c>
      <c r="AN5" s="2388" t="s">
        <v>2371</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5" customFormat="1" ht="14.25">
      <c r="A6" s="2299" t="str">
        <f>'数据-汇总表'!C19</f>
        <v>低密度住宅</v>
      </c>
      <c r="B6" s="2334" t="str">
        <f>IF(A6=0,"","经营性")</f>
        <v>经营性</v>
      </c>
      <c r="C6" s="172" t="s">
        <v>923</v>
      </c>
      <c r="D6" s="2305">
        <f>SUMIF(项目基本情况!D$15:I$15,C6,项目基本情况!D$18:I$18)</f>
        <v>70</v>
      </c>
      <c r="E6" s="2306">
        <f>IF(B6="","",SUMIF(项目基本情况!D$15:I$15,C6,项目基本情况!D$17:I$17))</f>
        <v>68510</v>
      </c>
      <c r="F6" s="173">
        <f>SUMIF(项目基本情况!D$15:I$15,C6,项目基本情况!D$19:I$19)</f>
        <v>68.67</v>
      </c>
      <c r="G6" s="174">
        <f t="shared" ref="G6:G13" si="0">IF(ISERROR(ROUND(POWER(1+H6,D6-F6)*(POWER(1+H6,F6)-1)/(POWER(1+H6,D6)-1),3)),0,ROUND(POWER(1+H6,D6-F6)*(POWER(1+H6,F6)-1)/(POWER(1+H6,D6)-1),3))</f>
        <v>0.997</v>
      </c>
      <c r="H6" s="3022">
        <v>4.4999999999999998E-2</v>
      </c>
      <c r="I6" s="3022">
        <v>0.05</v>
      </c>
      <c r="J6" s="175">
        <v>8.5000000000000006E-2</v>
      </c>
      <c r="K6" s="178">
        <f>SUMIF('数据-汇总表'!C$19:C$33,'数据-取费表'!A6,'数据-汇总表'!E$19:E$33)</f>
        <v>37366.439999999988</v>
      </c>
      <c r="L6" s="3023">
        <v>4000</v>
      </c>
      <c r="M6" s="176">
        <f t="shared" ref="M6:M14" si="1">ROUND(K6*L6/10000,0)</f>
        <v>14947</v>
      </c>
      <c r="N6" s="3024">
        <v>0</v>
      </c>
      <c r="O6" s="176">
        <f>IF($N$5="成新度","——",ROUND(M6*N6,0))</f>
        <v>0</v>
      </c>
      <c r="P6" s="177">
        <f>IF($N$5="成新度","——",M6-O6)</f>
        <v>14947</v>
      </c>
      <c r="Q6" s="3025">
        <f>'[1]数据-取费表'!$Q$6</f>
        <v>0.1</v>
      </c>
      <c r="R6" s="178">
        <f>SUMIF('数据-汇总表'!C$19:C$33,A6,'数据-汇总表'!R$19:R$33)</f>
        <v>15471.82</v>
      </c>
      <c r="S6" s="132">
        <f>IF('数据-汇总表'!$I$17="按面积比例",SUMIF('数据-汇总表'!C$19:C$33,A6,'数据-汇总表'!K$19:K$33),SUMIF('数据-汇总表'!C$19:C$33,A6,'数据-汇总表'!N$19:N$33))</f>
        <v>3056.13</v>
      </c>
      <c r="T6" s="2231">
        <f>IF($T$4="按面积比例",IF(ISERROR(ROUND($M$14*S6/S$16,0)),"0",ROUND($M$14*S6/S$16,0)),"需自行计算录入")</f>
        <v>733</v>
      </c>
      <c r="U6" s="179"/>
      <c r="V6" s="180"/>
      <c r="W6" s="180"/>
      <c r="X6" s="2318"/>
      <c r="Y6" s="181"/>
      <c r="Z6" s="182"/>
      <c r="AA6" s="175"/>
      <c r="AB6" s="175"/>
      <c r="AC6" s="2321"/>
      <c r="AD6" s="183"/>
      <c r="AE6" s="971">
        <f ca="1">IF(AN6="",0,SUMIF(INDIRECT("'"&amp;AN6&amp;"'"&amp;"!E:E"),$AE$5,INDIRECT("'"&amp;AN6&amp;"'"&amp;"!F:F")))</f>
        <v>0</v>
      </c>
      <c r="AF6" s="140"/>
      <c r="AG6" s="1212">
        <f>IF(AF6="",0,AE6-AF6)</f>
        <v>0</v>
      </c>
      <c r="AH6" s="140"/>
      <c r="AI6" s="186"/>
      <c r="AJ6" s="187"/>
      <c r="AK6" s="188"/>
      <c r="AL6" s="189"/>
      <c r="AM6" s="3036"/>
      <c r="AN6" s="2389"/>
      <c r="AO6" s="1997"/>
      <c r="AP6" s="1203">
        <f>ROUND(1-1/(1+H6)^F6,3)</f>
        <v>0.95099999999999996</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5" customFormat="1" ht="14.25">
      <c r="A7" s="2299" t="str">
        <f>'数据-汇总表'!C20</f>
        <v>多层住宅</v>
      </c>
      <c r="B7" s="2334" t="str">
        <f t="shared" ref="B7:B13" si="2">IF(A7=0,"","经营性")</f>
        <v>经营性</v>
      </c>
      <c r="C7" s="172" t="s">
        <v>923</v>
      </c>
      <c r="D7" s="2305">
        <f>SUMIF(项目基本情况!D$15:I$15,C7,项目基本情况!D$18:I$18)</f>
        <v>70</v>
      </c>
      <c r="E7" s="2306">
        <f>IF(B7="","",SUMIF(项目基本情况!D$15:I$15,C7,项目基本情况!D$17:I$17))</f>
        <v>68510</v>
      </c>
      <c r="F7" s="173">
        <f>SUMIF(项目基本情况!D$15:I$15,C7,项目基本情况!D$19:I$19)</f>
        <v>68.67</v>
      </c>
      <c r="G7" s="174">
        <f t="shared" si="0"/>
        <v>0.997</v>
      </c>
      <c r="H7" s="3022">
        <v>4.4999999999999998E-2</v>
      </c>
      <c r="I7" s="3022">
        <v>0.05</v>
      </c>
      <c r="J7" s="175">
        <v>8.5000000000000006E-2</v>
      </c>
      <c r="K7" s="178">
        <f>SUMIF('数据-汇总表'!C$19:C$33,'数据-取费表'!A7,'数据-汇总表'!E$19:E$33)</f>
        <v>3473.1799999999967</v>
      </c>
      <c r="L7" s="3023">
        <f>L6</f>
        <v>4000</v>
      </c>
      <c r="M7" s="176">
        <f t="shared" si="1"/>
        <v>1389</v>
      </c>
      <c r="N7" s="3024">
        <v>0</v>
      </c>
      <c r="O7" s="176">
        <f t="shared" ref="O7:O14" si="3">IF($N$5="成新度","——",ROUND(M7*N7,0))</f>
        <v>0</v>
      </c>
      <c r="P7" s="177">
        <f t="shared" ref="P7:P14" si="4">IF($N$5="成新度","——",M7-O7)</f>
        <v>1389</v>
      </c>
      <c r="Q7" s="3025">
        <f>'[1]数据-取费表'!$Q$7</f>
        <v>0.1</v>
      </c>
      <c r="R7" s="178">
        <f>SUMIF('数据-汇总表'!C$19:C$33,A7,'数据-汇总表'!R$19:R$33)</f>
        <v>1438.09</v>
      </c>
      <c r="S7" s="132">
        <f>IF('数据-汇总表'!$I$17="按面积比例",SUMIF('数据-汇总表'!C$19:C$33,A7,'数据-汇总表'!K$19:K$33),SUMIF('数据-汇总表'!C$19:C$33,A7,'数据-汇总表'!N$19:N$33))</f>
        <v>284.06</v>
      </c>
      <c r="T7" s="2231">
        <f t="shared" ref="T7:T13" si="5">IF($T$4="按面积比例",IF(ISERROR(ROUND($M$14*S7/S$16,0)),"0",ROUND($M$14*S7/S$16,0)),"需自行计算录入")</f>
        <v>68</v>
      </c>
      <c r="U7" s="179"/>
      <c r="V7" s="180"/>
      <c r="W7" s="180"/>
      <c r="X7" s="2318"/>
      <c r="Y7" s="181"/>
      <c r="Z7" s="182"/>
      <c r="AA7" s="175"/>
      <c r="AB7" s="175"/>
      <c r="AC7" s="2321"/>
      <c r="AD7" s="183"/>
      <c r="AE7" s="971">
        <f t="shared" ref="AE7:AE13" ca="1" si="6">IF(AN7="",0,SUMIF(INDIRECT("'"&amp;AN7&amp;"'"&amp;"!E:E"),$AE$5,INDIRECT("'"&amp;AN7&amp;"'"&amp;"!F:F")))</f>
        <v>0</v>
      </c>
      <c r="AF7" s="140"/>
      <c r="AG7" s="1212">
        <f t="shared" ref="AG7:AG13" si="7">IF(AF7="",0,AE7-AF7)</f>
        <v>0</v>
      </c>
      <c r="AH7" s="140"/>
      <c r="AI7" s="186"/>
      <c r="AJ7" s="187"/>
      <c r="AK7" s="188"/>
      <c r="AL7" s="189"/>
      <c r="AM7" s="2387"/>
      <c r="AN7" s="2389"/>
      <c r="AO7" s="1997"/>
      <c r="AP7" s="1203">
        <f t="shared" ref="AP7:AP13" si="8">ROUND(1-1/(1+H7)^F7,3)</f>
        <v>0.95099999999999996</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5" customFormat="1" ht="14.25">
      <c r="A8" s="2299" t="str">
        <f>'数据-汇总表'!C21</f>
        <v>自持住宅</v>
      </c>
      <c r="B8" s="2334" t="str">
        <f t="shared" si="2"/>
        <v>经营性</v>
      </c>
      <c r="C8" s="172" t="s">
        <v>923</v>
      </c>
      <c r="D8" s="2305">
        <f>SUMIF(项目基本情况!D$15:I$15,C8,项目基本情况!D$18:I$18)</f>
        <v>70</v>
      </c>
      <c r="E8" s="2306">
        <f>IF(B8="","",SUMIF(项目基本情况!D$15:I$15,C8,项目基本情况!D$17:I$17))</f>
        <v>68510</v>
      </c>
      <c r="F8" s="173">
        <f>SUMIF(项目基本情况!D$15:I$15,C8,项目基本情况!D$19:I$19)</f>
        <v>68.67</v>
      </c>
      <c r="G8" s="174">
        <f t="shared" si="0"/>
        <v>0.997</v>
      </c>
      <c r="H8" s="3022">
        <v>4.4999999999999998E-2</v>
      </c>
      <c r="I8" s="3022">
        <v>0.05</v>
      </c>
      <c r="J8" s="175">
        <v>8.5000000000000006E-2</v>
      </c>
      <c r="K8" s="178">
        <f>SUMIF('数据-汇总表'!C$19:C$33,'数据-取费表'!A8,'数据-汇总表'!E$19:E$33)</f>
        <v>23770.38</v>
      </c>
      <c r="L8" s="3023">
        <f>L6</f>
        <v>4000</v>
      </c>
      <c r="M8" s="176">
        <f>ROUND(K8*L8/10000,0)</f>
        <v>9508</v>
      </c>
      <c r="N8" s="3024">
        <v>0</v>
      </c>
      <c r="O8" s="176">
        <f t="shared" si="3"/>
        <v>0</v>
      </c>
      <c r="P8" s="177">
        <f t="shared" si="4"/>
        <v>9508</v>
      </c>
      <c r="Q8" s="3025">
        <f>'[1]数据-取费表'!$Q$8</f>
        <v>0.05</v>
      </c>
      <c r="R8" s="178">
        <f>SUMIF('数据-汇总表'!C$19:C$33,A8,'数据-汇总表'!R$19:R$33)</f>
        <v>9842.2800000000007</v>
      </c>
      <c r="S8" s="132">
        <f>IF('数据-汇总表'!$I$17="按面积比例",SUMIF('数据-汇总表'!C$19:C$33,A8,'数据-汇总表'!K$19:K$33),SUMIF('数据-汇总表'!C$19:C$33,A8,'数据-汇总表'!N$19:N$33))</f>
        <v>1944.13</v>
      </c>
      <c r="T8" s="2231">
        <f t="shared" si="5"/>
        <v>467</v>
      </c>
      <c r="U8" s="184">
        <f>'[1]数据-取费表'!$U$8</f>
        <v>3</v>
      </c>
      <c r="V8" s="180">
        <f>'[1]数据-取费表'!$V$8</f>
        <v>0.03</v>
      </c>
      <c r="W8" s="180">
        <f>'[1]数据-取费表'!$W$8</f>
        <v>0.1</v>
      </c>
      <c r="X8" s="2318"/>
      <c r="Y8" s="181">
        <v>1</v>
      </c>
      <c r="Z8" s="182"/>
      <c r="AA8" s="175"/>
      <c r="AB8" s="175"/>
      <c r="AC8" s="2321"/>
      <c r="AD8" s="183"/>
      <c r="AE8" s="971">
        <f t="shared" ca="1" si="6"/>
        <v>66.67</v>
      </c>
      <c r="AF8" s="140"/>
      <c r="AG8" s="1212">
        <f t="shared" si="7"/>
        <v>0</v>
      </c>
      <c r="AH8" s="140"/>
      <c r="AI8" s="186">
        <v>365</v>
      </c>
      <c r="AJ8" s="187"/>
      <c r="AK8" s="188">
        <f>'[1]数据-取费表'!$AK$8</f>
        <v>1.4999999999999999E-2</v>
      </c>
      <c r="AL8" s="189">
        <f>'[1]数据-取费表'!$AL$8</f>
        <v>1.5E-3</v>
      </c>
      <c r="AM8" s="2387">
        <f>'[1]数据-取费表'!$AM$8</f>
        <v>1.4999999999999999E-2</v>
      </c>
      <c r="AN8" s="2389" t="s">
        <v>3232</v>
      </c>
      <c r="AO8" s="1997"/>
      <c r="AP8" s="1203">
        <f t="shared" si="8"/>
        <v>0.95099999999999996</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5" customFormat="1" ht="14.25">
      <c r="A9" s="2299" t="str">
        <f>'数据-汇总表'!C22</f>
        <v>商业</v>
      </c>
      <c r="B9" s="2334" t="str">
        <f t="shared" si="2"/>
        <v>经营性</v>
      </c>
      <c r="C9" s="172" t="s">
        <v>3033</v>
      </c>
      <c r="D9" s="2305">
        <f>SUMIF(项目基本情况!D$15:I$15,C9,项目基本情况!D$18:I$18)</f>
        <v>40</v>
      </c>
      <c r="E9" s="2306">
        <f>IF(B9="","",SUMIF(项目基本情况!D$15:I$15,C9,项目基本情况!D$17:I$17))</f>
        <v>57553</v>
      </c>
      <c r="F9" s="173">
        <f>SUMIF(项目基本情况!D$15:I$15,C9,项目基本情况!D$19:I$19)</f>
        <v>38.65</v>
      </c>
      <c r="G9" s="174">
        <f t="shared" si="0"/>
        <v>0.98899999999999999</v>
      </c>
      <c r="H9" s="3022">
        <v>0.05</v>
      </c>
      <c r="I9" s="3022">
        <v>5.5E-2</v>
      </c>
      <c r="J9" s="175">
        <v>8.5000000000000006E-2</v>
      </c>
      <c r="K9" s="178">
        <f>SUMIF('数据-汇总表'!C$19:C$33,'数据-取费表'!A9,'数据-汇总表'!E$19:E$33)</f>
        <v>0</v>
      </c>
      <c r="L9" s="192">
        <f>L6</f>
        <v>4000</v>
      </c>
      <c r="M9" s="176">
        <f t="shared" si="1"/>
        <v>0</v>
      </c>
      <c r="N9" s="193">
        <v>0</v>
      </c>
      <c r="O9" s="176">
        <f t="shared" si="3"/>
        <v>0</v>
      </c>
      <c r="P9" s="177">
        <f t="shared" si="4"/>
        <v>0</v>
      </c>
      <c r="Q9" s="191">
        <f>'[1]数据-取费表'!$Q$9</f>
        <v>0.15</v>
      </c>
      <c r="R9" s="178">
        <f>SUMIF('数据-汇总表'!C$19:C$33,A9,'数据-汇总表'!R$19:R$33)</f>
        <v>0</v>
      </c>
      <c r="S9" s="132">
        <f>IF('数据-汇总表'!$I$17="按面积比例",SUMIF('数据-汇总表'!C$19:C$33,A9,'数据-汇总表'!K$19:K$33),SUMIF('数据-汇总表'!C$19:C$33,A9,'数据-汇总表'!N$19:N$33))</f>
        <v>0</v>
      </c>
      <c r="T9" s="2231">
        <f t="shared" si="5"/>
        <v>0</v>
      </c>
      <c r="U9" s="184"/>
      <c r="V9" s="180"/>
      <c r="W9" s="180"/>
      <c r="X9" s="2318"/>
      <c r="Y9" s="181">
        <v>1</v>
      </c>
      <c r="Z9" s="182"/>
      <c r="AA9" s="175"/>
      <c r="AB9" s="175"/>
      <c r="AC9" s="2321"/>
      <c r="AD9" s="183"/>
      <c r="AE9" s="971">
        <f t="shared" ca="1" si="6"/>
        <v>36.65</v>
      </c>
      <c r="AF9" s="140"/>
      <c r="AG9" s="1212">
        <f t="shared" si="7"/>
        <v>0</v>
      </c>
      <c r="AH9" s="140"/>
      <c r="AI9" s="186">
        <v>365</v>
      </c>
      <c r="AJ9" s="187"/>
      <c r="AK9" s="188"/>
      <c r="AL9" s="189"/>
      <c r="AM9" s="2387">
        <f>'[1]数据-取费表'!$AM$8</f>
        <v>1.4999999999999999E-2</v>
      </c>
      <c r="AN9" s="3246" t="s">
        <v>3299</v>
      </c>
      <c r="AO9" s="1997"/>
      <c r="AP9" s="1203">
        <f t="shared" si="8"/>
        <v>0.84799999999999998</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5" customFormat="1" ht="14.25">
      <c r="A10" s="2299" t="str">
        <f>'数据-汇总表'!C23</f>
        <v>地下车库</v>
      </c>
      <c r="B10" s="2334" t="str">
        <f t="shared" si="2"/>
        <v>经营性</v>
      </c>
      <c r="C10" s="172" t="s">
        <v>3169</v>
      </c>
      <c r="D10" s="2305">
        <f>SUMIF(项目基本情况!D$15:I$15,C10,项目基本情况!D$18:I$18)</f>
        <v>50</v>
      </c>
      <c r="E10" s="2306">
        <f>IF(B10="","",SUMIF(项目基本情况!D$15:I$15,C10,项目基本情况!D$17:I$17))</f>
        <v>61205</v>
      </c>
      <c r="F10" s="173">
        <f>SUMIF(项目基本情况!D$15:I$15,C10,项目基本情况!D$19:I$19)</f>
        <v>48.66</v>
      </c>
      <c r="G10" s="174">
        <f t="shared" si="0"/>
        <v>0.99199999999999999</v>
      </c>
      <c r="H10" s="3022">
        <v>4.4999999999999998E-2</v>
      </c>
      <c r="I10" s="3022">
        <v>0.05</v>
      </c>
      <c r="J10" s="175">
        <v>8.5000000000000006E-2</v>
      </c>
      <c r="K10" s="178">
        <f>SUMIF('数据-汇总表'!C$19:C$33,'数据-取费表'!A10,'数据-汇总表'!E$19:E$33)</f>
        <v>26123.5</v>
      </c>
      <c r="L10" s="192">
        <v>2400</v>
      </c>
      <c r="M10" s="176">
        <f t="shared" si="1"/>
        <v>6270</v>
      </c>
      <c r="N10" s="193">
        <v>0</v>
      </c>
      <c r="O10" s="176">
        <f t="shared" si="3"/>
        <v>0</v>
      </c>
      <c r="P10" s="177">
        <f t="shared" si="4"/>
        <v>6270</v>
      </c>
      <c r="Q10" s="191">
        <f>'[1]数据-取费表'!$Q$10</f>
        <v>0.05</v>
      </c>
      <c r="R10" s="178">
        <f>SUMIF('数据-汇总表'!C$19:C$33,A10,'数据-汇总表'!R$19:R$33)</f>
        <v>10665.53</v>
      </c>
      <c r="S10" s="132">
        <f>IF('数据-汇总表'!$I$17="按面积比例",SUMIF('数据-汇总表'!C$19:C$33,A10,'数据-汇总表'!K$19:K$33),SUMIF('数据-汇总表'!C$19:C$33,A10,'数据-汇总表'!N$19:N$33))</f>
        <v>2136.59</v>
      </c>
      <c r="T10" s="2231">
        <f t="shared" si="5"/>
        <v>513</v>
      </c>
      <c r="U10" s="184">
        <v>1</v>
      </c>
      <c r="V10" s="180">
        <v>0.03</v>
      </c>
      <c r="W10" s="180">
        <f>'[1]数据-取费表'!$W$10</f>
        <v>0.1</v>
      </c>
      <c r="X10" s="2318"/>
      <c r="Y10" s="181">
        <v>1</v>
      </c>
      <c r="Z10" s="182"/>
      <c r="AA10" s="175"/>
      <c r="AB10" s="175"/>
      <c r="AC10" s="2321"/>
      <c r="AD10" s="183"/>
      <c r="AE10" s="971">
        <f t="shared" ca="1" si="6"/>
        <v>46.66</v>
      </c>
      <c r="AF10" s="140"/>
      <c r="AG10" s="1212">
        <f t="shared" si="7"/>
        <v>0</v>
      </c>
      <c r="AH10" s="140"/>
      <c r="AI10" s="186">
        <v>365</v>
      </c>
      <c r="AJ10" s="187"/>
      <c r="AK10" s="188">
        <f>'[1]数据-取费表'!$AK$10</f>
        <v>1.4999999999999999E-2</v>
      </c>
      <c r="AL10" s="189">
        <f>'[1]数据-取费表'!$AL$10</f>
        <v>1.5E-3</v>
      </c>
      <c r="AM10" s="2387">
        <f>'[1]数据-取费表'!$AM$8</f>
        <v>1.4999999999999999E-2</v>
      </c>
      <c r="AN10" s="2389" t="s">
        <v>3258</v>
      </c>
      <c r="AO10" s="1997"/>
      <c r="AP10" s="1203">
        <f t="shared" si="8"/>
        <v>0.88300000000000001</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5" customFormat="1" ht="14.25">
      <c r="A11" s="2299" t="str">
        <f>'数据-汇总表'!C24</f>
        <v>库房</v>
      </c>
      <c r="B11" s="2334" t="str">
        <f t="shared" si="2"/>
        <v>经营性</v>
      </c>
      <c r="C11" s="172" t="s">
        <v>3194</v>
      </c>
      <c r="D11" s="2305">
        <f>SUMIF(项目基本情况!D$15:I$15,C11,项目基本情况!D$18:I$18)</f>
        <v>50</v>
      </c>
      <c r="E11" s="2306">
        <f>IF(B11="","",SUMIF(项目基本情况!D$15:I$15,C11,项目基本情况!D$17:I$17))</f>
        <v>61205</v>
      </c>
      <c r="F11" s="173">
        <f>SUMIF(项目基本情况!D$15:I$15,C11,项目基本情况!D$19:I$19)</f>
        <v>48.66</v>
      </c>
      <c r="G11" s="174">
        <f t="shared" si="0"/>
        <v>0.99199999999999999</v>
      </c>
      <c r="H11" s="3022">
        <v>4.4999999999999998E-2</v>
      </c>
      <c r="I11" s="3022">
        <v>0.05</v>
      </c>
      <c r="J11" s="175">
        <v>8.5000000000000006E-2</v>
      </c>
      <c r="K11" s="178">
        <f>SUMIF('数据-汇总表'!C$19:C$33,'数据-取费表'!A11,'数据-汇总表'!E$19:E$33)</f>
        <v>5874.31</v>
      </c>
      <c r="L11" s="192">
        <v>2400</v>
      </c>
      <c r="M11" s="176">
        <f t="shared" si="1"/>
        <v>1410</v>
      </c>
      <c r="N11" s="193">
        <v>0</v>
      </c>
      <c r="O11" s="176">
        <f t="shared" si="3"/>
        <v>0</v>
      </c>
      <c r="P11" s="177">
        <f t="shared" si="4"/>
        <v>1410</v>
      </c>
      <c r="Q11" s="191">
        <v>0.05</v>
      </c>
      <c r="R11" s="178">
        <f>SUMIF('数据-汇总表'!C$19:C$33,A11,'数据-汇总表'!R$19:R$33)</f>
        <v>2398.3200000000002</v>
      </c>
      <c r="S11" s="132">
        <f>IF('数据-汇总表'!$I$17="按面积比例",SUMIF('数据-汇总表'!C$19:C$33,A11,'数据-汇总表'!K$19:K$33),SUMIF('数据-汇总表'!C$19:C$33,A11,'数据-汇总表'!N$19:N$33))</f>
        <v>480.45</v>
      </c>
      <c r="T11" s="2231">
        <f t="shared" si="5"/>
        <v>115</v>
      </c>
      <c r="U11" s="184">
        <v>1.5</v>
      </c>
      <c r="V11" s="175">
        <v>0.03</v>
      </c>
      <c r="W11" s="175">
        <f>'[1]数据-取费表'!$W$11</f>
        <v>0.1</v>
      </c>
      <c r="X11" s="2321"/>
      <c r="Y11" s="181">
        <v>1</v>
      </c>
      <c r="Z11" s="194"/>
      <c r="AA11" s="175"/>
      <c r="AB11" s="175"/>
      <c r="AC11" s="2321"/>
      <c r="AD11" s="183"/>
      <c r="AE11" s="971">
        <f t="shared" ca="1" si="6"/>
        <v>46.66</v>
      </c>
      <c r="AF11" s="140"/>
      <c r="AG11" s="1212">
        <f t="shared" si="7"/>
        <v>0</v>
      </c>
      <c r="AH11" s="140"/>
      <c r="AI11" s="186">
        <v>365</v>
      </c>
      <c r="AJ11" s="187"/>
      <c r="AK11" s="195">
        <f>'[1]数据-取费表'!$AK$11</f>
        <v>1.4999999999999999E-2</v>
      </c>
      <c r="AL11" s="196">
        <f>'[1]数据-取费表'!$AL$11</f>
        <v>1.5E-3</v>
      </c>
      <c r="AM11" s="2387">
        <f>'[1]数据-取费表'!$AM$8</f>
        <v>1.4999999999999999E-2</v>
      </c>
      <c r="AN11" s="2389" t="s">
        <v>3259</v>
      </c>
      <c r="AO11" s="1997"/>
      <c r="AP11" s="1203">
        <f t="shared" si="8"/>
        <v>0.88300000000000001</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5" customFormat="1" ht="14.25">
      <c r="A12" s="2299" t="str">
        <f>'数据-汇总表'!C25</f>
        <v>低密度地下库房</v>
      </c>
      <c r="B12" s="2334" t="str">
        <f t="shared" si="2"/>
        <v>经营性</v>
      </c>
      <c r="C12" s="172" t="s">
        <v>3194</v>
      </c>
      <c r="D12" s="2305">
        <f>SUMIF(项目基本情况!D$15:I$15,C12,项目基本情况!D$18:I$18)</f>
        <v>50</v>
      </c>
      <c r="E12" s="2306">
        <f>IF(B12="","",SUMIF(项目基本情况!D$15:I$15,C12,项目基本情况!D$17:I$17))</f>
        <v>61205</v>
      </c>
      <c r="F12" s="173">
        <f>SUMIF(项目基本情况!D$15:I$15,C12,项目基本情况!D$19:I$19)</f>
        <v>48.66</v>
      </c>
      <c r="G12" s="174">
        <f t="shared" si="0"/>
        <v>0.99199999999999999</v>
      </c>
      <c r="H12" s="3022">
        <v>4.4999999999999998E-2</v>
      </c>
      <c r="I12" s="3022">
        <v>0.05</v>
      </c>
      <c r="J12" s="175">
        <v>8.5000000000000006E-2</v>
      </c>
      <c r="K12" s="178">
        <f>SUMIF('数据-汇总表'!C$19:C$33,'数据-取费表'!A12,'数据-汇总表'!E$19:E$33)</f>
        <v>59454.19</v>
      </c>
      <c r="L12" s="192">
        <v>2400</v>
      </c>
      <c r="M12" s="176">
        <f>ROUND(K12*L12/10000,0)</f>
        <v>14269</v>
      </c>
      <c r="N12" s="193">
        <v>0</v>
      </c>
      <c r="O12" s="176">
        <f t="shared" si="3"/>
        <v>0</v>
      </c>
      <c r="P12" s="177">
        <f t="shared" si="4"/>
        <v>14269</v>
      </c>
      <c r="Q12" s="191">
        <v>0.1</v>
      </c>
      <c r="R12" s="178">
        <f>SUMIF('数据-汇总表'!C$19:C$33,A12,'数据-汇总表'!R$19:R$33)</f>
        <v>24273.57</v>
      </c>
      <c r="S12" s="132">
        <f>IF('数据-汇总表'!$I$17="按面积比例",SUMIF('数据-汇总表'!C$19:C$33,A12,'数据-汇总表'!K$19:K$33),SUMIF('数据-汇总表'!C$19:C$33,A12,'数据-汇总表'!N$19:N$33))</f>
        <v>4862.6400000000003</v>
      </c>
      <c r="T12" s="2231">
        <f t="shared" si="5"/>
        <v>1167</v>
      </c>
      <c r="U12" s="184"/>
      <c r="V12" s="175"/>
      <c r="W12" s="175"/>
      <c r="X12" s="2321"/>
      <c r="Y12" s="181"/>
      <c r="Z12" s="194"/>
      <c r="AA12" s="175"/>
      <c r="AB12" s="175"/>
      <c r="AC12" s="2321"/>
      <c r="AD12" s="183"/>
      <c r="AE12" s="971">
        <f t="shared" ca="1" si="6"/>
        <v>0</v>
      </c>
      <c r="AF12" s="140"/>
      <c r="AG12" s="1212">
        <f t="shared" si="7"/>
        <v>0</v>
      </c>
      <c r="AH12" s="140"/>
      <c r="AI12" s="186"/>
      <c r="AJ12" s="187"/>
      <c r="AK12" s="195"/>
      <c r="AL12" s="196"/>
      <c r="AM12" s="2387"/>
      <c r="AN12" s="2389"/>
      <c r="AO12" s="1997"/>
      <c r="AP12" s="1203">
        <f t="shared" si="8"/>
        <v>0.88300000000000001</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5" customFormat="1" ht="14.25">
      <c r="A13" s="2299">
        <f>'数据-汇总表'!C26</f>
        <v>0</v>
      </c>
      <c r="B13" s="2334" t="str">
        <f t="shared" si="2"/>
        <v/>
      </c>
      <c r="C13" s="172"/>
      <c r="D13" s="2305">
        <f>SUMIF(项目基本情况!D$15:I$15,C13,项目基本情况!D$18:I$18)</f>
        <v>0</v>
      </c>
      <c r="E13" s="2306" t="str">
        <f>IF(B13="","",SUMIF(项目基本情况!D$15:I$15,C13,项目基本情况!D$17:I$17))</f>
        <v/>
      </c>
      <c r="F13" s="173">
        <f>SUMIF(项目基本情况!D$15:I$15,C13,项目基本情况!D$19:I$19)</f>
        <v>0</v>
      </c>
      <c r="G13" s="174">
        <f t="shared" si="0"/>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2">
        <f>IF('数据-汇总表'!$I$17="按面积比例",SUMIF('数据-汇总表'!C$19:C$33,A13,'数据-汇总表'!K$19:K$33),SUMIF('数据-汇总表'!C$19:C$33,A13,'数据-汇总表'!N$19:N$33))</f>
        <v>0</v>
      </c>
      <c r="T13" s="2231">
        <f t="shared" si="5"/>
        <v>0</v>
      </c>
      <c r="U13" s="179"/>
      <c r="V13" s="180"/>
      <c r="W13" s="180"/>
      <c r="X13" s="2318"/>
      <c r="Y13" s="181"/>
      <c r="Z13" s="182"/>
      <c r="AA13" s="175"/>
      <c r="AB13" s="175"/>
      <c r="AC13" s="2321"/>
      <c r="AD13" s="183"/>
      <c r="AE13" s="971">
        <f t="shared" ca="1" si="6"/>
        <v>0</v>
      </c>
      <c r="AF13" s="140"/>
      <c r="AG13" s="1212">
        <f t="shared" si="7"/>
        <v>0</v>
      </c>
      <c r="AH13" s="140"/>
      <c r="AI13" s="186"/>
      <c r="AJ13" s="187"/>
      <c r="AK13" s="188"/>
      <c r="AL13" s="189"/>
      <c r="AM13" s="2387"/>
      <c r="AN13" s="2389"/>
      <c r="AO13" s="1997"/>
      <c r="AP13" s="1203">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5" customFormat="1" ht="14.25">
      <c r="A14" s="2300" t="s">
        <v>2314</v>
      </c>
      <c r="B14" s="2303" t="s">
        <v>1680</v>
      </c>
      <c r="C14" s="2304" t="s">
        <v>2314</v>
      </c>
      <c r="D14" s="2305"/>
      <c r="E14" s="2306"/>
      <c r="F14" s="173"/>
      <c r="G14" s="174"/>
      <c r="H14" s="2307"/>
      <c r="I14" s="2307"/>
      <c r="J14" s="2307"/>
      <c r="K14" s="178">
        <f>SUMIF('数据-汇总表'!C$19:C$33,'数据-取费表'!A14,'数据-汇总表'!E$19:E$33)</f>
        <v>12764</v>
      </c>
      <c r="L14" s="192">
        <f>L10</f>
        <v>2400</v>
      </c>
      <c r="M14" s="176">
        <f t="shared" si="1"/>
        <v>3063</v>
      </c>
      <c r="N14" s="193">
        <v>0</v>
      </c>
      <c r="O14" s="176">
        <f t="shared" si="3"/>
        <v>0</v>
      </c>
      <c r="P14" s="177">
        <f t="shared" si="4"/>
        <v>3063</v>
      </c>
      <c r="Q14" s="2315"/>
      <c r="R14" s="178"/>
      <c r="S14" s="132"/>
      <c r="T14" s="2314"/>
      <c r="U14" s="973"/>
      <c r="V14" s="2317"/>
      <c r="W14" s="2317"/>
      <c r="X14" s="2318"/>
      <c r="Y14" s="2319"/>
      <c r="Z14" s="136"/>
      <c r="AA14" s="2320"/>
      <c r="AB14" s="2320"/>
      <c r="AC14" s="2321"/>
      <c r="AD14" s="2318"/>
      <c r="AE14" s="971"/>
      <c r="AF14" s="2293"/>
      <c r="AG14" s="1212"/>
      <c r="AH14" s="2293"/>
      <c r="AI14" s="1570"/>
      <c r="AJ14" s="1570"/>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5" customFormat="1" ht="27">
      <c r="A15" s="2309" t="s">
        <v>2316</v>
      </c>
      <c r="B15" s="2303" t="s">
        <v>1680</v>
      </c>
      <c r="C15" s="2304" t="s">
        <v>2315</v>
      </c>
      <c r="D15" s="2305"/>
      <c r="E15" s="2306"/>
      <c r="F15" s="173"/>
      <c r="G15" s="174"/>
      <c r="H15" s="2307"/>
      <c r="I15" s="2307"/>
      <c r="J15" s="2307"/>
      <c r="K15" s="178">
        <f>SUMIF('数据-汇总表'!C$19:C$33,'数据-取费表'!A15,'数据-汇总表'!E$19:E$33)</f>
        <v>990</v>
      </c>
      <c r="L15" s="2313"/>
      <c r="M15" s="176"/>
      <c r="N15" s="2316"/>
      <c r="O15" s="176"/>
      <c r="P15" s="177"/>
      <c r="Q15" s="2315"/>
      <c r="R15" s="178"/>
      <c r="S15" s="132"/>
      <c r="T15" s="2314"/>
      <c r="U15" s="973"/>
      <c r="V15" s="2317"/>
      <c r="W15" s="2317"/>
      <c r="X15" s="2318"/>
      <c r="Y15" s="2319"/>
      <c r="Z15" s="136"/>
      <c r="AA15" s="2320"/>
      <c r="AB15" s="2320"/>
      <c r="AC15" s="2321"/>
      <c r="AD15" s="2318"/>
      <c r="AE15" s="971"/>
      <c r="AF15" s="2293"/>
      <c r="AG15" s="1212"/>
      <c r="AH15" s="2293"/>
      <c r="AI15" s="1570"/>
      <c r="AJ15" s="1570"/>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5" customFormat="1" ht="15.75" thickBot="1">
      <c r="A16" s="197" t="s">
        <v>262</v>
      </c>
      <c r="B16" s="198"/>
      <c r="C16" s="199"/>
      <c r="D16" s="200"/>
      <c r="E16" s="198"/>
      <c r="F16" s="198"/>
      <c r="G16" s="201">
        <f>ROUND(SUMPRODUCT(G6:G13,K6:K13)/SUMPRODUCT((G6:G13&gt;0)*(K6:K13)),3)</f>
        <v>0.99399999999999999</v>
      </c>
      <c r="H16" s="202">
        <f>ROUND(SUMPRODUCT(H6:H13,K6:K13)/SUMPRODUCT((H6:H13&gt;0)*(K6:K13)),3)</f>
        <v>4.4999999999999998E-2</v>
      </c>
      <c r="I16" s="203"/>
      <c r="J16" s="203"/>
      <c r="K16" s="204">
        <f>SUM(K6:K15)</f>
        <v>169816</v>
      </c>
      <c r="L16" s="205">
        <f>ROUND(M16*10000/SUM(K6:K14),0)</f>
        <v>3012</v>
      </c>
      <c r="M16" s="205">
        <f>SUM(M6:M14)</f>
        <v>50856</v>
      </c>
      <c r="N16" s="206">
        <f>ROUND(SUMPRODUCT(M6:M14,N6:N14)/M16,3)</f>
        <v>0</v>
      </c>
      <c r="O16" s="205">
        <f>SUM(O6:O14)</f>
        <v>0</v>
      </c>
      <c r="P16" s="205">
        <f>SUM(P6:P14)</f>
        <v>50856</v>
      </c>
      <c r="Q16" s="207">
        <f>ROUND(SUMPRODUCT(Q6:Q13,K6:K13)/SUMPRODUCT((Q6:Q13&gt;0)*(K6:K13)),2)</f>
        <v>0.08</v>
      </c>
      <c r="R16" s="2308">
        <f>SUM(R6:R13)</f>
        <v>64089.61</v>
      </c>
      <c r="S16" s="208">
        <f>SUM(S6:S13)</f>
        <v>12764</v>
      </c>
      <c r="T16" s="209">
        <f>IF(SUMIF(T6:T13,"&lt;9E307")=M14,SUMIF(T6:T13,"&lt;9E307"),"有误，请检查")</f>
        <v>3063</v>
      </c>
      <c r="U16" s="210"/>
      <c r="V16" s="211"/>
      <c r="W16" s="211"/>
      <c r="X16" s="214"/>
      <c r="Y16" s="212"/>
      <c r="Z16" s="213"/>
      <c r="AA16" s="211"/>
      <c r="AB16" s="211"/>
      <c r="AC16" s="214"/>
      <c r="AD16" s="214"/>
      <c r="AE16" s="210"/>
      <c r="AF16" s="211"/>
      <c r="AG16" s="212"/>
      <c r="AH16" s="211"/>
      <c r="AI16" s="213"/>
      <c r="AJ16" s="213"/>
      <c r="AK16" s="211"/>
      <c r="AL16" s="211"/>
      <c r="AM16" s="212"/>
      <c r="AN16" s="1997"/>
      <c r="AO16" s="1997"/>
      <c r="AP16" s="1203">
        <f>ROUND(SUMPRODUCT(AP6:AP13,K6:K13)/SUMPRODUCT((AP6:AP13&gt;0)*(K6:K13)),3)</f>
        <v>0.91100000000000003</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3"/>
      <c r="B17" s="1201"/>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49" t="s">
        <v>263</v>
      </c>
      <c r="B18" s="1203"/>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6" t="s">
        <v>264</v>
      </c>
      <c r="B19" s="217">
        <v>0</v>
      </c>
      <c r="C19" s="2361" t="s">
        <v>2334</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8" t="s">
        <v>265</v>
      </c>
      <c r="B20" s="219">
        <v>2</v>
      </c>
      <c r="C20" s="2361" t="s">
        <v>2333</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0" t="s">
        <v>266</v>
      </c>
      <c r="B21" s="219">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8" t="s">
        <v>267</v>
      </c>
      <c r="B22" s="221">
        <f>B19+B20</f>
        <v>2</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0" t="s">
        <v>268</v>
      </c>
      <c r="B23" s="221">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2" t="s">
        <v>269</v>
      </c>
      <c r="B24" s="223">
        <f>B20-B21</f>
        <v>2</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6"/>
      <c r="B25" s="1203"/>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8" t="s">
        <v>270</v>
      </c>
      <c r="B26" s="224"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4" customFormat="1" ht="27.75">
      <c r="A27" s="225" t="s">
        <v>2336</v>
      </c>
      <c r="B27" s="226"/>
      <c r="C27" s="2364" t="s">
        <v>2340</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4" customFormat="1" ht="27.75">
      <c r="A28" s="227" t="s">
        <v>2337</v>
      </c>
      <c r="B28" s="228"/>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4" customFormat="1" ht="28.5" thickBot="1">
      <c r="A29" s="230" t="s">
        <v>2335</v>
      </c>
      <c r="B29" s="231"/>
      <c r="C29" s="1551" t="s">
        <v>2338</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4" customFormat="1" ht="27">
      <c r="A30" s="234" t="s">
        <v>273</v>
      </c>
      <c r="B30" s="977">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4" customFormat="1" ht="27">
      <c r="A31" s="227" t="s">
        <v>274</v>
      </c>
      <c r="B31" s="229">
        <f>B30-B32</f>
        <v>100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4" customFormat="1" ht="27.75" thickBot="1">
      <c r="A32" s="236" t="s">
        <v>275</v>
      </c>
      <c r="B32" s="1376">
        <v>100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4" customFormat="1" ht="14.25">
      <c r="A33" s="225" t="s">
        <v>278</v>
      </c>
      <c r="B33" s="1377">
        <v>0.03</v>
      </c>
      <c r="C33" s="2362" t="s">
        <v>2887</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7" t="s">
        <v>279</v>
      </c>
      <c r="B34" s="232">
        <v>0.03</v>
      </c>
      <c r="C34" s="2362" t="s">
        <v>2888</v>
      </c>
      <c r="D34" s="1990" t="s">
        <v>871</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7" t="s">
        <v>276</v>
      </c>
      <c r="B35" s="228">
        <v>200</v>
      </c>
      <c r="C35" s="2362" t="s">
        <v>2889</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0" t="s">
        <v>277</v>
      </c>
      <c r="B36" s="233">
        <v>1.4999999999999999E-2</v>
      </c>
      <c r="C36" s="2362" t="s">
        <v>2890</v>
      </c>
      <c r="D36" s="1987"/>
      <c r="E36" s="1201"/>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4" t="s">
        <v>280</v>
      </c>
      <c r="B37" s="235">
        <f>'[2]数据-取费表'!$B$37</f>
        <v>0.02</v>
      </c>
      <c r="C37" s="2362" t="s">
        <v>2891</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7" t="s">
        <v>281</v>
      </c>
      <c r="B38" s="232">
        <v>0.02</v>
      </c>
      <c r="C38" s="2362" t="s">
        <v>2891</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86" t="s">
        <v>2454</v>
      </c>
      <c r="B39" s="799">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86" t="s">
        <v>2455</v>
      </c>
      <c r="B40" s="2478">
        <f ca="1">存贷款利率!E2</f>
        <v>4.7500000000000001E-2</v>
      </c>
      <c r="C40" s="2362" t="s">
        <v>2339</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5" t="s">
        <v>282</v>
      </c>
      <c r="B41" s="237">
        <f>B42+B43</f>
        <v>5.5000000000000007E-2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8" t="s">
        <v>283</v>
      </c>
      <c r="B42" s="239">
        <v>0.05</v>
      </c>
      <c r="C42" s="3094">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8" t="s">
        <v>284</v>
      </c>
      <c r="B43" s="240">
        <f>B42*(B44+B45+B46)+B47</f>
        <v>5.000000000000001E-3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8" t="s">
        <v>285</v>
      </c>
      <c r="B44" s="241">
        <v>0.05</v>
      </c>
      <c r="C44" s="2362" t="s">
        <v>2892</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8" t="s">
        <v>286</v>
      </c>
      <c r="B45" s="239">
        <v>0.03</v>
      </c>
      <c r="C45" s="2364" t="s">
        <v>2893</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8" t="s">
        <v>287</v>
      </c>
      <c r="B46" s="239">
        <v>0.02</v>
      </c>
      <c r="C46" s="2364" t="s">
        <v>2894</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288</v>
      </c>
      <c r="B47" s="243"/>
      <c r="C47" s="3071" t="s">
        <v>2895</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4" t="s">
        <v>289</v>
      </c>
      <c r="B48" s="245">
        <v>0.03</v>
      </c>
      <c r="C48" s="3072" t="s">
        <v>2896</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290</v>
      </c>
      <c r="B49" s="239">
        <v>5.0000000000000001E-4</v>
      </c>
      <c r="C49" s="3072" t="s">
        <v>2897</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6" t="s">
        <v>291</v>
      </c>
      <c r="B50" s="247">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0" t="s">
        <v>292</v>
      </c>
      <c r="B51" s="248">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6" t="s">
        <v>293</v>
      </c>
      <c r="B52" s="249">
        <f>SUMIF(A54:A63,B53,B54:B63)</f>
        <v>1.5</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7" t="s">
        <v>294</v>
      </c>
      <c r="B53" s="250" t="s">
        <v>1410</v>
      </c>
      <c r="C53" s="3073" t="s">
        <v>2898</v>
      </c>
      <c r="D53" s="3074" t="s">
        <v>2899</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76" t="s">
        <v>2900</v>
      </c>
      <c r="B54" s="185"/>
      <c r="C54" s="1991">
        <v>30</v>
      </c>
      <c r="D54" s="3075"/>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76" t="s">
        <v>2901</v>
      </c>
      <c r="B55" s="185"/>
      <c r="C55" s="1991">
        <v>24</v>
      </c>
      <c r="D55" s="3075"/>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76" t="s">
        <v>2902</v>
      </c>
      <c r="B56" s="185"/>
      <c r="C56" s="1991">
        <v>18</v>
      </c>
      <c r="D56" s="3075"/>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76" t="s">
        <v>2903</v>
      </c>
      <c r="B57" s="185"/>
      <c r="C57" s="1991">
        <v>12</v>
      </c>
      <c r="D57" s="3075"/>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76" t="s">
        <v>2904</v>
      </c>
      <c r="B58" s="185"/>
      <c r="C58" s="1991">
        <v>3</v>
      </c>
      <c r="D58" s="3075"/>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76" t="s">
        <v>2905</v>
      </c>
      <c r="B59" s="185">
        <v>1.5</v>
      </c>
      <c r="C59" s="1991">
        <v>1.5</v>
      </c>
      <c r="D59" s="3075"/>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76" t="s">
        <v>2906</v>
      </c>
      <c r="B60" s="185"/>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76" t="s">
        <v>2907</v>
      </c>
      <c r="B61" s="185"/>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76" t="s">
        <v>2908</v>
      </c>
      <c r="B62" s="185"/>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77" t="s">
        <v>2909</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4" type="noConversion"/>
  <conditionalFormatting sqref="T6:T15">
    <cfRule type="containsText" dxfId="163" priority="12" stopIfTrue="1" operator="containsText" text="自行计算">
      <formula>NOT(ISERROR(SEARCH("自行计算",T6)))</formula>
    </cfRule>
    <cfRule type="containsText" dxfId="162" priority="13" stopIfTrue="1" operator="containsText" text="自行计算">
      <formula>NOT(ISERROR(SEARCH("自行计算",T6)))</formula>
    </cfRule>
  </conditionalFormatting>
  <conditionalFormatting sqref="T6:T13">
    <cfRule type="containsText" dxfId="161" priority="10" stopIfTrue="1" operator="containsText" text="自行计算">
      <formula>NOT(ISERROR(SEARCH("自行计算",T6)))</formula>
    </cfRule>
    <cfRule type="containsText" dxfId="160" priority="11" stopIfTrue="1" operator="containsText" text="自行计算">
      <formula>NOT(ISERROR(SEARCH("自行计算",T6)))</formula>
    </cfRule>
  </conditionalFormatting>
  <conditionalFormatting sqref="T12:T13">
    <cfRule type="containsText" dxfId="159" priority="4" stopIfTrue="1" operator="containsText" text="自行计算">
      <formula>NOT(ISERROR(SEARCH("自行计算",T12)))</formula>
    </cfRule>
    <cfRule type="containsText" dxfId="158" priority="5" stopIfTrue="1" operator="containsText" text="自行计算">
      <formula>NOT(ISERROR(SEARCH("自行计算",T12)))</formula>
    </cfRule>
  </conditionalFormatting>
  <conditionalFormatting sqref="T12:T13">
    <cfRule type="containsText" dxfId="157" priority="2" stopIfTrue="1" operator="containsText" text="自行计算">
      <formula>NOT(ISERROR(SEARCH("自行计算",T12)))</formula>
    </cfRule>
    <cfRule type="containsText" dxfId="156" priority="3" stopIfTrue="1" operator="containsText" text="自行计算">
      <formula>NOT(ISERROR(SEARCH("自行计算",T12)))</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1" sqref="C11"/>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412" t="s">
        <v>1664</v>
      </c>
      <c r="B1" s="3413"/>
      <c r="C1" s="3413"/>
      <c r="D1" s="3413"/>
      <c r="E1" s="3413"/>
      <c r="F1" s="3413"/>
      <c r="G1" s="3413"/>
      <c r="H1" s="1999"/>
      <c r="I1" s="2000"/>
      <c r="J1" s="2001"/>
      <c r="K1" s="1999"/>
      <c r="L1" s="2000"/>
      <c r="M1" s="2001"/>
      <c r="N1" s="1999"/>
      <c r="O1" s="2000"/>
      <c r="P1" s="2001"/>
      <c r="Q1" s="2002"/>
      <c r="R1" s="2003"/>
    </row>
    <row r="2" spans="1:18" ht="14.25" thickBot="1">
      <c r="A2" s="1220"/>
      <c r="B2" s="1221"/>
      <c r="C2" s="1222" t="s">
        <v>1665</v>
      </c>
      <c r="D2" s="1223"/>
      <c r="E2" s="1224"/>
      <c r="F2" s="1225"/>
      <c r="G2" s="1222" t="s">
        <v>1666</v>
      </c>
      <c r="H2" s="2005"/>
      <c r="I2" s="2005"/>
      <c r="J2" s="2005"/>
      <c r="K2" s="2005"/>
      <c r="L2" s="2005"/>
      <c r="M2" s="2005"/>
      <c r="N2" s="2005"/>
      <c r="O2" s="2005"/>
      <c r="P2" s="2005"/>
      <c r="Q2" s="2005"/>
      <c r="R2" s="2005"/>
    </row>
    <row r="3" spans="1:18" ht="27">
      <c r="A3" s="1226" t="s">
        <v>1667</v>
      </c>
      <c r="B3" s="1227" t="s">
        <v>1654</v>
      </c>
      <c r="C3" s="3193" t="s">
        <v>3204</v>
      </c>
      <c r="D3" s="2006"/>
      <c r="E3" s="1228" t="s">
        <v>1667</v>
      </c>
      <c r="F3" s="1229" t="s">
        <v>1655</v>
      </c>
      <c r="G3" s="3079"/>
      <c r="H3" s="2005"/>
      <c r="I3" s="2005"/>
      <c r="J3" s="2005"/>
      <c r="K3" s="2005"/>
      <c r="L3" s="2005"/>
      <c r="M3" s="2005"/>
      <c r="N3" s="2005"/>
      <c r="O3" s="2005"/>
      <c r="P3" s="2005"/>
      <c r="Q3" s="2005"/>
      <c r="R3" s="2005"/>
    </row>
    <row r="4" spans="1:18" ht="14.25">
      <c r="A4" s="1228"/>
      <c r="B4" s="1230" t="s">
        <v>1668</v>
      </c>
      <c r="C4" s="3194" t="s">
        <v>3205</v>
      </c>
      <c r="D4" s="2006"/>
      <c r="E4" s="1231"/>
      <c r="F4" s="1232" t="s">
        <v>1669</v>
      </c>
      <c r="G4" s="3078"/>
      <c r="H4" s="2005"/>
      <c r="I4" s="2005"/>
      <c r="J4" s="2005"/>
      <c r="K4" s="2005"/>
      <c r="L4" s="2005"/>
      <c r="M4" s="2005"/>
      <c r="N4" s="2005"/>
      <c r="O4" s="2005"/>
      <c r="P4" s="2005"/>
      <c r="Q4" s="2005"/>
      <c r="R4" s="2005"/>
    </row>
    <row r="5" spans="1:18" ht="14.25">
      <c r="A5" s="1228"/>
      <c r="B5" s="1230" t="s">
        <v>1670</v>
      </c>
      <c r="C5" s="3195"/>
      <c r="D5" s="2006"/>
      <c r="E5" s="1231"/>
      <c r="F5" s="1230" t="s">
        <v>2544</v>
      </c>
      <c r="G5" s="3078"/>
      <c r="H5" s="2005"/>
      <c r="I5" s="2005"/>
      <c r="J5" s="2005"/>
      <c r="K5" s="2005"/>
      <c r="L5" s="2005"/>
      <c r="M5" s="2005"/>
      <c r="N5" s="2005"/>
      <c r="O5" s="2005"/>
      <c r="P5" s="2005"/>
      <c r="Q5" s="2005"/>
      <c r="R5" s="2005"/>
    </row>
    <row r="6" spans="1:18" ht="14.25">
      <c r="A6" s="1228"/>
      <c r="B6" s="1230" t="s">
        <v>1656</v>
      </c>
      <c r="C6" s="3196" t="s">
        <v>3204</v>
      </c>
      <c r="D6" s="2006"/>
      <c r="E6" s="1231"/>
      <c r="F6" s="1230" t="s">
        <v>2545</v>
      </c>
      <c r="G6" s="3078"/>
      <c r="H6" s="2005"/>
      <c r="I6" s="2005"/>
      <c r="J6" s="2005"/>
      <c r="K6" s="2005"/>
      <c r="L6" s="2005"/>
      <c r="M6" s="2005"/>
      <c r="N6" s="2005"/>
      <c r="O6" s="2005"/>
      <c r="P6" s="2005"/>
      <c r="Q6" s="2005"/>
      <c r="R6" s="2005"/>
    </row>
    <row r="7" spans="1:18" ht="15" thickBot="1">
      <c r="A7" s="1228"/>
      <c r="B7" s="1230" t="s">
        <v>2544</v>
      </c>
      <c r="C7" s="3196" t="s">
        <v>3204</v>
      </c>
      <c r="D7" s="2007"/>
      <c r="E7" s="1233"/>
      <c r="F7" s="1234" t="s">
        <v>1671</v>
      </c>
      <c r="G7" s="3080"/>
      <c r="H7" s="2005"/>
      <c r="I7" s="2005"/>
      <c r="J7" s="2005"/>
      <c r="K7" s="2005"/>
      <c r="L7" s="2005"/>
      <c r="M7" s="2005"/>
      <c r="N7" s="2005"/>
      <c r="O7" s="2005"/>
      <c r="P7" s="2005"/>
      <c r="Q7" s="2005"/>
      <c r="R7" s="2005"/>
    </row>
    <row r="8" spans="1:18" ht="19.5" customHeight="1">
      <c r="A8" s="1228"/>
      <c r="B8" s="1230" t="s">
        <v>2545</v>
      </c>
      <c r="C8" s="3196" t="s">
        <v>3206</v>
      </c>
      <c r="D8" s="2007"/>
      <c r="E8" s="2007"/>
      <c r="F8" s="1552"/>
      <c r="G8" s="1552"/>
      <c r="H8" s="2005"/>
      <c r="I8" s="2005"/>
      <c r="J8" s="2005"/>
      <c r="K8" s="2005"/>
      <c r="L8" s="2005"/>
      <c r="M8" s="2005"/>
      <c r="N8" s="2005"/>
      <c r="O8" s="2005"/>
      <c r="P8" s="2005"/>
      <c r="Q8" s="2005"/>
      <c r="R8" s="2005"/>
    </row>
    <row r="9" spans="1:18">
      <c r="A9" s="1228"/>
      <c r="B9" s="1230" t="s">
        <v>1657</v>
      </c>
      <c r="C9" s="3194" t="s">
        <v>3204</v>
      </c>
      <c r="D9" s="2006"/>
      <c r="E9" s="2007"/>
      <c r="F9" s="1552"/>
      <c r="G9" s="1552"/>
      <c r="H9" s="2005"/>
      <c r="I9" s="2005"/>
      <c r="J9" s="2005"/>
      <c r="K9" s="2005"/>
      <c r="L9" s="2005"/>
      <c r="M9" s="2005"/>
      <c r="N9" s="2005"/>
      <c r="O9" s="2005"/>
      <c r="P9" s="2005"/>
      <c r="Q9" s="2005"/>
      <c r="R9" s="2005"/>
    </row>
    <row r="10" spans="1:18" s="2013" customFormat="1" ht="14.25" thickBot="1">
      <c r="A10" s="1235"/>
      <c r="B10" s="1236" t="s">
        <v>1672</v>
      </c>
      <c r="C10" s="3197" t="s">
        <v>3298</v>
      </c>
      <c r="D10" s="2006"/>
      <c r="E10" s="2006"/>
      <c r="F10" s="1552"/>
      <c r="G10" s="1552"/>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75"/>
      <c r="E12" s="2006"/>
      <c r="F12" s="2007"/>
      <c r="G12" s="2009"/>
      <c r="H12" s="2014"/>
      <c r="I12" s="2015"/>
      <c r="J12" s="2014"/>
      <c r="K12" s="2014"/>
      <c r="L12" s="2016"/>
      <c r="M12" s="2014"/>
      <c r="N12" s="2017"/>
      <c r="O12" s="2018"/>
      <c r="P12" s="2019"/>
      <c r="Q12" s="2017"/>
      <c r="R12" s="2003"/>
    </row>
    <row r="13" spans="1:18" ht="19.5" thickBot="1">
      <c r="A13" s="2574" t="s">
        <v>1673</v>
      </c>
      <c r="B13" s="2575"/>
      <c r="C13" s="2575"/>
      <c r="D13" s="1223"/>
      <c r="E13" s="2575"/>
      <c r="F13" s="2575"/>
      <c r="G13" s="2575"/>
    </row>
    <row r="14" spans="1:18" ht="14.25" thickBot="1">
      <c r="A14" s="1237"/>
      <c r="B14" s="1238"/>
      <c r="C14" s="1239" t="s">
        <v>1665</v>
      </c>
      <c r="D14" s="2006"/>
      <c r="E14" s="1240"/>
      <c r="F14" s="1240"/>
      <c r="G14" s="1222" t="s">
        <v>1666</v>
      </c>
    </row>
    <row r="15" spans="1:18" ht="27">
      <c r="A15" s="2585" t="s">
        <v>1658</v>
      </c>
      <c r="B15" s="1241" t="s">
        <v>1654</v>
      </c>
      <c r="C15" s="1242" t="str">
        <f>C3</f>
        <v>一般</v>
      </c>
      <c r="D15" s="2006"/>
      <c r="E15" s="2582" t="s">
        <v>1659</v>
      </c>
      <c r="F15" s="1241" t="s">
        <v>1674</v>
      </c>
      <c r="G15" s="1243">
        <f>G3</f>
        <v>0</v>
      </c>
    </row>
    <row r="16" spans="1:18">
      <c r="A16" s="2586"/>
      <c r="B16" s="1244" t="s">
        <v>1668</v>
      </c>
      <c r="C16" s="1245" t="str">
        <f>C4</f>
        <v>较差</v>
      </c>
      <c r="D16" s="2006"/>
      <c r="E16" s="2583"/>
      <c r="F16" s="1246" t="s">
        <v>1669</v>
      </c>
      <c r="G16" s="1004">
        <f>G4</f>
        <v>0</v>
      </c>
    </row>
    <row r="17" spans="1:7" ht="14.25">
      <c r="A17" s="2586"/>
      <c r="B17" s="1244" t="s">
        <v>1670</v>
      </c>
      <c r="C17" s="1245">
        <f>C5</f>
        <v>0</v>
      </c>
      <c r="D17" s="2007"/>
      <c r="E17" s="2583"/>
      <c r="F17" s="1246" t="s">
        <v>1675</v>
      </c>
      <c r="G17" s="2791"/>
    </row>
    <row r="18" spans="1:7">
      <c r="A18" s="2586"/>
      <c r="B18" s="1246" t="s">
        <v>1656</v>
      </c>
      <c r="C18" s="1004" t="str">
        <f>C6</f>
        <v>一般</v>
      </c>
      <c r="D18" s="2007"/>
      <c r="E18" s="2583"/>
      <c r="F18" s="1246" t="s">
        <v>1671</v>
      </c>
      <c r="G18" s="1004">
        <f>G7</f>
        <v>0</v>
      </c>
    </row>
    <row r="19" spans="1:7">
      <c r="A19" s="2586"/>
      <c r="B19" s="1246" t="s">
        <v>1660</v>
      </c>
      <c r="C19" s="3198" t="s">
        <v>3207</v>
      </c>
      <c r="D19" s="2006"/>
      <c r="E19" s="2583"/>
      <c r="F19" s="1230" t="s">
        <v>2544</v>
      </c>
      <c r="G19" s="1004">
        <f>G5</f>
        <v>0</v>
      </c>
    </row>
    <row r="20" spans="1:7">
      <c r="A20" s="2586"/>
      <c r="B20" s="1246" t="s">
        <v>1661</v>
      </c>
      <c r="C20" s="1245" t="str">
        <f>C9</f>
        <v>一般</v>
      </c>
      <c r="D20" s="2007"/>
      <c r="E20" s="2583"/>
      <c r="F20" s="1230" t="s">
        <v>2545</v>
      </c>
      <c r="G20" s="1004">
        <f>G6</f>
        <v>0</v>
      </c>
    </row>
    <row r="21" spans="1:7" ht="14.25">
      <c r="A21" s="2586"/>
      <c r="B21" s="1230" t="s">
        <v>2544</v>
      </c>
      <c r="C21" s="1004" t="str">
        <f>C7</f>
        <v>一般</v>
      </c>
      <c r="D21" s="2006"/>
      <c r="E21" s="2583"/>
      <c r="F21" s="1246" t="s">
        <v>1662</v>
      </c>
      <c r="G21" s="3081"/>
    </row>
    <row r="22" spans="1:7" ht="14.25">
      <c r="A22" s="2586"/>
      <c r="B22" s="1230" t="s">
        <v>2545</v>
      </c>
      <c r="C22" s="1004" t="str">
        <f>C8</f>
        <v>七通</v>
      </c>
      <c r="D22" s="2006"/>
      <c r="E22" s="2583"/>
      <c r="F22" s="1246" t="s">
        <v>1672</v>
      </c>
      <c r="G22" s="2791"/>
    </row>
    <row r="23" spans="1:7" ht="15" thickBot="1">
      <c r="A23" s="2586"/>
      <c r="B23" s="1246" t="s">
        <v>1662</v>
      </c>
      <c r="C23" s="3081" t="s">
        <v>3203</v>
      </c>
      <c r="E23" s="2584"/>
      <c r="F23" s="1247" t="s">
        <v>1676</v>
      </c>
      <c r="G23" s="3082"/>
    </row>
    <row r="24" spans="1:7" ht="14.25" thickBot="1">
      <c r="A24" s="2587"/>
      <c r="B24" s="1247" t="s">
        <v>1663</v>
      </c>
      <c r="C24" s="1248" t="str">
        <f>C10</f>
        <v>次干道</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4" sqref="C14"/>
    </sheetView>
  </sheetViews>
  <sheetFormatPr defaultColWidth="14.625" defaultRowHeight="13.5"/>
  <cols>
    <col min="1" max="1" width="24.375" customWidth="1"/>
  </cols>
  <sheetData>
    <row r="1" spans="1:9" ht="16.5">
      <c r="A1" s="3042" t="s">
        <v>2841</v>
      </c>
      <c r="B1" s="3042">
        <f>SUM(B14:B23)</f>
        <v>169816</v>
      </c>
      <c r="C1" s="3043"/>
      <c r="D1" s="3043"/>
      <c r="E1" s="3043"/>
      <c r="F1" s="3043"/>
    </row>
    <row r="2" spans="1:9" ht="16.5">
      <c r="A2" s="3042" t="s">
        <v>2842</v>
      </c>
      <c r="B2" s="3042">
        <f>SUM(C14:C23)</f>
        <v>64089.62</v>
      </c>
      <c r="C2" s="3043"/>
      <c r="D2" s="3043"/>
      <c r="E2" s="3043"/>
      <c r="F2" s="3043"/>
    </row>
    <row r="3" spans="1:9" ht="16.5">
      <c r="A3" s="3042" t="s">
        <v>2843</v>
      </c>
      <c r="B3" s="3044">
        <f>项目基本情况!D3</f>
        <v>43444</v>
      </c>
      <c r="C3" s="3043"/>
      <c r="D3" s="3043"/>
      <c r="E3" s="3043"/>
      <c r="F3" s="3043"/>
    </row>
    <row r="4" spans="1:9" ht="33">
      <c r="A4" s="3042" t="s">
        <v>2844</v>
      </c>
      <c r="B4" s="3042" t="s">
        <v>2845</v>
      </c>
      <c r="C4" s="3042" t="s">
        <v>2846</v>
      </c>
      <c r="D4" s="3042" t="s">
        <v>2847</v>
      </c>
      <c r="E4" s="3043"/>
      <c r="F4" s="3043"/>
    </row>
    <row r="5" spans="1:9" ht="16.5">
      <c r="A5" s="3042" t="s">
        <v>2848</v>
      </c>
      <c r="B5" s="3042">
        <f ca="1">SUM(D14:D23)</f>
        <v>311695</v>
      </c>
      <c r="C5" s="3042">
        <f ca="1">ROUND(B5*10000/$B$1,0)</f>
        <v>18355</v>
      </c>
      <c r="D5" s="3042">
        <f ca="1">ROUND(B5*10000/$B$2,0)</f>
        <v>48634</v>
      </c>
      <c r="E5" s="3043"/>
      <c r="F5" s="3043"/>
    </row>
    <row r="6" spans="1:9" ht="16.5">
      <c r="A6" s="3042" t="s">
        <v>2849</v>
      </c>
      <c r="B6" s="3042">
        <f ca="1">SUM(G14:G23)</f>
        <v>311695</v>
      </c>
      <c r="C6" s="3042">
        <f ca="1">ROUND(B6*10000/$B$1,0)</f>
        <v>18355</v>
      </c>
      <c r="D6" s="3042">
        <f ca="1">ROUND(B6*10000/$B$2,0)</f>
        <v>48634</v>
      </c>
      <c r="E6" s="3043"/>
      <c r="F6" s="3043"/>
    </row>
    <row r="7" spans="1:9" ht="16.5">
      <c r="A7" s="3042" t="s">
        <v>2850</v>
      </c>
      <c r="B7" s="3042">
        <f>SUM(H14:H23)</f>
        <v>0</v>
      </c>
      <c r="C7" s="3042">
        <f>ROUND(B7*10000/$B$1,0)</f>
        <v>0</v>
      </c>
      <c r="D7" s="3042">
        <f>ROUND(B7*10000/$B$2,0)</f>
        <v>0</v>
      </c>
      <c r="E7" s="3043"/>
      <c r="F7" s="3043"/>
    </row>
    <row r="8" spans="1:9" ht="16.5">
      <c r="A8" s="3042" t="s">
        <v>2851</v>
      </c>
      <c r="B8" s="3042">
        <f>SUM(I14:I23)</f>
        <v>0</v>
      </c>
      <c r="C8" s="3042">
        <f>ROUND(B8*10000/$B$1,0)</f>
        <v>0</v>
      </c>
      <c r="D8" s="3042">
        <f>ROUND(B8*10000/$B$2,0)</f>
        <v>0</v>
      </c>
      <c r="E8" s="3043"/>
      <c r="F8" s="3043"/>
    </row>
    <row r="9" spans="1:9" ht="16.5">
      <c r="A9" s="3042" t="s">
        <v>2852</v>
      </c>
      <c r="B9" s="3045"/>
      <c r="C9" s="3043"/>
      <c r="D9" s="3043"/>
      <c r="E9" s="3043"/>
      <c r="F9" s="3043"/>
    </row>
    <row r="10" spans="1:9" ht="16.5">
      <c r="A10" s="3042" t="s">
        <v>2853</v>
      </c>
      <c r="B10" s="3045"/>
      <c r="C10" s="3043"/>
      <c r="D10" s="3043"/>
      <c r="E10" s="3043"/>
      <c r="F10" s="3043"/>
    </row>
    <row r="11" spans="1:9" ht="16.5">
      <c r="A11" s="3042" t="s">
        <v>2870</v>
      </c>
      <c r="B11" s="3045"/>
      <c r="C11" s="3043"/>
      <c r="D11" s="3043"/>
      <c r="E11" s="3043"/>
      <c r="F11" s="3043"/>
    </row>
    <row r="12" spans="1:9" ht="16.5">
      <c r="A12" s="3043"/>
      <c r="B12" s="3043"/>
      <c r="C12" s="3043"/>
      <c r="D12" s="3043"/>
      <c r="E12" s="3043"/>
      <c r="F12" s="3043"/>
    </row>
    <row r="13" spans="1:9" ht="33">
      <c r="A13" s="3048" t="s">
        <v>2869</v>
      </c>
      <c r="B13" s="3046" t="s">
        <v>2841</v>
      </c>
      <c r="C13" s="3046" t="s">
        <v>2842</v>
      </c>
      <c r="D13" s="3046" t="s">
        <v>2854</v>
      </c>
      <c r="E13" s="3042" t="s">
        <v>2868</v>
      </c>
      <c r="F13" s="3042" t="s">
        <v>2847</v>
      </c>
      <c r="G13" s="3046" t="s">
        <v>2855</v>
      </c>
      <c r="H13" s="3046" t="s">
        <v>2856</v>
      </c>
      <c r="I13" s="3046" t="s">
        <v>2857</v>
      </c>
    </row>
    <row r="14" spans="1:9" ht="16.5">
      <c r="A14" s="3049" t="s">
        <v>2867</v>
      </c>
      <c r="B14" s="3046">
        <f>结果表!L38</f>
        <v>169816</v>
      </c>
      <c r="C14" s="3046">
        <f>结果表!K38</f>
        <v>64089.62</v>
      </c>
      <c r="D14" s="3046">
        <f ca="1">结果表!C42</f>
        <v>311695</v>
      </c>
      <c r="E14" s="3046">
        <f ca="1">ROUND(D14*10000/B14,0)</f>
        <v>18355</v>
      </c>
      <c r="F14" s="3046">
        <f ca="1">ROUND(D14*10000/C14,0)</f>
        <v>48634</v>
      </c>
      <c r="G14" s="3046">
        <f ca="1">结果表!C44</f>
        <v>311695</v>
      </c>
      <c r="H14" s="3046" t="str">
        <f>结果表!C45</f>
        <v>——</v>
      </c>
      <c r="I14" s="3046" t="str">
        <f>结果表!C46</f>
        <v>——</v>
      </c>
    </row>
    <row r="15" spans="1:9" ht="16.5">
      <c r="A15" s="3049" t="s">
        <v>2858</v>
      </c>
      <c r="B15" s="3050"/>
      <c r="C15" s="3050"/>
      <c r="D15" s="3050"/>
      <c r="E15" s="3046" t="e">
        <f t="shared" ref="E15:E23" si="0">ROUND(D15*10000/B15,0)</f>
        <v>#DIV/0!</v>
      </c>
      <c r="F15" s="3046" t="e">
        <f t="shared" ref="F15:F23" si="1">ROUND(D15*10000/C15,0)</f>
        <v>#DIV/0!</v>
      </c>
      <c r="G15" s="3047"/>
      <c r="H15" s="3047"/>
      <c r="I15" s="3050"/>
    </row>
    <row r="16" spans="1:9" ht="16.5">
      <c r="A16" s="3049" t="s">
        <v>2859</v>
      </c>
      <c r="B16" s="3050"/>
      <c r="C16" s="3050"/>
      <c r="D16" s="3050"/>
      <c r="E16" s="3046" t="e">
        <f t="shared" si="0"/>
        <v>#DIV/0!</v>
      </c>
      <c r="F16" s="3046" t="e">
        <f t="shared" si="1"/>
        <v>#DIV/0!</v>
      </c>
      <c r="G16" s="3047"/>
      <c r="H16" s="3047"/>
      <c r="I16" s="3050"/>
    </row>
    <row r="17" spans="1:9" ht="16.5">
      <c r="A17" s="3049" t="s">
        <v>2860</v>
      </c>
      <c r="B17" s="3050"/>
      <c r="C17" s="3050"/>
      <c r="D17" s="3050"/>
      <c r="E17" s="3046" t="e">
        <f t="shared" si="0"/>
        <v>#DIV/0!</v>
      </c>
      <c r="F17" s="3046" t="e">
        <f t="shared" si="1"/>
        <v>#DIV/0!</v>
      </c>
      <c r="G17" s="3047"/>
      <c r="H17" s="3047"/>
      <c r="I17" s="3050"/>
    </row>
    <row r="18" spans="1:9" ht="16.5">
      <c r="A18" s="3049" t="s">
        <v>2861</v>
      </c>
      <c r="B18" s="3050"/>
      <c r="C18" s="3050"/>
      <c r="D18" s="3050"/>
      <c r="E18" s="3046" t="e">
        <f t="shared" si="0"/>
        <v>#DIV/0!</v>
      </c>
      <c r="F18" s="3046" t="e">
        <f t="shared" si="1"/>
        <v>#DIV/0!</v>
      </c>
      <c r="G18" s="3050"/>
      <c r="H18" s="3050"/>
      <c r="I18" s="3050"/>
    </row>
    <row r="19" spans="1:9" ht="16.5">
      <c r="A19" s="3049" t="s">
        <v>2862</v>
      </c>
      <c r="B19" s="3050"/>
      <c r="C19" s="3050"/>
      <c r="D19" s="3050"/>
      <c r="E19" s="3046" t="e">
        <f t="shared" si="0"/>
        <v>#DIV/0!</v>
      </c>
      <c r="F19" s="3046" t="e">
        <f t="shared" si="1"/>
        <v>#DIV/0!</v>
      </c>
      <c r="G19" s="3050"/>
      <c r="H19" s="3050"/>
      <c r="I19" s="3050"/>
    </row>
    <row r="20" spans="1:9" ht="16.5">
      <c r="A20" s="3049" t="s">
        <v>2863</v>
      </c>
      <c r="B20" s="3050"/>
      <c r="C20" s="3050"/>
      <c r="D20" s="3050"/>
      <c r="E20" s="3046" t="e">
        <f t="shared" si="0"/>
        <v>#DIV/0!</v>
      </c>
      <c r="F20" s="3046" t="e">
        <f t="shared" si="1"/>
        <v>#DIV/0!</v>
      </c>
      <c r="G20" s="3050"/>
      <c r="H20" s="3050"/>
      <c r="I20" s="3050"/>
    </row>
    <row r="21" spans="1:9" ht="16.5">
      <c r="A21" s="3049" t="s">
        <v>2864</v>
      </c>
      <c r="B21" s="3050"/>
      <c r="C21" s="3050"/>
      <c r="D21" s="3050"/>
      <c r="E21" s="3046" t="e">
        <f t="shared" si="0"/>
        <v>#DIV/0!</v>
      </c>
      <c r="F21" s="3046" t="e">
        <f t="shared" si="1"/>
        <v>#DIV/0!</v>
      </c>
      <c r="G21" s="3050"/>
      <c r="H21" s="3050"/>
      <c r="I21" s="3050"/>
    </row>
    <row r="22" spans="1:9" ht="16.5">
      <c r="A22" s="3049" t="s">
        <v>2865</v>
      </c>
      <c r="B22" s="3050"/>
      <c r="C22" s="3050"/>
      <c r="D22" s="3050"/>
      <c r="E22" s="3046" t="e">
        <f t="shared" si="0"/>
        <v>#DIV/0!</v>
      </c>
      <c r="F22" s="3046" t="e">
        <f t="shared" si="1"/>
        <v>#DIV/0!</v>
      </c>
      <c r="G22" s="3050"/>
      <c r="H22" s="3050"/>
      <c r="I22" s="3050"/>
    </row>
    <row r="23" spans="1:9" ht="16.5">
      <c r="A23" s="3049" t="s">
        <v>2866</v>
      </c>
      <c r="B23" s="3050"/>
      <c r="C23" s="3050"/>
      <c r="D23" s="3050"/>
      <c r="E23" s="3042" t="e">
        <f t="shared" si="0"/>
        <v>#DIV/0!</v>
      </c>
      <c r="F23" s="3042" t="e">
        <f t="shared" si="1"/>
        <v>#DIV/0!</v>
      </c>
      <c r="G23" s="3050"/>
      <c r="H23" s="3050"/>
      <c r="I23" s="3050"/>
    </row>
  </sheetData>
  <sheetProtection password="C66D" sheet="1" objects="1" scenarios="1"/>
  <phoneticPr fontId="2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31" zoomScaleNormal="100" zoomScaleSheetLayoutView="100" zoomScalePageLayoutView="80" workbookViewId="0">
      <selection activeCell="K38" sqref="K38"/>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4" t="s">
        <v>2055</v>
      </c>
      <c r="B1" s="1775"/>
      <c r="C1" s="1803" t="s">
        <v>2056</v>
      </c>
      <c r="D1" s="1804" t="s">
        <v>3208</v>
      </c>
      <c r="E1" s="1803" t="s">
        <v>2057</v>
      </c>
      <c r="F1" s="1805" t="s">
        <v>3209</v>
      </c>
      <c r="G1" s="310"/>
      <c r="H1" s="310"/>
      <c r="I1" s="310"/>
      <c r="J1" s="2026"/>
      <c r="K1" s="2026"/>
      <c r="L1" s="2026"/>
      <c r="M1" s="2026"/>
      <c r="N1" s="2026"/>
      <c r="O1" s="2026"/>
      <c r="P1" s="2026"/>
      <c r="Q1" s="2026"/>
      <c r="R1" s="2026"/>
      <c r="S1" s="2026"/>
      <c r="T1" s="2026"/>
      <c r="U1" s="2026"/>
      <c r="V1" s="2026"/>
    </row>
    <row r="2" spans="1:22" ht="21.75" customHeight="1" thickBot="1">
      <c r="A2" s="3459" t="str">
        <f>项目基本情况!K2</f>
        <v>北京市顺义区高丽营镇于庄03-21地块出让国有建设用地使用权</v>
      </c>
      <c r="B2" s="3460"/>
      <c r="C2" s="3461"/>
      <c r="D2" s="3461"/>
      <c r="E2" s="3461"/>
      <c r="F2" s="3461"/>
      <c r="G2" s="3460"/>
      <c r="H2" s="3460"/>
      <c r="I2" s="3462"/>
      <c r="J2" s="2027"/>
      <c r="K2" s="2026"/>
      <c r="L2" s="2026"/>
      <c r="M2" s="2026"/>
      <c r="N2" s="2026"/>
      <c r="O2" s="2026"/>
      <c r="P2" s="2026"/>
      <c r="Q2" s="2026"/>
      <c r="R2" s="2026"/>
      <c r="S2" s="2026"/>
      <c r="T2" s="2026"/>
      <c r="U2" s="2026"/>
      <c r="V2" s="2026"/>
    </row>
    <row r="3" spans="1:22" ht="14.25">
      <c r="A3" s="3470" t="s">
        <v>298</v>
      </c>
      <c r="B3" s="3471"/>
      <c r="C3" s="3471"/>
      <c r="D3" s="3471"/>
      <c r="E3" s="3471"/>
      <c r="F3" s="3471"/>
      <c r="G3" s="3471"/>
      <c r="H3" s="3471"/>
      <c r="I3" s="3471"/>
      <c r="J3" s="2027"/>
      <c r="K3" s="2026"/>
      <c r="L3" s="2026"/>
      <c r="M3" s="2026"/>
      <c r="N3" s="2026"/>
      <c r="O3" s="2026"/>
      <c r="P3" s="2026"/>
      <c r="Q3" s="2026"/>
      <c r="R3" s="2026"/>
      <c r="S3" s="2026"/>
      <c r="T3" s="2026"/>
      <c r="U3" s="2026"/>
      <c r="V3" s="2026"/>
    </row>
    <row r="4" spans="1:22" ht="14.25">
      <c r="A4" s="257" t="s">
        <v>299</v>
      </c>
      <c r="B4" s="258" t="s">
        <v>300</v>
      </c>
      <c r="C4" s="259" t="s">
        <v>3210</v>
      </c>
      <c r="D4" s="259" t="s">
        <v>3211</v>
      </c>
      <c r="E4" s="3434" t="s">
        <v>301</v>
      </c>
      <c r="F4" s="3476"/>
      <c r="G4" s="3476"/>
      <c r="H4" s="3476"/>
      <c r="I4" s="3435"/>
      <c r="J4" s="2027"/>
      <c r="K4" s="2026"/>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26"/>
      <c r="O4" s="2026"/>
      <c r="P4" s="2026"/>
      <c r="Q4" s="2026"/>
      <c r="R4" s="2026"/>
      <c r="S4" s="2026"/>
      <c r="T4" s="2026"/>
      <c r="U4" s="2026"/>
      <c r="V4" s="2026"/>
    </row>
    <row r="5" spans="1:22" ht="14.25">
      <c r="A5" s="3463" t="s">
        <v>302</v>
      </c>
      <c r="B5" s="3464">
        <v>25</v>
      </c>
      <c r="C5" s="3472"/>
      <c r="D5" s="3475"/>
      <c r="E5" s="260" t="s">
        <v>303</v>
      </c>
      <c r="F5" s="261"/>
      <c r="G5" s="261"/>
      <c r="H5" s="261"/>
      <c r="I5" s="262"/>
      <c r="J5" s="2027"/>
      <c r="K5" s="2026"/>
      <c r="L5" s="2026"/>
      <c r="M5" s="2026"/>
      <c r="N5" s="2026"/>
      <c r="O5" s="2026"/>
      <c r="P5" s="2026"/>
      <c r="Q5" s="2026"/>
      <c r="R5" s="2026"/>
      <c r="S5" s="2026"/>
      <c r="T5" s="2026"/>
      <c r="U5" s="2026"/>
      <c r="V5" s="2026"/>
    </row>
    <row r="6" spans="1:22" ht="14.25">
      <c r="A6" s="3463"/>
      <c r="B6" s="3464"/>
      <c r="C6" s="3473"/>
      <c r="D6" s="3475"/>
      <c r="E6" s="260" t="s">
        <v>304</v>
      </c>
      <c r="F6" s="261"/>
      <c r="G6" s="261"/>
      <c r="H6" s="261"/>
      <c r="I6" s="262"/>
      <c r="J6" s="2027"/>
      <c r="K6" s="2026"/>
      <c r="L6" s="2026"/>
      <c r="M6" s="2026"/>
      <c r="N6" s="2026"/>
      <c r="O6" s="2026"/>
      <c r="P6" s="2026"/>
      <c r="Q6" s="2026"/>
      <c r="R6" s="2026"/>
      <c r="S6" s="2026"/>
      <c r="T6" s="2026"/>
      <c r="U6" s="2026"/>
      <c r="V6" s="2026"/>
    </row>
    <row r="7" spans="1:22" ht="14.25">
      <c r="A7" s="3463"/>
      <c r="B7" s="3464"/>
      <c r="C7" s="3474"/>
      <c r="D7" s="3475"/>
      <c r="E7" s="260" t="s">
        <v>305</v>
      </c>
      <c r="F7" s="261"/>
      <c r="G7" s="261"/>
      <c r="H7" s="261"/>
      <c r="I7" s="262"/>
      <c r="J7" s="2027"/>
      <c r="K7" s="2026"/>
      <c r="L7" s="2026"/>
      <c r="M7" s="2026"/>
      <c r="N7" s="2026"/>
      <c r="O7" s="2026"/>
      <c r="P7" s="2026"/>
      <c r="Q7" s="2026"/>
      <c r="R7" s="2026"/>
      <c r="S7" s="2026"/>
      <c r="T7" s="2026"/>
      <c r="U7" s="2026"/>
      <c r="V7" s="2026"/>
    </row>
    <row r="8" spans="1:22" ht="14.25">
      <c r="A8" s="3463" t="s">
        <v>306</v>
      </c>
      <c r="B8" s="3464">
        <v>15</v>
      </c>
      <c r="C8" s="3472"/>
      <c r="D8" s="3475"/>
      <c r="E8" s="260" t="s">
        <v>307</v>
      </c>
      <c r="F8" s="261"/>
      <c r="G8" s="261"/>
      <c r="H8" s="261"/>
      <c r="I8" s="262"/>
      <c r="J8" s="2027"/>
      <c r="K8" s="2026"/>
      <c r="L8" s="2026"/>
      <c r="M8" s="2026"/>
      <c r="N8" s="2026"/>
      <c r="O8" s="2026"/>
      <c r="P8" s="2026"/>
      <c r="Q8" s="2026"/>
      <c r="R8" s="2026"/>
      <c r="S8" s="2026"/>
      <c r="T8" s="2026"/>
      <c r="U8" s="2026"/>
      <c r="V8" s="2026"/>
    </row>
    <row r="9" spans="1:22" ht="14.25">
      <c r="A9" s="3463"/>
      <c r="B9" s="3464"/>
      <c r="C9" s="3474"/>
      <c r="D9" s="3475"/>
      <c r="E9" s="260" t="s">
        <v>308</v>
      </c>
      <c r="F9" s="261"/>
      <c r="G9" s="261"/>
      <c r="H9" s="261"/>
      <c r="I9" s="262"/>
      <c r="J9" s="2027"/>
      <c r="K9" s="2026"/>
      <c r="L9" s="2026"/>
      <c r="M9" s="2026"/>
      <c r="N9" s="2026"/>
      <c r="O9" s="2026"/>
      <c r="P9" s="2026"/>
      <c r="Q9" s="2026"/>
      <c r="R9" s="2026"/>
      <c r="S9" s="2026"/>
      <c r="T9" s="2026"/>
      <c r="U9" s="2026"/>
      <c r="V9" s="2026"/>
    </row>
    <row r="10" spans="1:22" ht="14.25">
      <c r="A10" s="3463" t="s">
        <v>309</v>
      </c>
      <c r="B10" s="3464">
        <v>15</v>
      </c>
      <c r="C10" s="3472"/>
      <c r="D10" s="3475"/>
      <c r="E10" s="260" t="s">
        <v>310</v>
      </c>
      <c r="F10" s="261"/>
      <c r="G10" s="261"/>
      <c r="H10" s="261"/>
      <c r="I10" s="262"/>
      <c r="J10" s="2027"/>
      <c r="K10" s="2026"/>
      <c r="L10" s="2026"/>
      <c r="M10" s="2026"/>
      <c r="N10" s="2026"/>
      <c r="O10" s="2026"/>
      <c r="P10" s="2026"/>
      <c r="Q10" s="2026"/>
      <c r="R10" s="2026"/>
      <c r="S10" s="2026"/>
      <c r="T10" s="2026"/>
      <c r="U10" s="2026"/>
      <c r="V10" s="2026"/>
    </row>
    <row r="11" spans="1:22" ht="14.25">
      <c r="A11" s="3463"/>
      <c r="B11" s="3464"/>
      <c r="C11" s="3474"/>
      <c r="D11" s="3475"/>
      <c r="E11" s="260" t="s">
        <v>311</v>
      </c>
      <c r="F11" s="261"/>
      <c r="G11" s="261"/>
      <c r="H11" s="261"/>
      <c r="I11" s="262"/>
      <c r="J11" s="2027"/>
      <c r="K11" s="2026"/>
      <c r="L11" s="2026"/>
      <c r="M11" s="2026"/>
      <c r="N11" s="2026"/>
      <c r="O11" s="2026"/>
      <c r="P11" s="2026"/>
      <c r="Q11" s="2026"/>
      <c r="R11" s="2026"/>
      <c r="S11" s="2026"/>
      <c r="T11" s="2026"/>
      <c r="U11" s="2026"/>
      <c r="V11" s="2026"/>
    </row>
    <row r="12" spans="1:22" ht="14.25">
      <c r="A12" s="3463" t="s">
        <v>312</v>
      </c>
      <c r="B12" s="3464">
        <v>15</v>
      </c>
      <c r="C12" s="3472"/>
      <c r="D12" s="3475"/>
      <c r="E12" s="260" t="s">
        <v>313</v>
      </c>
      <c r="F12" s="261"/>
      <c r="G12" s="261"/>
      <c r="H12" s="261"/>
      <c r="I12" s="262"/>
      <c r="J12" s="2027"/>
      <c r="K12" s="2026"/>
      <c r="L12" s="2026"/>
      <c r="M12" s="2026"/>
      <c r="N12" s="2026"/>
      <c r="O12" s="2026"/>
      <c r="P12" s="2026"/>
      <c r="Q12" s="2026"/>
      <c r="R12" s="2026"/>
      <c r="S12" s="2026"/>
      <c r="T12" s="2026"/>
      <c r="U12" s="2026"/>
      <c r="V12" s="2026"/>
    </row>
    <row r="13" spans="1:22" ht="14.25">
      <c r="A13" s="3463"/>
      <c r="B13" s="3464"/>
      <c r="C13" s="3474"/>
      <c r="D13" s="3475"/>
      <c r="E13" s="260" t="s">
        <v>314</v>
      </c>
      <c r="F13" s="261"/>
      <c r="G13" s="261"/>
      <c r="H13" s="261"/>
      <c r="I13" s="262"/>
      <c r="J13" s="2027"/>
      <c r="K13" s="2026"/>
      <c r="L13" s="2026"/>
      <c r="M13" s="2026"/>
      <c r="N13" s="2026"/>
      <c r="O13" s="2026"/>
      <c r="P13" s="2026"/>
      <c r="Q13" s="2026"/>
      <c r="R13" s="2026"/>
      <c r="S13" s="2026"/>
      <c r="T13" s="2026"/>
      <c r="U13" s="2026"/>
      <c r="V13" s="2026"/>
    </row>
    <row r="14" spans="1:22" ht="14.25">
      <c r="A14" s="3463" t="s">
        <v>315</v>
      </c>
      <c r="B14" s="3464">
        <v>30</v>
      </c>
      <c r="C14" s="3472">
        <v>5</v>
      </c>
      <c r="D14" s="3475">
        <v>5</v>
      </c>
      <c r="E14" s="260" t="s">
        <v>316</v>
      </c>
      <c r="F14" s="261"/>
      <c r="G14" s="261"/>
      <c r="H14" s="261"/>
      <c r="I14" s="262"/>
      <c r="J14" s="2027"/>
      <c r="K14" s="2026"/>
      <c r="L14" s="2026"/>
      <c r="M14" s="2026"/>
      <c r="N14" s="2026"/>
      <c r="O14" s="2026"/>
      <c r="P14" s="2026"/>
      <c r="Q14" s="2026"/>
      <c r="R14" s="2026"/>
      <c r="S14" s="2026"/>
      <c r="T14" s="2026"/>
      <c r="U14" s="2026"/>
      <c r="V14" s="2026"/>
    </row>
    <row r="15" spans="1:22" ht="14.25">
      <c r="A15" s="3463"/>
      <c r="B15" s="3464"/>
      <c r="C15" s="3473"/>
      <c r="D15" s="3475"/>
      <c r="E15" s="260" t="s">
        <v>317</v>
      </c>
      <c r="F15" s="261"/>
      <c r="G15" s="261"/>
      <c r="H15" s="261"/>
      <c r="I15" s="262"/>
      <c r="J15" s="2027"/>
      <c r="K15" s="2026"/>
      <c r="L15" s="2026"/>
      <c r="M15" s="2026"/>
      <c r="N15" s="2026"/>
      <c r="O15" s="2026"/>
      <c r="P15" s="2026"/>
      <c r="Q15" s="2026"/>
      <c r="R15" s="2026"/>
      <c r="S15" s="2026"/>
      <c r="T15" s="2026"/>
      <c r="U15" s="2026"/>
      <c r="V15" s="2026"/>
    </row>
    <row r="16" spans="1:22" ht="14.25">
      <c r="A16" s="3463"/>
      <c r="B16" s="3464"/>
      <c r="C16" s="3474"/>
      <c r="D16" s="3475"/>
      <c r="E16" s="260" t="s">
        <v>318</v>
      </c>
      <c r="F16" s="261"/>
      <c r="G16" s="261"/>
      <c r="H16" s="261"/>
      <c r="I16" s="262"/>
      <c r="J16" s="2027"/>
      <c r="K16" s="2026"/>
      <c r="L16" s="2026"/>
      <c r="M16" s="2026"/>
      <c r="N16" s="2026"/>
      <c r="O16" s="2026"/>
      <c r="P16" s="2026"/>
      <c r="Q16" s="2026"/>
      <c r="R16" s="2026"/>
      <c r="S16" s="2026"/>
      <c r="T16" s="2026"/>
      <c r="U16" s="2026"/>
      <c r="V16" s="2026"/>
    </row>
    <row r="17" spans="1:26" ht="15">
      <c r="A17" s="263" t="s">
        <v>319</v>
      </c>
      <c r="B17" s="143"/>
      <c r="C17" s="264">
        <f>SUM(C5:C16)</f>
        <v>5</v>
      </c>
      <c r="D17" s="264">
        <f>SUM(D5:D16)</f>
        <v>5</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320</v>
      </c>
      <c r="B18" s="105"/>
      <c r="C18" s="266">
        <f>ROUND(C17/SUM(C17:D17),2)</f>
        <v>0.5</v>
      </c>
      <c r="D18" s="266">
        <f>1-C18</f>
        <v>0.5</v>
      </c>
      <c r="E18" s="310"/>
      <c r="F18" s="310"/>
      <c r="G18" s="310"/>
      <c r="H18" s="310"/>
      <c r="I18" s="310"/>
      <c r="J18" s="2026"/>
      <c r="K18" s="2026"/>
      <c r="L18" s="2026"/>
      <c r="M18" s="2026"/>
      <c r="N18" s="2026"/>
      <c r="O18" s="2026"/>
      <c r="P18" s="2026"/>
      <c r="Q18" s="2026"/>
      <c r="R18" s="2026"/>
      <c r="S18" s="2026"/>
      <c r="T18" s="2026"/>
      <c r="U18" s="2026"/>
      <c r="V18" s="2026"/>
    </row>
    <row r="19" spans="1:26" ht="15">
      <c r="A19" s="267" t="s">
        <v>321</v>
      </c>
      <c r="B19" s="268" t="s">
        <v>322</v>
      </c>
      <c r="C19" s="269">
        <f ca="1">SUMIF(INDIRECT("'"&amp;C4&amp;"'"&amp;"!A:A"),结果表!B19,INDIRECT("'"&amp;C4&amp;"'"&amp;"!B:B"))</f>
        <v>333218</v>
      </c>
      <c r="D19" s="270">
        <f ca="1">SUMIF(INDIRECT("'"&amp;D4&amp;"'"&amp;"!A:A"),结果表!B19,INDIRECT("'"&amp;D4&amp;"'"&amp;"!B:B"))</f>
        <v>290172</v>
      </c>
      <c r="E19" s="267" t="s">
        <v>323</v>
      </c>
      <c r="F19" s="268" t="s">
        <v>322</v>
      </c>
      <c r="G19" s="271">
        <f ca="1">ROUND(C19*$C$18+D19*$D$18,0)</f>
        <v>311695</v>
      </c>
      <c r="H19" s="272" t="s">
        <v>324</v>
      </c>
      <c r="I19" s="310"/>
      <c r="J19" s="2026"/>
      <c r="K19" s="2026"/>
      <c r="L19" s="2026"/>
      <c r="M19" s="2026"/>
      <c r="N19" s="2026"/>
      <c r="O19" s="2026"/>
      <c r="P19" s="2026"/>
      <c r="Q19" s="2026"/>
      <c r="R19" s="2026"/>
      <c r="S19" s="2026"/>
      <c r="T19" s="2026"/>
      <c r="U19" s="2026"/>
      <c r="V19" s="2026"/>
    </row>
    <row r="20" spans="1:26" ht="15">
      <c r="A20" s="273"/>
      <c r="B20" s="274" t="s">
        <v>325</v>
      </c>
      <c r="C20" s="275">
        <f ca="1">SUMIF(INDIRECT("'"&amp;C4&amp;"'"&amp;"!A:A"),结果表!B20,INDIRECT("'"&amp;C4&amp;"'"&amp;"!B:B"))</f>
        <v>19622</v>
      </c>
      <c r="D20" s="276">
        <f ca="1">SUMIF(INDIRECT("'"&amp;D4&amp;"'"&amp;"!A:A"),结果表!B20,INDIRECT("'"&amp;D4&amp;"'"&amp;"!B:B"))</f>
        <v>17087</v>
      </c>
      <c r="E20" s="273"/>
      <c r="F20" s="274" t="s">
        <v>325</v>
      </c>
      <c r="G20" s="277">
        <f ca="1">ROUND(C20*$C$18+D20*$D$18,0)</f>
        <v>18355</v>
      </c>
      <c r="H20" s="278" t="s">
        <v>326</v>
      </c>
      <c r="I20" s="310"/>
      <c r="J20" s="2026"/>
      <c r="K20" s="2026"/>
      <c r="L20" s="2026"/>
      <c r="M20" s="2026"/>
      <c r="N20" s="2026"/>
      <c r="O20" s="2026"/>
      <c r="P20" s="2026"/>
      <c r="Q20" s="2026"/>
      <c r="R20" s="2026"/>
      <c r="S20" s="2026"/>
      <c r="T20" s="2026"/>
      <c r="U20" s="2026"/>
      <c r="V20" s="2026"/>
    </row>
    <row r="21" spans="1:26" ht="15" customHeight="1">
      <c r="A21" s="273"/>
      <c r="B21" s="279" t="s">
        <v>327</v>
      </c>
      <c r="C21" s="280">
        <f ca="1">SUMIF(INDIRECT("'"&amp;C4&amp;"'"&amp;"!A:A"),结果表!B21,INDIRECT("'"&amp;C4&amp;"'"&amp;"!B:B"))</f>
        <v>51993</v>
      </c>
      <c r="D21" s="150">
        <f ca="1">SUMIF(INDIRECT("'"&amp;D4&amp;"'"&amp;"!A:A"),结果表!B21,INDIRECT("'"&amp;D4&amp;"'"&amp;"!B:B"))</f>
        <v>45276</v>
      </c>
      <c r="E21" s="273"/>
      <c r="F21" s="279" t="s">
        <v>327</v>
      </c>
      <c r="G21" s="281">
        <f ca="1">ROUND(C21*$C$18+D21*$D$18,0)</f>
        <v>48635</v>
      </c>
      <c r="H21" s="1250" t="s">
        <v>326</v>
      </c>
      <c r="I21" s="310"/>
      <c r="J21" s="2026"/>
      <c r="K21" s="2026"/>
      <c r="L21" s="2026"/>
      <c r="M21" s="2026"/>
      <c r="N21" s="2026"/>
      <c r="O21" s="2026"/>
      <c r="P21" s="2026"/>
      <c r="Q21" s="2026"/>
      <c r="R21" s="2026"/>
      <c r="S21" s="2026"/>
      <c r="T21" s="2026"/>
      <c r="U21" s="2026"/>
      <c r="V21" s="2026"/>
    </row>
    <row r="22" spans="1:26" ht="15.75" thickBot="1">
      <c r="A22" s="126" t="s">
        <v>328</v>
      </c>
      <c r="B22" s="1251"/>
      <c r="C22" s="1252"/>
      <c r="D22" s="282">
        <f ca="1">IF(C19&lt;D19,D19/C19-1,C19/D19-1)</f>
        <v>0.14834649793915333</v>
      </c>
      <c r="E22" s="283"/>
      <c r="F22" s="284"/>
      <c r="G22" s="285">
        <f ca="1">ROUND(G19/('数据-汇总表'!D3/666.67),0)</f>
        <v>3242</v>
      </c>
      <c r="H22" s="286" t="s">
        <v>329</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436" t="s">
        <v>330</v>
      </c>
      <c r="B24" s="268" t="s">
        <v>322</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478"/>
      <c r="B25" s="1320" t="s">
        <v>331</v>
      </c>
      <c r="C25" s="289">
        <f>IF(B30=0,0,C30)</f>
        <v>0</v>
      </c>
      <c r="D25" s="290"/>
      <c r="E25" s="310"/>
      <c r="F25" s="310"/>
      <c r="G25" s="310"/>
      <c r="H25" s="310"/>
      <c r="I25" s="310"/>
      <c r="J25" s="2026"/>
      <c r="K25" s="1254" t="str">
        <f ca="1">项目基本情况!B16&amp;"国有建设用地使用权价格："&amp;O38&amp;"万元"</f>
        <v>出让国有建设用地使用权价格：311695万元</v>
      </c>
      <c r="L25" s="1255"/>
      <c r="M25" s="1255"/>
      <c r="N25" s="1255"/>
      <c r="O25" s="1256"/>
      <c r="P25" s="2026"/>
      <c r="Q25" s="2026"/>
      <c r="R25" s="2026"/>
      <c r="S25" s="2026"/>
      <c r="T25" s="2026"/>
      <c r="U25" s="2026"/>
      <c r="V25" s="2026"/>
    </row>
    <row r="26" spans="1:26" s="1253" customFormat="1" ht="18">
      <c r="A26" s="292" t="s">
        <v>332</v>
      </c>
      <c r="B26" s="293" t="s">
        <v>333</v>
      </c>
      <c r="C26" s="293" t="s">
        <v>334</v>
      </c>
      <c r="D26" s="294" t="s">
        <v>335</v>
      </c>
      <c r="E26" s="310"/>
      <c r="F26" s="310"/>
      <c r="G26" s="310"/>
      <c r="H26" s="310"/>
      <c r="I26" s="310"/>
      <c r="J26" s="2026"/>
      <c r="K26" s="1257" t="str">
        <f ca="1">"大写金额：人民币"&amp;NUMBERSTRING(INT(O38*10000),2)&amp;"元整"</f>
        <v>大写金额：人民币叁拾壹亿壹仟陆佰玖拾伍万元整</v>
      </c>
      <c r="L26" s="1251"/>
      <c r="M26" s="1251"/>
      <c r="N26" s="1251"/>
      <c r="O26" s="1250"/>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7" t="str">
        <f ca="1">"单位面积地价："&amp;M38&amp;"元/平方米"</f>
        <v>单位面积地价：48634元/平方米</v>
      </c>
      <c r="L27" s="1251"/>
      <c r="M27" s="1251"/>
      <c r="N27" s="1251"/>
      <c r="O27" s="1250"/>
      <c r="P27" s="2026"/>
      <c r="Q27" s="2026"/>
      <c r="R27" s="2026"/>
      <c r="S27" s="2026"/>
      <c r="T27" s="2026"/>
      <c r="U27" s="2026"/>
      <c r="V27" s="2026"/>
    </row>
    <row r="28" spans="1:26" ht="18.75" customHeight="1">
      <c r="A28" s="292"/>
      <c r="B28" s="293"/>
      <c r="C28" s="293"/>
      <c r="D28" s="294"/>
      <c r="E28" s="310"/>
      <c r="F28" s="310"/>
      <c r="G28" s="310"/>
      <c r="H28" s="310"/>
      <c r="I28" s="310"/>
      <c r="J28" s="2026"/>
      <c r="K28" s="1257" t="str">
        <f ca="1">"楼面地价："&amp;N38&amp;"元/平方米"</f>
        <v>楼面地价：18355元/平方米</v>
      </c>
      <c r="L28" s="1251"/>
      <c r="M28" s="1251"/>
      <c r="N28" s="1251"/>
      <c r="O28" s="1250"/>
      <c r="P28" s="2026"/>
      <c r="V28" s="2026"/>
    </row>
    <row r="29" spans="1:26" ht="18">
      <c r="A29" s="292"/>
      <c r="B29" s="293"/>
      <c r="C29" s="293"/>
      <c r="D29" s="294"/>
      <c r="E29" s="310"/>
      <c r="F29" s="310"/>
      <c r="G29" s="310"/>
      <c r="H29" s="310"/>
      <c r="I29" s="310"/>
      <c r="J29" s="2026"/>
      <c r="K29" s="1257" t="str">
        <f ca="1">IF(OR(项目基本情况!E8="抵押价格",项目基本情况!E8="已注销及未注销"),"抵押价格："&amp;O39&amp;"万元","——")</f>
        <v>抵押价格：311695万元</v>
      </c>
      <c r="L29" s="1251"/>
      <c r="M29" s="1251"/>
      <c r="N29" s="1251"/>
      <c r="O29" s="1250"/>
      <c r="P29" s="2026"/>
      <c r="V29" s="2026"/>
    </row>
    <row r="30" spans="1:26" ht="18.75" thickBot="1">
      <c r="A30" s="3124" t="s">
        <v>336</v>
      </c>
      <c r="B30" s="308"/>
      <c r="C30" s="308"/>
      <c r="D30" s="309"/>
      <c r="E30" s="3125" t="s">
        <v>2956</v>
      </c>
      <c r="F30" s="310"/>
      <c r="G30" s="310"/>
      <c r="H30" s="310"/>
      <c r="I30" s="310"/>
      <c r="J30" s="2026"/>
      <c r="K30" s="1257" t="str">
        <f ca="1">IF(K29="——","——","大写金额：人民币"&amp;NUMBERSTRING(INT(O39*10000),2)&amp;"元整")</f>
        <v>大写金额：人民币叁拾壹亿壹仟陆佰玖拾伍万元整</v>
      </c>
      <c r="L30" s="1251"/>
      <c r="M30" s="1251"/>
      <c r="N30" s="1251"/>
      <c r="O30" s="1250"/>
      <c r="P30" s="2026"/>
      <c r="V30" s="2026"/>
    </row>
    <row r="31" spans="1:26" ht="24" customHeight="1" thickBot="1">
      <c r="A31" s="310"/>
      <c r="B31" s="310"/>
      <c r="C31" s="310"/>
      <c r="D31" s="310"/>
      <c r="E31" s="310"/>
      <c r="F31" s="310"/>
      <c r="G31" s="310"/>
      <c r="H31" s="310"/>
      <c r="I31" s="310"/>
      <c r="J31" s="2026"/>
      <c r="K31" s="2466" t="str">
        <f>IF(项目基本情况!E8="抵押价格","——","抵押担保权已注销时的抵押价格："&amp;O40&amp;"万元")</f>
        <v>——</v>
      </c>
      <c r="L31" s="2462"/>
      <c r="M31" s="2462"/>
      <c r="N31" s="2462"/>
      <c r="O31" s="2463"/>
      <c r="P31" s="2026"/>
      <c r="V31" s="2026"/>
    </row>
    <row r="32" spans="1:26" ht="18.75" thickBot="1">
      <c r="A32" s="267" t="s">
        <v>337</v>
      </c>
      <c r="B32" s="1380" t="s">
        <v>1689</v>
      </c>
      <c r="C32" s="1381">
        <f ca="1">G19-C24</f>
        <v>311695</v>
      </c>
      <c r="D32" s="1382" t="s">
        <v>1690</v>
      </c>
      <c r="E32" s="310"/>
      <c r="F32" s="310"/>
      <c r="G32" s="310"/>
      <c r="H32" s="310"/>
      <c r="I32" s="310"/>
      <c r="J32" s="2026"/>
      <c r="K32" s="2461" t="str">
        <f>IF(K31="——","——","大写金额：人民币"&amp;NUMBERSTRING(INT(O40*10000),2)&amp;"元整")</f>
        <v>——</v>
      </c>
      <c r="L32" s="2464"/>
      <c r="M32" s="2464"/>
      <c r="N32" s="2464"/>
      <c r="O32" s="2465"/>
      <c r="P32" s="2026"/>
      <c r="V32" s="2026"/>
    </row>
    <row r="33" spans="1:26" ht="18.75" thickBot="1">
      <c r="A33" s="297" t="s">
        <v>340</v>
      </c>
      <c r="B33" s="1383" t="s">
        <v>1691</v>
      </c>
      <c r="C33" s="263">
        <f ca="1">ROUND(C32*10000/'数据-汇总表'!E3,0)</f>
        <v>18355</v>
      </c>
      <c r="D33" s="1384" t="s">
        <v>1692</v>
      </c>
      <c r="E33" s="3436" t="s">
        <v>338</v>
      </c>
      <c r="F33" s="295" t="s">
        <v>339</v>
      </c>
      <c r="G33" s="296"/>
      <c r="H33" s="979"/>
      <c r="I33" s="1258"/>
      <c r="J33" s="2026"/>
      <c r="K33" s="1257" t="str">
        <f>IF(项目基本情况!E9="——","——","抵押净值："&amp;C46&amp;"万元")</f>
        <v>——</v>
      </c>
      <c r="L33" s="1251"/>
      <c r="M33" s="1251"/>
      <c r="N33" s="1251"/>
      <c r="O33" s="1250"/>
      <c r="P33" s="2026"/>
      <c r="V33" s="2026"/>
    </row>
    <row r="34" spans="1:26" s="1253" customFormat="1" ht="18.75" thickBot="1">
      <c r="A34" s="299"/>
      <c r="B34" s="1385" t="s">
        <v>1693</v>
      </c>
      <c r="C34" s="263">
        <f ca="1">ROUND(C32*10000/'数据-汇总表'!D3,0)</f>
        <v>48634</v>
      </c>
      <c r="D34" s="1386" t="s">
        <v>1692</v>
      </c>
      <c r="E34" s="3437"/>
      <c r="F34" s="127" t="s">
        <v>341</v>
      </c>
      <c r="G34" s="298"/>
      <c r="H34" s="105"/>
      <c r="I34" s="310"/>
      <c r="J34" s="2026"/>
      <c r="K34" s="1260" t="str">
        <f>IF(K33="——","——","大写金额：人民币"&amp;NUMBERSTRING(INT(O41*10000),2)&amp;"元整")</f>
        <v>——</v>
      </c>
      <c r="L34" s="1261"/>
      <c r="M34" s="1261"/>
      <c r="N34" s="1261"/>
      <c r="O34" s="1262"/>
      <c r="P34" s="2026"/>
      <c r="Q34" s="291"/>
      <c r="R34" s="291"/>
      <c r="S34" s="291"/>
      <c r="T34" s="291"/>
      <c r="U34" s="291"/>
      <c r="V34" s="2026"/>
      <c r="W34" s="291"/>
      <c r="X34" s="291"/>
      <c r="Y34" s="291"/>
      <c r="Z34" s="291"/>
    </row>
    <row r="35" spans="1:26" ht="15.75" thickBot="1">
      <c r="A35" s="283"/>
      <c r="B35" s="1387"/>
      <c r="C35" s="1388">
        <f ca="1">ROUND(C32/('数据-汇总表'!D3/666.67),0)</f>
        <v>3242</v>
      </c>
      <c r="D35" s="1389" t="s">
        <v>1694</v>
      </c>
      <c r="E35" s="3438"/>
      <c r="F35" s="300" t="s">
        <v>342</v>
      </c>
      <c r="G35" s="981"/>
      <c r="H35" s="980" t="s">
        <v>343</v>
      </c>
      <c r="I35" s="310"/>
      <c r="J35" s="2026"/>
      <c r="K35" s="3442" t="s">
        <v>350</v>
      </c>
      <c r="L35" s="3442" t="s">
        <v>351</v>
      </c>
      <c r="M35" s="1263" t="s">
        <v>352</v>
      </c>
      <c r="N35" s="3442" t="s">
        <v>353</v>
      </c>
      <c r="O35" s="3442" t="s">
        <v>354</v>
      </c>
      <c r="P35" s="2026"/>
      <c r="V35" s="2026"/>
    </row>
    <row r="36" spans="1:26" ht="16.5" customHeight="1">
      <c r="A36" s="302" t="s">
        <v>344</v>
      </c>
      <c r="B36" s="303" t="s">
        <v>333</v>
      </c>
      <c r="C36" s="304" t="s">
        <v>345</v>
      </c>
      <c r="D36" s="304" t="s">
        <v>346</v>
      </c>
      <c r="E36" s="305" t="s">
        <v>347</v>
      </c>
      <c r="F36" s="310"/>
      <c r="G36" s="310"/>
      <c r="H36" s="310"/>
      <c r="I36" s="310"/>
      <c r="J36" s="2028"/>
      <c r="K36" s="3443"/>
      <c r="L36" s="3443"/>
      <c r="M36" s="1265" t="s">
        <v>355</v>
      </c>
      <c r="N36" s="3443"/>
      <c r="O36" s="3443"/>
      <c r="P36" s="2026"/>
      <c r="V36" s="2026"/>
    </row>
    <row r="37" spans="1:26" ht="16.5" customHeight="1" thickBot="1">
      <c r="A37" s="1259" t="s">
        <v>348</v>
      </c>
      <c r="B37" s="306"/>
      <c r="C37" s="293"/>
      <c r="D37" s="293"/>
      <c r="E37" s="294"/>
      <c r="F37" s="310"/>
      <c r="G37" s="310"/>
      <c r="H37" s="310"/>
      <c r="I37" s="310"/>
      <c r="J37" s="2028"/>
      <c r="K37" s="3444"/>
      <c r="L37" s="3444"/>
      <c r="M37" s="1266"/>
      <c r="N37" s="3444"/>
      <c r="O37" s="3444"/>
      <c r="P37" s="2026"/>
      <c r="V37" s="2026"/>
    </row>
    <row r="38" spans="1:26" ht="16.5" customHeight="1" thickBot="1">
      <c r="A38" s="1259" t="s">
        <v>349</v>
      </c>
      <c r="B38" s="306"/>
      <c r="C38" s="293"/>
      <c r="D38" s="293"/>
      <c r="E38" s="294"/>
      <c r="F38" s="310"/>
      <c r="G38" s="310"/>
      <c r="H38" s="310"/>
      <c r="I38" s="310"/>
      <c r="J38" s="2028"/>
      <c r="K38" s="1267">
        <f>'数据-汇总表'!D3</f>
        <v>64089.62</v>
      </c>
      <c r="L38" s="1268">
        <f>'数据-汇总表'!E3</f>
        <v>169816</v>
      </c>
      <c r="M38" s="1268">
        <f ca="1">C34</f>
        <v>48634</v>
      </c>
      <c r="N38" s="1268">
        <f ca="1">C33</f>
        <v>18355</v>
      </c>
      <c r="O38" s="1269">
        <f ca="1">C32</f>
        <v>311695</v>
      </c>
      <c r="P38" s="2026"/>
      <c r="V38" s="2026"/>
    </row>
    <row r="39" spans="1:26" ht="16.5" customHeight="1" thickBot="1">
      <c r="A39" s="1264"/>
      <c r="B39" s="307"/>
      <c r="C39" s="308"/>
      <c r="D39" s="308"/>
      <c r="E39" s="309"/>
      <c r="F39" s="310"/>
      <c r="G39" s="310"/>
      <c r="H39" s="310"/>
      <c r="I39" s="310"/>
      <c r="J39" s="2028"/>
      <c r="K39" s="3419" t="str">
        <f>MID(A44,3,LEN(A44)-2)</f>
        <v>抵押价格</v>
      </c>
      <c r="L39" s="3420"/>
      <c r="M39" s="3420"/>
      <c r="N39" s="3421"/>
      <c r="O39" s="1391">
        <f ca="1">C44</f>
        <v>311695</v>
      </c>
      <c r="P39" s="2026"/>
      <c r="V39" s="2026"/>
    </row>
    <row r="40" spans="1:26" ht="19.5" thickBot="1">
      <c r="A40" s="104" t="s">
        <v>873</v>
      </c>
      <c r="B40" s="310"/>
      <c r="C40" s="310"/>
      <c r="D40" s="310"/>
      <c r="E40" s="310"/>
      <c r="F40" s="310"/>
      <c r="G40" s="310"/>
      <c r="H40" s="310"/>
      <c r="I40" s="310"/>
      <c r="J40" s="2028"/>
      <c r="K40" s="3419" t="str">
        <f>MID(A45,3,LEN(A45)-2)</f>
        <v/>
      </c>
      <c r="L40" s="3420"/>
      <c r="M40" s="3420"/>
      <c r="N40" s="3421"/>
      <c r="O40" s="1391" t="str">
        <f>C45</f>
        <v>——</v>
      </c>
      <c r="P40" s="2026"/>
      <c r="V40" s="2026"/>
    </row>
    <row r="41" spans="1:26" ht="16.5" thickBot="1">
      <c r="A41" s="311" t="s">
        <v>356</v>
      </c>
      <c r="B41" s="312"/>
      <c r="C41" s="313" t="s">
        <v>357</v>
      </c>
      <c r="D41" s="314" t="s">
        <v>358</v>
      </c>
      <c r="E41" s="314" t="s">
        <v>359</v>
      </c>
      <c r="F41" s="315" t="s">
        <v>360</v>
      </c>
      <c r="G41" s="310"/>
      <c r="H41" s="310"/>
      <c r="I41" s="310"/>
      <c r="J41" s="2028"/>
      <c r="K41" s="3419" t="str">
        <f>MID(A46,3,LEN(A46)-2)</f>
        <v/>
      </c>
      <c r="L41" s="3420"/>
      <c r="M41" s="3420"/>
      <c r="N41" s="3421"/>
      <c r="O41" s="1391" t="str">
        <f>C46</f>
        <v>——</v>
      </c>
      <c r="P41" s="2026"/>
      <c r="V41" s="2026"/>
    </row>
    <row r="42" spans="1:26" ht="29.25">
      <c r="A42" s="3479" t="s">
        <v>2067</v>
      </c>
      <c r="B42" s="3480"/>
      <c r="C42" s="263">
        <f ca="1">C32</f>
        <v>311695</v>
      </c>
      <c r="D42" s="316">
        <f ca="1">C33</f>
        <v>18355</v>
      </c>
      <c r="E42" s="316">
        <f ca="1">C34</f>
        <v>48634</v>
      </c>
      <c r="F42" s="317">
        <f ca="1">C35</f>
        <v>3242</v>
      </c>
      <c r="G42" s="310"/>
      <c r="H42" s="310"/>
      <c r="I42" s="318"/>
      <c r="J42" s="2028"/>
      <c r="K42" s="1270" t="s">
        <v>361</v>
      </c>
      <c r="L42" s="2045" t="s">
        <v>362</v>
      </c>
      <c r="M42" s="1271" t="s">
        <v>363</v>
      </c>
      <c r="N42" s="2046" t="s">
        <v>364</v>
      </c>
      <c r="O42" s="2047" t="s">
        <v>365</v>
      </c>
      <c r="P42" s="2026"/>
      <c r="V42" s="2026"/>
    </row>
    <row r="43" spans="1:26" ht="30">
      <c r="A43" s="3489" t="s">
        <v>2727</v>
      </c>
      <c r="B43" s="3490"/>
      <c r="C43" s="263">
        <f>IF(H33="正常操作",G33+G34+G35,G34+G35)</f>
        <v>0</v>
      </c>
      <c r="D43" s="316" t="s">
        <v>43</v>
      </c>
      <c r="E43" s="316" t="s">
        <v>44</v>
      </c>
      <c r="F43" s="317" t="s">
        <v>44</v>
      </c>
      <c r="G43" s="2864" t="s">
        <v>952</v>
      </c>
      <c r="H43" s="310"/>
      <c r="I43" s="318"/>
      <c r="J43" s="2028"/>
      <c r="K43" s="1272" t="str">
        <f>C4</f>
        <v>剩余法-待开发</v>
      </c>
      <c r="L43" s="1273">
        <f ca="1">IF(L42="估价结果/万元",C19,C20)</f>
        <v>333218</v>
      </c>
      <c r="M43" s="1274">
        <f>C18</f>
        <v>0.5</v>
      </c>
      <c r="N43" s="1275">
        <f ca="1">IF(N42="测算结果/万元",G19,G20)</f>
        <v>311695</v>
      </c>
      <c r="O43" s="1276">
        <f ca="1">IF(O42="最终结果/万元",C32,C33)</f>
        <v>311695</v>
      </c>
      <c r="P43" s="2026"/>
      <c r="V43" s="2026"/>
    </row>
    <row r="44" spans="1:26" ht="30.75" thickBot="1">
      <c r="A44" s="3479" t="str">
        <f>IF(OR(项目基本情况!E8="抵押价格",项目基本情况!E8="已注销及未注销"),"3.抵押价格","——")</f>
        <v>3.抵押价格</v>
      </c>
      <c r="B44" s="3480"/>
      <c r="C44" s="263">
        <f ca="1">IF(A44="——","——",C42-C43)</f>
        <v>311695</v>
      </c>
      <c r="D44" s="316">
        <f ca="1">ROUND(C44*10000/'数据-汇总表'!E3,0)</f>
        <v>18355</v>
      </c>
      <c r="E44" s="316">
        <f ca="1">ROUND(C44*10000/'数据-汇总表'!D3,0)</f>
        <v>48634</v>
      </c>
      <c r="F44" s="317">
        <f ca="1">ROUND(C44/('数据-汇总表'!D3/666.67),0)</f>
        <v>3242</v>
      </c>
      <c r="G44" s="310"/>
      <c r="H44" s="310"/>
      <c r="I44" s="318"/>
      <c r="J44" s="2028"/>
      <c r="K44" s="1277" t="str">
        <f>D4</f>
        <v>比较法-住宅、综合</v>
      </c>
      <c r="L44" s="1278">
        <f ca="1">IF(L42="估价结果/万元",D19,D20)</f>
        <v>290172</v>
      </c>
      <c r="M44" s="1279">
        <f>D18</f>
        <v>0.5</v>
      </c>
      <c r="N44" s="1280"/>
      <c r="O44" s="1281"/>
      <c r="P44" s="2026"/>
      <c r="V44" s="2026"/>
    </row>
    <row r="45" spans="1:26" ht="15">
      <c r="A45" s="3484" t="str">
        <f>IF(项目基本情况!E8="已注销及未注销","4.抵押担保权已注销时的抵押价格",IF(项目基本情况!E8="已注销","3.抵押担保权已注销时的抵押价格","——"))</f>
        <v>——</v>
      </c>
      <c r="B45" s="3485"/>
      <c r="C45" s="180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481" t="str">
        <f>IF(项目基本情况!E9="抵押净值",IF(A45="——","4.抵押净值","5.抵押净值"),"——")</f>
        <v>——</v>
      </c>
      <c r="B46" s="3482"/>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366</v>
      </c>
      <c r="B47" s="1282"/>
      <c r="C47" s="321" t="s">
        <v>367</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27"/>
      <c r="C48" s="327"/>
      <c r="D48" s="322"/>
      <c r="E48" s="322"/>
      <c r="F48" s="322"/>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c r="F49" s="322"/>
      <c r="G49" s="322"/>
      <c r="H49" s="328"/>
      <c r="I49" s="329"/>
      <c r="J49" s="2029"/>
      <c r="K49" s="2026"/>
      <c r="L49" s="2026"/>
      <c r="M49" s="2026"/>
      <c r="N49" s="2026"/>
      <c r="O49" s="2026"/>
      <c r="P49" s="2026"/>
      <c r="Q49" s="2026"/>
      <c r="R49" s="2026"/>
      <c r="S49" s="2026"/>
      <c r="T49" s="2026"/>
      <c r="U49" s="2026"/>
      <c r="V49" s="2026"/>
    </row>
    <row r="50" spans="1:22" ht="12.75">
      <c r="A50" s="326">
        <v>3</v>
      </c>
      <c r="B50" s="327"/>
      <c r="C50" s="327"/>
      <c r="D50" s="322"/>
      <c r="E50" s="322"/>
      <c r="F50" s="322"/>
      <c r="G50" s="322"/>
      <c r="H50" s="328"/>
      <c r="I50" s="329"/>
      <c r="J50" s="2029"/>
      <c r="K50" s="2026"/>
      <c r="L50" s="2026"/>
      <c r="M50" s="2026"/>
      <c r="N50" s="2026"/>
      <c r="O50" s="2026"/>
      <c r="P50" s="2026"/>
      <c r="Q50" s="2026"/>
      <c r="R50" s="2026"/>
      <c r="S50" s="2026"/>
      <c r="T50" s="2026"/>
      <c r="U50" s="2026"/>
      <c r="V50" s="2026"/>
    </row>
    <row r="51" spans="1:22" ht="12.75">
      <c r="A51" s="330"/>
      <c r="B51" s="331"/>
      <c r="C51" s="331"/>
      <c r="D51" s="332"/>
      <c r="E51" s="332"/>
      <c r="F51" s="332"/>
      <c r="G51" s="332"/>
      <c r="H51" s="333"/>
      <c r="I51" s="334"/>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5" t="s">
        <v>368</v>
      </c>
      <c r="G53" s="336"/>
      <c r="H53" s="336"/>
      <c r="I53" s="337" t="s">
        <v>369</v>
      </c>
      <c r="J53" s="2029"/>
      <c r="K53" s="2026"/>
      <c r="L53" s="2026"/>
      <c r="M53" s="2026"/>
      <c r="N53" s="2026"/>
      <c r="O53" s="2026"/>
      <c r="P53" s="2026"/>
      <c r="Q53" s="2026"/>
      <c r="R53" s="2026"/>
      <c r="S53" s="2026"/>
      <c r="T53" s="2026"/>
      <c r="U53" s="2026"/>
      <c r="V53" s="2026"/>
    </row>
    <row r="54" spans="1:22" ht="12.75">
      <c r="A54" s="256"/>
      <c r="B54" s="338" t="s">
        <v>370</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6"/>
      <c r="C56" s="336"/>
      <c r="D56" s="336"/>
      <c r="E56" s="336"/>
      <c r="F56" s="336"/>
      <c r="G56" s="336"/>
      <c r="H56" s="336"/>
      <c r="I56" s="337" t="s">
        <v>371</v>
      </c>
      <c r="J56" s="2029"/>
      <c r="K56" s="2026"/>
      <c r="L56" s="2026"/>
      <c r="M56" s="2026"/>
      <c r="N56" s="2026"/>
      <c r="O56" s="2026"/>
      <c r="P56" s="2026"/>
      <c r="Q56" s="2026"/>
      <c r="R56" s="2026"/>
      <c r="S56" s="2026"/>
      <c r="T56" s="2026"/>
      <c r="U56" s="2026"/>
      <c r="V56" s="2026"/>
    </row>
    <row r="57" spans="1:22" ht="12.75">
      <c r="A57" s="256"/>
      <c r="B57" s="338" t="s">
        <v>372</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8"/>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6"/>
      <c r="C59" s="336"/>
      <c r="D59" s="336"/>
      <c r="E59" s="336"/>
      <c r="F59" s="336"/>
      <c r="G59" s="336"/>
      <c r="H59" s="336"/>
      <c r="I59" s="337" t="s">
        <v>371</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8"/>
      <c r="C61" s="339"/>
      <c r="D61" s="215"/>
      <c r="E61" s="215"/>
      <c r="F61" s="252"/>
      <c r="G61" s="256"/>
      <c r="H61" s="256"/>
      <c r="I61" s="256"/>
      <c r="J61" s="2029"/>
      <c r="K61" s="2026"/>
      <c r="L61" s="2026"/>
      <c r="M61" s="2026"/>
      <c r="N61" s="2026"/>
      <c r="O61" s="2026"/>
      <c r="P61" s="2026"/>
      <c r="Q61" s="2026"/>
      <c r="R61" s="2026"/>
      <c r="S61" s="2026"/>
      <c r="T61" s="2026"/>
      <c r="U61" s="2026"/>
      <c r="V61" s="2026"/>
    </row>
    <row r="62" spans="1:22" ht="18.75">
      <c r="A62" s="1283" t="s">
        <v>373</v>
      </c>
      <c r="B62" s="1284"/>
      <c r="C62" s="1284"/>
      <c r="D62" s="1285"/>
      <c r="E62" s="1285"/>
      <c r="F62" s="1286"/>
      <c r="G62" s="1286"/>
      <c r="H62" s="1286"/>
      <c r="I62" s="1286"/>
      <c r="J62" s="2030"/>
      <c r="K62" s="2026"/>
      <c r="L62" s="2026"/>
      <c r="M62" s="2026"/>
      <c r="N62" s="2026"/>
      <c r="O62" s="2026"/>
      <c r="P62" s="2026"/>
      <c r="Q62" s="2026"/>
      <c r="R62" s="2026"/>
      <c r="S62" s="2026"/>
      <c r="T62" s="2026"/>
      <c r="U62" s="2026"/>
      <c r="V62" s="2026"/>
    </row>
    <row r="63" spans="1:22" ht="14.25" customHeight="1" thickBot="1">
      <c r="A63" s="3447" t="s">
        <v>374</v>
      </c>
      <c r="B63" s="3448"/>
      <c r="C63" s="3449"/>
      <c r="D63" s="340">
        <f ca="1">ROUND(C42*F63,0)</f>
        <v>187017</v>
      </c>
      <c r="E63" s="301" t="s">
        <v>375</v>
      </c>
      <c r="F63" s="341">
        <v>0.6</v>
      </c>
      <c r="G63" s="342" t="s">
        <v>376</v>
      </c>
      <c r="H63" s="310"/>
      <c r="I63" s="310"/>
      <c r="J63" s="2026"/>
      <c r="K63" s="2026"/>
      <c r="L63" s="2026"/>
      <c r="M63" s="2026"/>
      <c r="N63" s="2026"/>
      <c r="O63" s="2026"/>
      <c r="P63" s="310"/>
      <c r="Q63" s="2026"/>
      <c r="R63" s="2026"/>
      <c r="S63" s="2026"/>
      <c r="T63" s="2026"/>
      <c r="U63" s="2026"/>
      <c r="V63" s="2026"/>
    </row>
    <row r="64" spans="1:22" ht="14.25" customHeight="1">
      <c r="A64" s="3486" t="s">
        <v>378</v>
      </c>
      <c r="B64" s="3487"/>
      <c r="C64" s="3487"/>
      <c r="D64" s="3487"/>
      <c r="E64" s="3487"/>
      <c r="F64" s="3487"/>
      <c r="G64" s="3488"/>
      <c r="H64" s="1287"/>
      <c r="I64" s="947"/>
      <c r="J64" s="1988"/>
      <c r="K64" s="1560" t="s">
        <v>377</v>
      </c>
      <c r="L64" s="11"/>
      <c r="M64" s="11"/>
      <c r="N64" s="11"/>
      <c r="O64" s="11"/>
      <c r="P64" s="310"/>
      <c r="Q64" s="2026"/>
      <c r="R64" s="2026"/>
      <c r="S64" s="2026"/>
      <c r="T64" s="2026"/>
      <c r="U64" s="2026"/>
      <c r="V64" s="2026"/>
    </row>
    <row r="65" spans="1:22" ht="12" customHeight="1">
      <c r="A65" s="343" t="s">
        <v>380</v>
      </c>
      <c r="B65" s="344"/>
      <c r="C65" s="345"/>
      <c r="D65" s="346" t="s">
        <v>381</v>
      </c>
      <c r="E65" s="53" t="s">
        <v>382</v>
      </c>
      <c r="F65" s="347" t="s">
        <v>383</v>
      </c>
      <c r="G65" s="348" t="s">
        <v>384</v>
      </c>
      <c r="H65" s="1287"/>
      <c r="I65" s="947"/>
      <c r="J65" s="1988"/>
      <c r="K65" s="1288"/>
      <c r="L65" s="1289"/>
      <c r="M65" s="1289"/>
      <c r="N65" s="1321" t="s">
        <v>379</v>
      </c>
      <c r="O65" s="1322"/>
      <c r="P65" s="1323"/>
      <c r="Q65" s="2026"/>
      <c r="R65" s="2026"/>
      <c r="S65" s="2026"/>
      <c r="T65" s="2026"/>
      <c r="U65" s="2026"/>
      <c r="V65" s="2026"/>
    </row>
    <row r="66" spans="1:22" ht="25.5">
      <c r="A66" s="3483" t="s">
        <v>386</v>
      </c>
      <c r="B66" s="3454"/>
      <c r="C66" s="3454"/>
      <c r="D66" s="260">
        <f ca="1">IF(H66="情况1",0,IF(H66="情况2",D70,IF(H66="情况3",D71,IF(H66="情况4",D72))))</f>
        <v>9796</v>
      </c>
      <c r="E66" s="992" t="str">
        <f>IF(H66="情况4","(销售额-原购置价)×税（费）率","销售额×税（费）率")</f>
        <v>销售额×税（费）率</v>
      </c>
      <c r="F66" s="349">
        <f>IF(H66="情况1","免征",'数据-取费表'!B41)</f>
        <v>5.5000000000000007E-2</v>
      </c>
      <c r="G66" s="350" t="s">
        <v>387</v>
      </c>
      <c r="H66" s="190" t="s">
        <v>388</v>
      </c>
      <c r="I66" s="1287"/>
      <c r="J66" s="2032"/>
      <c r="K66" s="1290">
        <v>1</v>
      </c>
      <c r="L66" s="3423" t="s">
        <v>385</v>
      </c>
      <c r="M66" s="3424"/>
      <c r="N66" s="2456"/>
      <c r="O66" s="2457"/>
      <c r="P66" s="2458"/>
      <c r="Q66" s="2026"/>
      <c r="R66" s="2026"/>
      <c r="S66" s="2026"/>
      <c r="T66" s="2026"/>
      <c r="U66" s="2026"/>
      <c r="V66" s="2026"/>
    </row>
    <row r="67" spans="1:22" ht="25.5" customHeight="1">
      <c r="A67" s="351" t="s">
        <v>390</v>
      </c>
      <c r="B67" s="3466" t="s">
        <v>391</v>
      </c>
      <c r="C67" s="3466"/>
      <c r="D67" s="352">
        <v>0</v>
      </c>
      <c r="E67" s="41" t="s">
        <v>392</v>
      </c>
      <c r="F67" s="62" t="s">
        <v>21</v>
      </c>
      <c r="G67" s="3450"/>
      <c r="H67" s="310"/>
      <c r="I67" s="1291"/>
      <c r="J67" s="2033"/>
      <c r="K67" s="1974">
        <v>2</v>
      </c>
      <c r="L67" s="3422" t="s">
        <v>389</v>
      </c>
      <c r="M67" s="3422"/>
      <c r="N67" s="1324">
        <f>'数据-取费表'!B2</f>
        <v>43444</v>
      </c>
      <c r="O67" s="1324"/>
      <c r="P67" s="1324"/>
      <c r="Q67" s="2026"/>
      <c r="R67" s="2026"/>
      <c r="S67" s="2026"/>
      <c r="T67" s="2026"/>
      <c r="U67" s="2026"/>
      <c r="V67" s="2026"/>
    </row>
    <row r="68" spans="1:22" ht="25.5" customHeight="1">
      <c r="A68" s="353"/>
      <c r="B68" s="3466" t="s">
        <v>394</v>
      </c>
      <c r="C68" s="3466"/>
      <c r="D68" s="354"/>
      <c r="E68" s="77"/>
      <c r="F68" s="355"/>
      <c r="G68" s="3451"/>
      <c r="H68" s="310"/>
      <c r="I68" s="1291"/>
      <c r="J68" s="2033"/>
      <c r="K68" s="1974">
        <v>3</v>
      </c>
      <c r="L68" s="3422" t="s">
        <v>393</v>
      </c>
      <c r="M68" s="3422"/>
      <c r="N68" s="1292">
        <f ca="1">C42</f>
        <v>311695</v>
      </c>
      <c r="O68" s="1292"/>
      <c r="P68" s="1292"/>
      <c r="Q68" s="2026"/>
      <c r="R68" s="2026"/>
      <c r="S68" s="2026"/>
      <c r="T68" s="2026"/>
      <c r="U68" s="2026"/>
      <c r="V68" s="2026"/>
    </row>
    <row r="69" spans="1:22" ht="12" customHeight="1">
      <c r="A69" s="356"/>
      <c r="B69" s="3466" t="s">
        <v>395</v>
      </c>
      <c r="C69" s="3466"/>
      <c r="D69" s="357"/>
      <c r="E69" s="73"/>
      <c r="F69" s="355"/>
      <c r="G69" s="3452"/>
      <c r="H69" s="310"/>
      <c r="I69" s="1291"/>
      <c r="J69" s="2033"/>
      <c r="K69" s="1293">
        <v>4</v>
      </c>
      <c r="L69" s="3428" t="s">
        <v>2880</v>
      </c>
      <c r="M69" s="3429"/>
      <c r="N69" s="1294">
        <f ca="1">C44</f>
        <v>311695</v>
      </c>
      <c r="O69" s="1294"/>
      <c r="P69" s="1294"/>
      <c r="Q69" s="2026"/>
      <c r="R69" s="2026"/>
      <c r="S69" s="2026"/>
      <c r="T69" s="2026"/>
      <c r="U69" s="2026"/>
      <c r="V69" s="2026"/>
    </row>
    <row r="70" spans="1:22" ht="24" customHeight="1">
      <c r="A70" s="358" t="s">
        <v>396</v>
      </c>
      <c r="B70" s="3466" t="s">
        <v>397</v>
      </c>
      <c r="C70" s="3466"/>
      <c r="D70" s="357">
        <f ca="1">ROUND(D63*'数据-取费表'!B41/(1+'数据-取费表'!C42),0)</f>
        <v>9796</v>
      </c>
      <c r="E70" s="17" t="s">
        <v>398</v>
      </c>
      <c r="F70" s="359">
        <f>'数据-取费表'!B41</f>
        <v>5.5000000000000007E-2</v>
      </c>
      <c r="G70" s="360"/>
      <c r="H70" s="310"/>
      <c r="I70" s="1291"/>
      <c r="J70" s="2033"/>
      <c r="K70" s="3059"/>
      <c r="L70" s="3060"/>
      <c r="M70" s="3060"/>
      <c r="N70" s="3061" t="s">
        <v>2885</v>
      </c>
      <c r="O70" s="3060"/>
      <c r="P70" s="3062"/>
      <c r="Q70" s="2026"/>
      <c r="R70" s="2026"/>
      <c r="S70" s="2026"/>
      <c r="T70" s="2026"/>
      <c r="U70" s="2026"/>
      <c r="V70" s="2026"/>
    </row>
    <row r="71" spans="1:22" ht="12" customHeight="1">
      <c r="A71" s="358" t="s">
        <v>404</v>
      </c>
      <c r="B71" s="3465" t="s">
        <v>405</v>
      </c>
      <c r="C71" s="3477"/>
      <c r="D71" s="357">
        <f ca="1">ROUND(D63*'数据-取费表'!B41/(1+'数据-取费表'!C42),0)</f>
        <v>9796</v>
      </c>
      <c r="E71" s="17" t="s">
        <v>398</v>
      </c>
      <c r="F71" s="359">
        <f>'数据-取费表'!B41</f>
        <v>5.5000000000000007E-2</v>
      </c>
      <c r="G71" s="360"/>
      <c r="H71" s="310"/>
      <c r="I71" s="1291"/>
      <c r="J71" s="2033"/>
      <c r="K71" s="3058" t="s">
        <v>399</v>
      </c>
      <c r="L71" s="3430" t="s">
        <v>400</v>
      </c>
      <c r="M71" s="3430"/>
      <c r="N71" s="3058" t="s">
        <v>401</v>
      </c>
      <c r="O71" s="3058" t="s">
        <v>402</v>
      </c>
      <c r="P71" s="3058" t="s">
        <v>403</v>
      </c>
      <c r="Q71" s="2026"/>
      <c r="R71" s="2026"/>
      <c r="S71" s="2026"/>
      <c r="T71" s="2026"/>
      <c r="U71" s="2026"/>
      <c r="V71" s="2026"/>
    </row>
    <row r="72" spans="1:22" ht="12" customHeight="1">
      <c r="A72" s="358" t="s">
        <v>407</v>
      </c>
      <c r="B72" s="3465" t="s">
        <v>408</v>
      </c>
      <c r="C72" s="3477"/>
      <c r="D72" s="357">
        <f ca="1">C86</f>
        <v>9686</v>
      </c>
      <c r="E72" s="73" t="s">
        <v>409</v>
      </c>
      <c r="F72" s="359">
        <f>'数据-取费表'!B41</f>
        <v>5.5000000000000007E-2</v>
      </c>
      <c r="G72" s="360"/>
      <c r="H72" s="1297"/>
      <c r="I72" s="1291"/>
      <c r="J72" s="2033"/>
      <c r="K72" s="1974">
        <v>1</v>
      </c>
      <c r="L72" s="3427" t="s">
        <v>406</v>
      </c>
      <c r="M72" s="3427"/>
      <c r="N72" s="1295">
        <f ca="1">D66</f>
        <v>9796</v>
      </c>
      <c r="O72" s="1857" t="str">
        <f>E66</f>
        <v>销售额×税（费）率</v>
      </c>
      <c r="P72" s="1296">
        <f>F66</f>
        <v>5.5000000000000007E-2</v>
      </c>
      <c r="Q72" s="2026"/>
      <c r="R72" s="2026"/>
      <c r="S72" s="2026"/>
      <c r="T72" s="2026"/>
      <c r="U72" s="2026"/>
      <c r="V72" s="2026"/>
    </row>
    <row r="73" spans="1:22" ht="24" customHeight="1">
      <c r="A73" s="3453" t="s">
        <v>411</v>
      </c>
      <c r="B73" s="3454"/>
      <c r="C73" s="3454"/>
      <c r="D73" s="361">
        <f>IF(H73="个人住宅",0,ROUND(D63*I73,0))</f>
        <v>0</v>
      </c>
      <c r="E73" s="17" t="s">
        <v>412</v>
      </c>
      <c r="F73" s="359" t="str">
        <f>IF(H73="正常",I73,"免征")</f>
        <v>免征</v>
      </c>
      <c r="G73" s="360"/>
      <c r="H73" s="190" t="s">
        <v>2453</v>
      </c>
      <c r="I73" s="359">
        <f>'数据-取费表'!B49</f>
        <v>5.0000000000000001E-4</v>
      </c>
      <c r="J73" s="2033"/>
      <c r="K73" s="1974">
        <v>2</v>
      </c>
      <c r="L73" s="3427" t="s">
        <v>410</v>
      </c>
      <c r="M73" s="3427"/>
      <c r="N73" s="1295">
        <f t="shared" ref="N73:P74" si="0">D73</f>
        <v>0</v>
      </c>
      <c r="O73" s="1857" t="str">
        <f t="shared" si="0"/>
        <v>销售额×税（费）率</v>
      </c>
      <c r="P73" s="1296" t="str">
        <f t="shared" si="0"/>
        <v>免征</v>
      </c>
      <c r="Q73" s="2026"/>
      <c r="R73" s="2026"/>
      <c r="S73" s="2026"/>
      <c r="T73" s="2026"/>
      <c r="U73" s="2026"/>
      <c r="V73" s="2026"/>
    </row>
    <row r="74" spans="1:22" ht="24.75">
      <c r="A74" s="3453" t="s">
        <v>415</v>
      </c>
      <c r="B74" s="3454"/>
      <c r="C74" s="3454"/>
      <c r="D74" s="361">
        <f ca="1">IF(H74="个人住宅",D75,D76)</f>
        <v>105365</v>
      </c>
      <c r="E74" s="17" t="s">
        <v>416</v>
      </c>
      <c r="F74" s="359" t="str">
        <f>IF(H74="正常",F76,"免征")</f>
        <v>——</v>
      </c>
      <c r="G74" s="982" t="s">
        <v>417</v>
      </c>
      <c r="H74" s="362" t="s">
        <v>413</v>
      </c>
      <c r="I74" s="42"/>
      <c r="J74" s="2033"/>
      <c r="K74" s="1974">
        <v>3</v>
      </c>
      <c r="L74" s="3427" t="s">
        <v>414</v>
      </c>
      <c r="M74" s="3427"/>
      <c r="N74" s="1295">
        <f t="shared" ca="1" si="0"/>
        <v>105365</v>
      </c>
      <c r="O74" s="1857" t="str">
        <f t="shared" si="0"/>
        <v>增值额×税（费）率</v>
      </c>
      <c r="P74" s="1298" t="str">
        <f t="shared" si="0"/>
        <v>——</v>
      </c>
      <c r="Q74" s="2026"/>
      <c r="R74" s="2026"/>
      <c r="S74" s="2026"/>
      <c r="T74" s="2026"/>
      <c r="U74" s="2026"/>
      <c r="V74" s="2026"/>
    </row>
    <row r="75" spans="1:22" ht="24">
      <c r="A75" s="358" t="s">
        <v>418</v>
      </c>
      <c r="B75" s="3434" t="s">
        <v>419</v>
      </c>
      <c r="C75" s="3435"/>
      <c r="D75" s="363">
        <v>0</v>
      </c>
      <c r="E75" s="41" t="s">
        <v>420</v>
      </c>
      <c r="F75" s="364"/>
      <c r="G75" s="360"/>
      <c r="H75" s="42"/>
      <c r="I75" s="42"/>
      <c r="J75" s="2033"/>
      <c r="K75" s="3051">
        <f>IF(H77="非个人房产","",4)</f>
        <v>4</v>
      </c>
      <c r="L75" s="3427" t="str">
        <f>IF(H77="非个人房产","——","个人所得税")</f>
        <v>个人所得税</v>
      </c>
      <c r="M75" s="3427"/>
      <c r="N75" s="1299">
        <f ca="1">D77</f>
        <v>1870</v>
      </c>
      <c r="O75" s="1870" t="str">
        <f>E77</f>
        <v>销售额×税（费）率</v>
      </c>
      <c r="P75" s="1300">
        <f>F77</f>
        <v>0.01</v>
      </c>
      <c r="Q75" s="2026"/>
      <c r="R75" s="2026"/>
      <c r="S75" s="2026"/>
      <c r="T75" s="2026"/>
      <c r="U75" s="2026"/>
      <c r="V75" s="2026"/>
    </row>
    <row r="76" spans="1:22" ht="24.75">
      <c r="A76" s="358" t="s">
        <v>396</v>
      </c>
      <c r="B76" s="3434" t="s">
        <v>422</v>
      </c>
      <c r="C76" s="3476"/>
      <c r="D76" s="361">
        <f ca="1">IF(H76="转让取得",C99,C115)</f>
        <v>105365</v>
      </c>
      <c r="E76" s="17" t="s">
        <v>423</v>
      </c>
      <c r="F76" s="53" t="s">
        <v>21</v>
      </c>
      <c r="G76" s="360"/>
      <c r="H76" s="362" t="s">
        <v>424</v>
      </c>
      <c r="I76" s="42"/>
      <c r="J76" s="2033"/>
      <c r="K76" s="3051" t="str">
        <f>IF(项目基本情况!K6="上海银行",IF(K75="",4,K75+1),"")</f>
        <v/>
      </c>
      <c r="L76" s="3415" t="str">
        <f>IF(项目基本情况!K6="上海银行","其他处置费用","")</f>
        <v/>
      </c>
      <c r="M76" s="3416"/>
      <c r="N76" s="1295" t="str">
        <f>IF(项目基本情况!K6="上海银行",N89,"")</f>
        <v/>
      </c>
      <c r="O76" s="3417" t="str">
        <f>IF(项目基本情况!K6="上海银行","包含处置中涉及的律师、诉讼、拍卖、评估等费用","")</f>
        <v/>
      </c>
      <c r="P76" s="3418"/>
      <c r="Q76" s="2026"/>
      <c r="R76" s="2026"/>
      <c r="S76" s="2026"/>
      <c r="T76" s="2026"/>
      <c r="U76" s="2026"/>
      <c r="V76" s="2026"/>
    </row>
    <row r="77" spans="1:22" ht="26.25" thickBot="1">
      <c r="A77" s="3445" t="s">
        <v>426</v>
      </c>
      <c r="B77" s="3446"/>
      <c r="C77" s="3446"/>
      <c r="D77" s="365">
        <f ca="1">IF(H77="非个人房产","——",IF(H77="个人住宅",0,ROUND(D63*I77,0)))</f>
        <v>1870</v>
      </c>
      <c r="E77" s="366" t="str">
        <f>IF(H77="非个人房产","——","销售额×税（费）率")</f>
        <v>销售额×税（费）率</v>
      </c>
      <c r="F77" s="367">
        <f>IF(H77="非个人房产","——",IF(H77="个人住宅","免征",I77))</f>
        <v>0.01</v>
      </c>
      <c r="G77" s="983" t="s">
        <v>417</v>
      </c>
      <c r="H77" s="362" t="s">
        <v>2881</v>
      </c>
      <c r="I77" s="368">
        <v>0.01</v>
      </c>
      <c r="J77" s="2033"/>
      <c r="K77" s="3441">
        <f>IF(AND(K75="",K76=""),4,IF(项目基本情况!K6="上海银行",K76+1,K75+1))</f>
        <v>5</v>
      </c>
      <c r="L77" s="3427" t="s">
        <v>2882</v>
      </c>
      <c r="M77" s="3057" t="s">
        <v>421</v>
      </c>
      <c r="N77" s="1301"/>
      <c r="O77" s="1302">
        <f ca="1">SUMIF(N72:N76,"&lt;9e307")</f>
        <v>117031</v>
      </c>
      <c r="P77" s="1303"/>
      <c r="Q77" s="3055">
        <f ca="1">O77/N69</f>
        <v>0.37546640145013555</v>
      </c>
      <c r="R77" s="2026"/>
      <c r="S77" s="2026"/>
      <c r="T77" s="2026"/>
      <c r="U77" s="2026"/>
      <c r="V77" s="2026"/>
    </row>
    <row r="78" spans="1:22" ht="12" customHeight="1">
      <c r="A78" s="1304"/>
      <c r="B78" s="310"/>
      <c r="C78" s="310"/>
      <c r="D78" s="310"/>
      <c r="E78" s="42"/>
      <c r="F78" s="42"/>
      <c r="G78" s="42"/>
      <c r="H78" s="1002"/>
      <c r="I78" s="310"/>
      <c r="J78" s="2033"/>
      <c r="K78" s="3441"/>
      <c r="L78" s="3427"/>
      <c r="M78" s="3057" t="s">
        <v>425</v>
      </c>
      <c r="N78" s="1301"/>
      <c r="O78" s="1302" t="str">
        <f ca="1">NUMBERSTRING(INT(O77*10000),2)&amp;"元整"</f>
        <v>壹拾壹亿柒仟零叁拾壹万元整</v>
      </c>
      <c r="P78" s="1303"/>
      <c r="Q78" s="2026"/>
      <c r="R78" s="2026"/>
      <c r="S78" s="2026"/>
      <c r="T78" s="2026"/>
      <c r="U78" s="2026"/>
      <c r="V78" s="2026"/>
    </row>
    <row r="79" spans="1:22" ht="13.5" thickBot="1">
      <c r="A79" s="3431" t="s">
        <v>427</v>
      </c>
      <c r="B79" s="3431"/>
      <c r="C79" s="3431"/>
      <c r="D79" s="3431"/>
      <c r="E79" s="3431"/>
      <c r="F79" s="42"/>
      <c r="G79" s="42"/>
      <c r="H79" s="1002"/>
      <c r="I79" s="310"/>
      <c r="J79" s="2033"/>
      <c r="K79" s="3425">
        <f>K77+1</f>
        <v>6</v>
      </c>
      <c r="L79" s="3427" t="s">
        <v>2883</v>
      </c>
      <c r="M79" s="3057" t="s">
        <v>421</v>
      </c>
      <c r="N79" s="1301"/>
      <c r="O79" s="1302">
        <f ca="1">N69-O77</f>
        <v>194664</v>
      </c>
      <c r="P79" s="1303"/>
      <c r="Q79" s="2026"/>
      <c r="R79" s="2026"/>
      <c r="S79" s="2026"/>
      <c r="T79" s="2026"/>
      <c r="U79" s="2026"/>
      <c r="V79" s="2026"/>
    </row>
    <row r="80" spans="1:22" ht="25.5">
      <c r="A80" s="3432" t="s">
        <v>428</v>
      </c>
      <c r="B80" s="3433"/>
      <c r="C80" s="993"/>
      <c r="D80" s="993" t="s">
        <v>429</v>
      </c>
      <c r="E80" s="369" t="s">
        <v>430</v>
      </c>
      <c r="F80" s="42"/>
      <c r="G80" s="42"/>
      <c r="H80" s="1002"/>
      <c r="I80" s="310"/>
      <c r="J80" s="2026"/>
      <c r="K80" s="3426"/>
      <c r="L80" s="3427"/>
      <c r="M80" s="3057" t="s">
        <v>425</v>
      </c>
      <c r="N80" s="1301"/>
      <c r="O80" s="1302" t="str">
        <f ca="1">NUMBERSTRING(INT(O79*10000),2)&amp;"元整"</f>
        <v>壹拾玖亿肆仟陆佰陆拾肆万元整</v>
      </c>
      <c r="P80" s="1303"/>
      <c r="Q80" s="2026"/>
      <c r="R80" s="2026"/>
      <c r="S80" s="2026"/>
      <c r="T80" s="2026"/>
      <c r="U80" s="2026"/>
      <c r="V80" s="2026"/>
    </row>
    <row r="81" spans="1:26" ht="13.5" thickBot="1">
      <c r="A81" s="380" t="s">
        <v>1824</v>
      </c>
      <c r="B81" s="370" t="s">
        <v>431</v>
      </c>
      <c r="C81" s="371">
        <f ca="1">ROUND((C82+C83)/(1+'数据-取费表'!C42),0)</f>
        <v>178111</v>
      </c>
      <c r="D81" s="372"/>
      <c r="E81" s="373"/>
      <c r="F81" s="42"/>
      <c r="G81" s="42"/>
      <c r="H81" s="1002"/>
      <c r="I81" s="310"/>
      <c r="J81" s="2026"/>
      <c r="K81" s="3051">
        <f>K79+1</f>
        <v>7</v>
      </c>
      <c r="L81" s="3439" t="s">
        <v>2884</v>
      </c>
      <c r="M81" s="3440"/>
      <c r="N81" s="1305"/>
      <c r="O81" s="1306">
        <f ca="1">ROUND(O79*10000/'数据-汇总表'!E3,0)</f>
        <v>11463</v>
      </c>
      <c r="P81" s="1307"/>
      <c r="Q81" s="2026"/>
      <c r="R81" s="2026"/>
      <c r="S81" s="2026"/>
      <c r="T81" s="2026"/>
      <c r="U81" s="2026"/>
      <c r="V81" s="2026"/>
    </row>
    <row r="82" spans="1:26" ht="13.5" thickTop="1">
      <c r="A82" s="374" t="s">
        <v>1825</v>
      </c>
      <c r="B82" s="375" t="s">
        <v>432</v>
      </c>
      <c r="C82" s="376">
        <f ca="1">D63</f>
        <v>187017</v>
      </c>
      <c r="D82" s="377" t="s">
        <v>19</v>
      </c>
      <c r="E82" s="378"/>
      <c r="F82" s="42"/>
      <c r="G82" s="42"/>
      <c r="H82" s="1002"/>
      <c r="I82" s="310"/>
      <c r="J82" s="2026"/>
      <c r="K82" s="2026"/>
      <c r="L82" s="2026"/>
      <c r="M82" s="2026"/>
      <c r="N82" s="2026"/>
      <c r="O82" s="2026"/>
      <c r="P82" s="2026"/>
      <c r="Q82" s="2026"/>
      <c r="R82" s="2026"/>
      <c r="S82" s="2026"/>
      <c r="T82" s="2026"/>
      <c r="U82" s="2026"/>
      <c r="V82" s="2026"/>
    </row>
    <row r="83" spans="1:26" ht="12.75">
      <c r="A83" s="374" t="s">
        <v>1826</v>
      </c>
      <c r="B83" s="375" t="s">
        <v>433</v>
      </c>
      <c r="C83" s="379">
        <v>0</v>
      </c>
      <c r="D83" s="377"/>
      <c r="E83" s="378"/>
      <c r="F83" s="42"/>
      <c r="G83" s="42"/>
      <c r="H83" s="1002"/>
      <c r="I83" s="310"/>
      <c r="J83" s="2026"/>
      <c r="K83" s="3414" t="s">
        <v>2871</v>
      </c>
      <c r="L83" s="3063" t="s">
        <v>2872</v>
      </c>
      <c r="M83" s="3053">
        <f ca="1">IF(N69&gt;10000,N69*0.5%,IF(AND(N69&gt;1000,N69&lt;=10000),N69*1%,IF(AND(N69&gt;100,N69&lt;=1000),N69*3%,IF(AND(N69&gt;10,N69&lt;=100),N69*5%,N69*8%))))</f>
        <v>1558.4750000000001</v>
      </c>
      <c r="N83" s="53">
        <f ca="1">ROUND(M83,1)</f>
        <v>1558.5</v>
      </c>
      <c r="O83" s="3056"/>
      <c r="P83" s="2026"/>
      <c r="Q83" s="2026"/>
      <c r="R83" s="2026"/>
      <c r="S83" s="2026"/>
      <c r="T83" s="2026"/>
      <c r="U83" s="2026"/>
      <c r="V83" s="2026"/>
    </row>
    <row r="84" spans="1:26" ht="12.75">
      <c r="A84" s="380" t="s">
        <v>1827</v>
      </c>
      <c r="B84" s="381" t="s">
        <v>434</v>
      </c>
      <c r="C84" s="382">
        <v>2000</v>
      </c>
      <c r="D84" s="383" t="s">
        <v>19</v>
      </c>
      <c r="E84" s="3095" t="s">
        <v>2928</v>
      </c>
      <c r="F84" s="42"/>
      <c r="G84" s="42"/>
      <c r="H84" s="1002"/>
      <c r="I84" s="310"/>
      <c r="J84" s="2026"/>
      <c r="K84" s="3414"/>
      <c r="L84" s="3063" t="s">
        <v>2873</v>
      </c>
      <c r="M84" s="3053">
        <f ca="1">IF(N69&gt;2000,N69*0.5%,IF(AND(N69&gt;1000,N69&lt;=2000),N69*0.6%,IF(AND(N69&gt;500,N69&lt;=1000),N69*0.7%,IF(AND(N69&gt;200,N69&lt;=500),N69*0.8%,IF(AND(N69&gt;100,N69&lt;=200),N69*0.9%,IF(AND(N69&gt;50,N69&lt;=100),N69*1%,IF(AND(N69&gt;20,N69&lt;=50),N69*1.5%,IF(AND(N69&gt;10,N69&lt;=20),N69*2%,IF(AND(N69&gt;1,N69&lt;=10),N69*2.5%)))))))))</f>
        <v>1558.4750000000001</v>
      </c>
      <c r="N84" s="53">
        <f ca="1">ROUND(M84,1)</f>
        <v>1558.5</v>
      </c>
      <c r="O84" s="2026" t="s">
        <v>2874</v>
      </c>
      <c r="P84" s="2026"/>
      <c r="Q84" s="2026"/>
      <c r="R84" s="2026"/>
      <c r="S84" s="2026"/>
      <c r="T84" s="2026"/>
      <c r="U84" s="2026"/>
      <c r="V84" s="2026"/>
    </row>
    <row r="85" spans="1:26" ht="12.75">
      <c r="A85" s="380" t="s">
        <v>1828</v>
      </c>
      <c r="B85" s="381" t="s">
        <v>435</v>
      </c>
      <c r="C85" s="384">
        <f ca="1">C81-C84</f>
        <v>176111</v>
      </c>
      <c r="D85" s="377" t="s">
        <v>19</v>
      </c>
      <c r="E85" s="378"/>
      <c r="F85" s="42"/>
      <c r="G85" s="42"/>
      <c r="H85" s="1002"/>
      <c r="I85" s="310"/>
      <c r="J85" s="2026"/>
      <c r="K85" s="3414"/>
      <c r="L85" s="3063" t="s">
        <v>2875</v>
      </c>
      <c r="M85" s="3053">
        <f ca="1">IF(N69&gt;1000,N69*0.1%,IF(AND(N69&gt;500,N69&lt;=1000),N69*0.5%,IF(AND(N69&gt;50,N69&lt;=500),N69*1%,IF(AND(N69&gt;1,N69&lt;=50),N69*1.5%))))</f>
        <v>311.69499999999999</v>
      </c>
      <c r="N85" s="53">
        <f ca="1">ROUND(M85,1)</f>
        <v>311.7</v>
      </c>
      <c r="O85" s="2026" t="s">
        <v>2874</v>
      </c>
      <c r="P85" s="2026"/>
      <c r="Q85" s="2026"/>
      <c r="R85" s="2026"/>
      <c r="S85" s="2026"/>
      <c r="T85" s="2026"/>
      <c r="U85" s="2026"/>
      <c r="V85" s="2026"/>
    </row>
    <row r="86" spans="1:26" ht="13.5" thickBot="1">
      <c r="A86" s="385" t="s">
        <v>1829</v>
      </c>
      <c r="B86" s="386" t="s">
        <v>436</v>
      </c>
      <c r="C86" s="387">
        <f ca="1">IF(C85&lt;=0,0,ROUND(C85*D86,0))</f>
        <v>9686</v>
      </c>
      <c r="D86" s="388">
        <f>'数据-取费表'!B41</f>
        <v>5.5000000000000007E-2</v>
      </c>
      <c r="E86" s="389"/>
      <c r="F86" s="42"/>
      <c r="G86" s="42"/>
      <c r="H86" s="1002"/>
      <c r="I86" s="310"/>
      <c r="J86" s="2026"/>
      <c r="K86" s="3414"/>
      <c r="L86" s="3063" t="s">
        <v>2876</v>
      </c>
      <c r="M86" s="3053">
        <f ca="1">N69*0.5%</f>
        <v>1558.4750000000001</v>
      </c>
      <c r="N86" s="53">
        <f ca="1">IF(M86&gt;0.5,0.5,ROUND(M86,0))</f>
        <v>0.5</v>
      </c>
      <c r="O86" s="2026" t="s">
        <v>2877</v>
      </c>
      <c r="P86" s="2026"/>
      <c r="Q86" s="2026"/>
      <c r="R86" s="2026"/>
      <c r="S86" s="2026"/>
      <c r="T86" s="2026"/>
      <c r="U86" s="2026"/>
      <c r="V86" s="2026"/>
    </row>
    <row r="87" spans="1:26" s="1253" customFormat="1" ht="14.25" customHeight="1">
      <c r="A87" s="1308"/>
      <c r="B87" s="1309"/>
      <c r="C87" s="1310"/>
      <c r="D87" s="1311"/>
      <c r="E87" s="1312"/>
      <c r="F87" s="42"/>
      <c r="G87" s="42"/>
      <c r="H87" s="1002"/>
      <c r="I87" s="310"/>
      <c r="J87" s="2026"/>
      <c r="K87" s="3414"/>
      <c r="L87" s="3063" t="s">
        <v>2878</v>
      </c>
      <c r="M87" s="3053">
        <f ca="1">IF(N69&gt;=10000,(8.25+(N69-10000)*0.01%),IF(AND(N69&gt;=8000,N69&lt;10000),(7.85+(N69-8000)*0.02%),IF(AND(N69&gt;=5000,N69&lt;8000),(6.65+(N69-5000)*0.04%),IF(AND(N69&gt;=2000,N69&lt;5000),(4.25+(PN69-2000)*0.08%),IF(AND(N69&gt;=1000,N69&lt;2000),(2.75+(N69-1000)*0.15%),IF(AND(N69&gt;=100,N69&lt;1000),(0.5+(N69-100)*0.25%),IF(AND(N69&gt;0,N69&lt;100),N69*0.5%)))))))</f>
        <v>38.419499999999999</v>
      </c>
      <c r="N87" s="53">
        <f ca="1">ROUND(M87*0.9,1)</f>
        <v>34.6</v>
      </c>
      <c r="O87" s="3056"/>
      <c r="P87" s="310"/>
      <c r="Q87" s="2026"/>
      <c r="R87" s="2026"/>
      <c r="S87" s="2026"/>
      <c r="T87" s="2026"/>
      <c r="U87" s="2026"/>
      <c r="V87" s="2026"/>
      <c r="W87" s="291"/>
      <c r="X87" s="291"/>
      <c r="Y87" s="291"/>
      <c r="Z87" s="291"/>
    </row>
    <row r="88" spans="1:26" s="1313" customFormat="1" ht="15" thickBot="1">
      <c r="A88" s="3468" t="s">
        <v>437</v>
      </c>
      <c r="B88" s="3469"/>
      <c r="C88" s="3469"/>
      <c r="D88" s="3469"/>
      <c r="E88" s="3469"/>
      <c r="F88" s="3469"/>
      <c r="G88" s="3469"/>
      <c r="H88" s="3469"/>
      <c r="I88" s="1314"/>
      <c r="J88" s="2034"/>
      <c r="K88" s="3414"/>
      <c r="L88" s="3063" t="s">
        <v>2879</v>
      </c>
      <c r="M88" s="3053">
        <f ca="1">IF(N69&gt;10000,N69*0.5%,IF(AND(N69&gt;5000,N69&lt;=10000),N69*1%,IF(AND(N69&gt;1000,N69&lt;=5000),N69*2%,IF(AND(N69&gt;200,N69&lt;=1000),N69*3%,N69*5%))))</f>
        <v>1558.4750000000001</v>
      </c>
      <c r="N88" s="53">
        <f ca="1">ROUND(M88,1)</f>
        <v>1558.5</v>
      </c>
      <c r="O88" s="3056"/>
      <c r="P88" s="11"/>
      <c r="Q88" s="2031"/>
      <c r="R88" s="2031"/>
      <c r="S88" s="2031"/>
      <c r="T88" s="2031"/>
      <c r="U88" s="2031"/>
      <c r="V88" s="2031"/>
      <c r="W88" s="2035"/>
      <c r="X88" s="2035"/>
      <c r="Y88" s="2035"/>
      <c r="Z88" s="2035"/>
    </row>
    <row r="89" spans="1:26" s="1313" customFormat="1" ht="14.25">
      <c r="A89" s="3432" t="s">
        <v>428</v>
      </c>
      <c r="B89" s="3433"/>
      <c r="C89" s="993"/>
      <c r="D89" s="993" t="s">
        <v>429</v>
      </c>
      <c r="E89" s="390" t="s">
        <v>438</v>
      </c>
      <c r="F89" s="391"/>
      <c r="G89" s="391"/>
      <c r="H89" s="392"/>
      <c r="I89" s="1315"/>
      <c r="J89" s="2036"/>
      <c r="K89" s="3414"/>
      <c r="L89" s="3063" t="s">
        <v>27</v>
      </c>
      <c r="M89" s="3054"/>
      <c r="N89" s="53">
        <f ca="1">ROUND(SUM(N83:N88),0)</f>
        <v>5022</v>
      </c>
      <c r="O89" s="3064">
        <f ca="1">N89/N69</f>
        <v>1.6111904265387639E-2</v>
      </c>
      <c r="P89" s="2031"/>
      <c r="Q89" s="2031"/>
      <c r="R89" s="2031"/>
      <c r="S89" s="2031"/>
      <c r="T89" s="2031"/>
      <c r="U89" s="2031"/>
      <c r="V89" s="2031"/>
      <c r="W89" s="2035"/>
      <c r="X89" s="2035"/>
      <c r="Y89" s="2035"/>
      <c r="Z89" s="2035"/>
    </row>
    <row r="90" spans="1:26" s="1313" customFormat="1" ht="14.25">
      <c r="A90" s="380" t="s">
        <v>1824</v>
      </c>
      <c r="B90" s="381" t="s">
        <v>439</v>
      </c>
      <c r="C90" s="384">
        <f ca="1">ROUND(D63/(1+'数据-取费表'!C42),0)</f>
        <v>178111</v>
      </c>
      <c r="D90" s="377" t="s">
        <v>19</v>
      </c>
      <c r="E90" s="990"/>
      <c r="F90" s="989"/>
      <c r="G90" s="989"/>
      <c r="H90" s="393"/>
      <c r="I90" s="1315"/>
      <c r="J90" s="2036"/>
      <c r="K90" s="2031"/>
      <c r="L90" s="2031"/>
      <c r="M90" s="2031"/>
      <c r="N90" s="2031"/>
      <c r="O90" s="2031"/>
      <c r="P90" s="2031"/>
      <c r="Q90" s="2031"/>
      <c r="R90" s="2031"/>
      <c r="S90" s="2031"/>
      <c r="T90" s="2031"/>
      <c r="U90" s="2031"/>
      <c r="V90" s="2031"/>
      <c r="W90" s="2035"/>
      <c r="X90" s="2035"/>
      <c r="Y90" s="2035"/>
      <c r="Z90" s="2035"/>
    </row>
    <row r="91" spans="1:26" s="1313" customFormat="1" ht="14.25">
      <c r="A91" s="380" t="s">
        <v>1830</v>
      </c>
      <c r="B91" s="347" t="s">
        <v>440</v>
      </c>
      <c r="C91" s="384">
        <f ca="1">C92+C96</f>
        <v>3452</v>
      </c>
      <c r="D91" s="377" t="s">
        <v>19</v>
      </c>
      <c r="E91" s="990"/>
      <c r="F91" s="989"/>
      <c r="G91" s="989"/>
      <c r="H91" s="393"/>
      <c r="I91" s="1315"/>
      <c r="J91" s="2036"/>
      <c r="K91" s="2031"/>
      <c r="L91" s="2031"/>
      <c r="M91" s="2031"/>
      <c r="N91" s="2031"/>
      <c r="O91" s="2031"/>
      <c r="P91" s="2031"/>
      <c r="Q91" s="2031"/>
      <c r="R91" s="2031"/>
      <c r="S91" s="2031"/>
      <c r="T91" s="2031"/>
      <c r="U91" s="2031"/>
      <c r="V91" s="2031"/>
      <c r="W91" s="2035"/>
      <c r="X91" s="2035"/>
      <c r="Y91" s="2035"/>
      <c r="Z91" s="2035"/>
    </row>
    <row r="92" spans="1:26" s="1313" customFormat="1" ht="24">
      <c r="A92" s="394" t="s">
        <v>1831</v>
      </c>
      <c r="B92" s="375" t="s">
        <v>441</v>
      </c>
      <c r="C92" s="377">
        <f>ROUND(IF(G95="2016年5月1日后购买",C93/(1+'数据-取费表'!C30)+C94+C95,C93+C94+C95),0)</f>
        <v>2561</v>
      </c>
      <c r="D92" s="377" t="s">
        <v>19</v>
      </c>
      <c r="E92" s="990"/>
      <c r="F92" s="989"/>
      <c r="G92" s="989"/>
      <c r="H92" s="393"/>
      <c r="I92" s="1315"/>
      <c r="J92" s="2036"/>
      <c r="K92" s="2031"/>
      <c r="L92" s="2031"/>
      <c r="M92" s="2031"/>
      <c r="N92" s="2031"/>
      <c r="O92" s="2031"/>
      <c r="P92" s="2031"/>
      <c r="Q92" s="2031"/>
      <c r="R92" s="2031"/>
      <c r="S92" s="2031"/>
      <c r="T92" s="2031"/>
      <c r="U92" s="2031"/>
      <c r="V92" s="2031"/>
      <c r="W92" s="2035"/>
      <c r="X92" s="2035"/>
      <c r="Y92" s="2035"/>
      <c r="Z92" s="2035"/>
    </row>
    <row r="93" spans="1:26" s="1313" customFormat="1" ht="14.25">
      <c r="A93" s="394" t="s">
        <v>1832</v>
      </c>
      <c r="B93" s="375" t="s">
        <v>442</v>
      </c>
      <c r="C93" s="395">
        <v>2000</v>
      </c>
      <c r="D93" s="377" t="s">
        <v>19</v>
      </c>
      <c r="E93" s="396" t="s">
        <v>443</v>
      </c>
      <c r="F93" s="397" t="s">
        <v>444</v>
      </c>
      <c r="G93" s="396" t="s">
        <v>445</v>
      </c>
      <c r="H93" s="398">
        <v>5</v>
      </c>
      <c r="I93" s="11"/>
      <c r="J93" s="2031"/>
      <c r="K93" s="2031"/>
      <c r="L93" s="2031"/>
      <c r="M93" s="2031"/>
      <c r="N93" s="2031"/>
      <c r="O93" s="2031"/>
      <c r="P93" s="2031"/>
      <c r="Q93" s="2031"/>
      <c r="R93" s="2031"/>
      <c r="S93" s="2031"/>
      <c r="T93" s="2031"/>
      <c r="U93" s="2031"/>
      <c r="V93" s="2031"/>
      <c r="W93" s="2035"/>
      <c r="X93" s="2035"/>
      <c r="Y93" s="2035"/>
      <c r="Z93" s="2035"/>
    </row>
    <row r="94" spans="1:26" s="1313" customFormat="1" ht="24.75" customHeight="1">
      <c r="A94" s="394" t="s">
        <v>1833</v>
      </c>
      <c r="B94" s="399" t="s">
        <v>446</v>
      </c>
      <c r="C94" s="377">
        <f>IF(F93="购房发票",ROUND(C93*H93*5%,0),0)</f>
        <v>500</v>
      </c>
      <c r="D94" s="400">
        <v>0.05</v>
      </c>
      <c r="E94" s="3465" t="s">
        <v>447</v>
      </c>
      <c r="F94" s="3466"/>
      <c r="G94" s="3466"/>
      <c r="H94" s="3467"/>
      <c r="I94" s="1315"/>
      <c r="J94" s="2036"/>
      <c r="K94" s="2031"/>
      <c r="L94" s="2031"/>
      <c r="M94" s="2031"/>
      <c r="N94" s="2031"/>
      <c r="O94" s="2031"/>
      <c r="P94" s="2031"/>
      <c r="Q94" s="2031"/>
      <c r="R94" s="2031"/>
      <c r="S94" s="2031"/>
      <c r="T94" s="2031"/>
      <c r="U94" s="2031"/>
      <c r="V94" s="2031"/>
      <c r="W94" s="2035"/>
      <c r="X94" s="2035"/>
      <c r="Y94" s="2035"/>
      <c r="Z94" s="2035"/>
    </row>
    <row r="95" spans="1:26" s="1313" customFormat="1" ht="24.75" customHeight="1">
      <c r="A95" s="394" t="s">
        <v>1834</v>
      </c>
      <c r="B95" s="375" t="s">
        <v>448</v>
      </c>
      <c r="C95" s="377">
        <f>ROUND(IF(G95="个人买卖住房",0,IF(G95="2016年5月1日前购买",C93*D95,C93*D95/(1+'数据-取费表'!C42))),0)</f>
        <v>61</v>
      </c>
      <c r="D95" s="401">
        <f>'数据-取费表'!B48+'数据-取费表'!B49</f>
        <v>3.0499999999999999E-2</v>
      </c>
      <c r="E95" s="26" t="s">
        <v>449</v>
      </c>
      <c r="F95" s="402"/>
      <c r="G95" s="403" t="s">
        <v>2427</v>
      </c>
      <c r="H95" s="998" t="str">
        <f>IF(G95="个人买卖住房","免征印花税"," ")</f>
        <v xml:space="preserve"> </v>
      </c>
      <c r="I95" s="1315"/>
      <c r="J95" s="2036"/>
      <c r="K95" s="2031"/>
      <c r="L95" s="2031"/>
      <c r="M95" s="2031"/>
      <c r="N95" s="2031"/>
      <c r="O95" s="2031"/>
      <c r="P95" s="2031"/>
      <c r="Q95" s="2031"/>
      <c r="R95" s="2031"/>
      <c r="S95" s="2031"/>
      <c r="T95" s="2031"/>
      <c r="U95" s="2031"/>
      <c r="V95" s="2031"/>
      <c r="W95" s="2035"/>
      <c r="X95" s="2035"/>
      <c r="Y95" s="2035"/>
      <c r="Z95" s="2035"/>
    </row>
    <row r="96" spans="1:26" s="1313" customFormat="1" ht="24.75" customHeight="1">
      <c r="A96" s="394" t="s">
        <v>1835</v>
      </c>
      <c r="B96" s="375" t="s">
        <v>450</v>
      </c>
      <c r="C96" s="404">
        <f ca="1">ROUND(D63*D96/(1+'数据-取费表'!C42),0)</f>
        <v>891</v>
      </c>
      <c r="D96" s="405">
        <f>'数据-取费表'!B43</f>
        <v>5.000000000000001E-3</v>
      </c>
      <c r="E96" s="3455" t="s">
        <v>2426</v>
      </c>
      <c r="F96" s="3456"/>
      <c r="G96" s="3456"/>
      <c r="H96" s="3457"/>
      <c r="I96" s="1316"/>
      <c r="J96" s="2037"/>
      <c r="K96" s="2031"/>
      <c r="L96" s="2031"/>
      <c r="M96" s="2031"/>
      <c r="N96" s="2031"/>
      <c r="O96" s="2031"/>
      <c r="P96" s="2031"/>
      <c r="Q96" s="2031"/>
      <c r="R96" s="2031"/>
      <c r="S96" s="2031"/>
      <c r="T96" s="2031"/>
      <c r="U96" s="2031"/>
      <c r="V96" s="2031"/>
      <c r="W96" s="2035"/>
      <c r="X96" s="2035"/>
      <c r="Y96" s="2035"/>
      <c r="Z96" s="2035"/>
    </row>
    <row r="97" spans="1:26" s="1313" customFormat="1" ht="14.25">
      <c r="A97" s="1616" t="s">
        <v>1836</v>
      </c>
      <c r="B97" s="381" t="s">
        <v>451</v>
      </c>
      <c r="C97" s="384">
        <f ca="1">C90-C91</f>
        <v>174659</v>
      </c>
      <c r="D97" s="377" t="s">
        <v>19</v>
      </c>
      <c r="E97" s="990"/>
      <c r="F97" s="989"/>
      <c r="G97" s="989"/>
      <c r="H97" s="393"/>
      <c r="I97" s="1315"/>
      <c r="J97" s="2036"/>
      <c r="K97" s="2031"/>
      <c r="L97" s="2031"/>
      <c r="M97" s="2031"/>
      <c r="N97" s="2031"/>
      <c r="O97" s="2031"/>
      <c r="P97" s="2031"/>
      <c r="Q97" s="2031"/>
      <c r="R97" s="2031"/>
      <c r="S97" s="2031"/>
      <c r="T97" s="2031"/>
      <c r="U97" s="2031"/>
      <c r="V97" s="2031"/>
      <c r="W97" s="2035"/>
      <c r="X97" s="2035"/>
      <c r="Y97" s="2035"/>
      <c r="Z97" s="2035"/>
    </row>
    <row r="98" spans="1:26" s="1313" customFormat="1" ht="24">
      <c r="A98" s="1616" t="s">
        <v>1837</v>
      </c>
      <c r="B98" s="381" t="s">
        <v>452</v>
      </c>
      <c r="C98" s="406">
        <f ca="1">IF(C97&lt;=0,0,C97/C91)</f>
        <v>50.596465816917728</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6"/>
      <c r="K98" s="2031"/>
      <c r="L98" s="2031"/>
      <c r="M98" s="2031"/>
      <c r="N98" s="2031"/>
      <c r="O98" s="2031"/>
      <c r="P98" s="2031"/>
      <c r="Q98" s="2031"/>
      <c r="R98" s="2031"/>
      <c r="S98" s="2031"/>
      <c r="T98" s="2031"/>
      <c r="U98" s="2031"/>
      <c r="V98" s="2031"/>
      <c r="W98" s="2035"/>
      <c r="X98" s="2035"/>
      <c r="Y98" s="2035"/>
      <c r="Z98" s="2035"/>
    </row>
    <row r="99" spans="1:26" s="1313" customFormat="1" ht="24.75" thickBot="1">
      <c r="A99" s="1617" t="s">
        <v>1838</v>
      </c>
      <c r="B99" s="386" t="s">
        <v>453</v>
      </c>
      <c r="C99" s="407">
        <f ca="1">ROUND(IF(C97&lt;=0,0,IF(C98&gt;=200%,C97*60%-C91*35%,IF(C98&gt;=100%,C97*50%-C91*15%,IF(C98&gt;=50%,C97*40%-C91*5%,IF(C98&lt;50%,C97*30%,0))))),0)</f>
        <v>103587</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6"/>
      <c r="K99" s="2031"/>
      <c r="L99" s="2031"/>
      <c r="M99" s="2031"/>
      <c r="N99" s="2031"/>
      <c r="O99" s="2031"/>
      <c r="P99" s="2031"/>
      <c r="Q99" s="2031"/>
      <c r="R99" s="2031"/>
      <c r="S99" s="2031"/>
      <c r="T99" s="2031"/>
      <c r="U99" s="2031"/>
      <c r="V99" s="2031"/>
      <c r="W99" s="2035"/>
      <c r="X99" s="2035"/>
      <c r="Y99" s="2035"/>
      <c r="Z99" s="2035"/>
    </row>
    <row r="100" spans="1:26" s="1313" customFormat="1" ht="7.5" customHeight="1">
      <c r="A100" s="1317"/>
      <c r="B100" s="1318"/>
      <c r="C100" s="11"/>
      <c r="D100" s="11"/>
      <c r="E100" s="1318"/>
      <c r="F100" s="1318"/>
      <c r="G100" s="1318"/>
      <c r="H100" s="1319"/>
      <c r="I100" s="1316"/>
      <c r="J100" s="2037"/>
      <c r="K100" s="2031"/>
      <c r="L100" s="2031"/>
      <c r="M100" s="2031"/>
      <c r="N100" s="2031"/>
      <c r="O100" s="2031"/>
      <c r="P100" s="2031"/>
      <c r="Q100" s="2031"/>
      <c r="R100" s="2031"/>
      <c r="S100" s="2031"/>
      <c r="T100" s="2031"/>
      <c r="U100" s="2031"/>
      <c r="V100" s="2031"/>
      <c r="W100" s="2035"/>
      <c r="X100" s="2035"/>
      <c r="Y100" s="2035"/>
      <c r="Z100" s="2035"/>
    </row>
    <row r="101" spans="1:26" s="1313" customFormat="1" ht="15" thickBot="1">
      <c r="A101" s="3468" t="s">
        <v>454</v>
      </c>
      <c r="B101" s="3469"/>
      <c r="C101" s="3469"/>
      <c r="D101" s="3469"/>
      <c r="E101" s="3469"/>
      <c r="F101" s="3469"/>
      <c r="G101" s="3469"/>
      <c r="H101" s="3469"/>
      <c r="I101" s="11"/>
      <c r="J101" s="2031"/>
      <c r="K101" s="2031"/>
      <c r="L101" s="2031"/>
      <c r="M101" s="2031"/>
      <c r="N101" s="2031"/>
      <c r="O101" s="2031"/>
      <c r="P101" s="2031"/>
      <c r="Q101" s="2031"/>
      <c r="R101" s="2031"/>
      <c r="S101" s="2031"/>
      <c r="T101" s="2031"/>
      <c r="U101" s="2031"/>
      <c r="V101" s="2031"/>
      <c r="W101" s="2035"/>
      <c r="X101" s="2035"/>
      <c r="Y101" s="2035"/>
      <c r="Z101" s="2035"/>
    </row>
    <row r="102" spans="1:26" s="1313" customFormat="1" ht="14.25">
      <c r="A102" s="3432" t="s">
        <v>428</v>
      </c>
      <c r="B102" s="3433"/>
      <c r="C102" s="993"/>
      <c r="D102" s="993" t="s">
        <v>429</v>
      </c>
      <c r="E102" s="390" t="s">
        <v>438</v>
      </c>
      <c r="F102" s="391"/>
      <c r="G102" s="391"/>
      <c r="H102" s="412"/>
      <c r="I102" s="11"/>
      <c r="J102" s="2031"/>
      <c r="K102" s="2031"/>
      <c r="L102" s="2031"/>
      <c r="M102" s="2031"/>
      <c r="N102" s="2031"/>
      <c r="O102" s="2031"/>
      <c r="P102" s="2031"/>
      <c r="Q102" s="2031"/>
      <c r="R102" s="2031"/>
      <c r="S102" s="2031"/>
      <c r="T102" s="2031"/>
      <c r="U102" s="2031"/>
      <c r="V102" s="2031"/>
      <c r="W102" s="2035"/>
      <c r="X102" s="2035"/>
      <c r="Y102" s="2035"/>
      <c r="Z102" s="2035"/>
    </row>
    <row r="103" spans="1:26" s="1313" customFormat="1" ht="14.25">
      <c r="A103" s="380" t="s">
        <v>1824</v>
      </c>
      <c r="B103" s="381" t="s">
        <v>439</v>
      </c>
      <c r="C103" s="384">
        <f ca="1">ROUND(D63/(1+'数据-取费表'!C42),0)</f>
        <v>178111</v>
      </c>
      <c r="D103" s="377" t="s">
        <v>19</v>
      </c>
      <c r="E103" s="990"/>
      <c r="F103" s="989"/>
      <c r="G103" s="989"/>
      <c r="H103" s="413"/>
      <c r="I103" s="11"/>
      <c r="J103" s="2031"/>
      <c r="K103" s="2031"/>
      <c r="L103" s="2031"/>
      <c r="M103" s="2031"/>
      <c r="N103" s="2031"/>
      <c r="O103" s="2031"/>
      <c r="P103" s="2031"/>
      <c r="Q103" s="2031"/>
      <c r="R103" s="2031"/>
      <c r="S103" s="2031"/>
      <c r="T103" s="2031"/>
      <c r="U103" s="2031"/>
      <c r="V103" s="2031"/>
      <c r="W103" s="2035"/>
      <c r="X103" s="2035"/>
      <c r="Y103" s="2035"/>
      <c r="Z103" s="2035"/>
    </row>
    <row r="104" spans="1:26" s="1313" customFormat="1" ht="14.25">
      <c r="A104" s="380" t="s">
        <v>1830</v>
      </c>
      <c r="B104" s="347" t="s">
        <v>440</v>
      </c>
      <c r="C104" s="384">
        <f ca="1">IF(H106="仅含出让金",C105+C108+C109+C110+C111+C112,C105+C109+C110+C111+C112)</f>
        <v>1581</v>
      </c>
      <c r="D104" s="414"/>
      <c r="E104" s="990"/>
      <c r="F104" s="989"/>
      <c r="G104" s="989"/>
      <c r="H104" s="413"/>
      <c r="I104" s="11"/>
      <c r="J104" s="2031"/>
      <c r="K104" s="2031"/>
      <c r="L104" s="2031"/>
      <c r="M104" s="2031"/>
      <c r="N104" s="2031"/>
      <c r="O104" s="2031"/>
      <c r="P104" s="2031"/>
      <c r="Q104" s="2031"/>
      <c r="R104" s="2031"/>
      <c r="S104" s="2031"/>
      <c r="T104" s="2031"/>
      <c r="U104" s="2031"/>
      <c r="V104" s="2031"/>
      <c r="W104" s="2035"/>
      <c r="X104" s="2035"/>
      <c r="Y104" s="2035"/>
      <c r="Z104" s="2035"/>
    </row>
    <row r="105" spans="1:26" s="1313" customFormat="1" ht="14.25">
      <c r="A105" s="394" t="s">
        <v>1831</v>
      </c>
      <c r="B105" s="375" t="s">
        <v>455</v>
      </c>
      <c r="C105" s="404">
        <f>C106+C107</f>
        <v>572</v>
      </c>
      <c r="D105" s="405"/>
      <c r="E105" s="984"/>
      <c r="F105" s="985"/>
      <c r="G105" s="985"/>
      <c r="H105" s="986"/>
      <c r="I105" s="11"/>
      <c r="J105" s="2031"/>
      <c r="K105" s="2031"/>
      <c r="L105" s="2031"/>
      <c r="M105" s="2031"/>
      <c r="N105" s="2031"/>
      <c r="O105" s="2031"/>
      <c r="P105" s="2031"/>
      <c r="Q105" s="2031"/>
      <c r="R105" s="2031"/>
      <c r="S105" s="2031"/>
      <c r="T105" s="2031"/>
      <c r="U105" s="2031"/>
      <c r="V105" s="2031"/>
      <c r="W105" s="2035"/>
      <c r="X105" s="2035"/>
      <c r="Y105" s="2035"/>
      <c r="Z105" s="2035"/>
    </row>
    <row r="106" spans="1:26" s="1313" customFormat="1" ht="14.25">
      <c r="A106" s="394" t="s">
        <v>1832</v>
      </c>
      <c r="B106" s="375" t="s">
        <v>456</v>
      </c>
      <c r="C106" s="415">
        <v>555</v>
      </c>
      <c r="D106" s="405"/>
      <c r="E106" s="416" t="s">
        <v>457</v>
      </c>
      <c r="F106" s="985"/>
      <c r="G106" s="417" t="s">
        <v>458</v>
      </c>
      <c r="H106" s="418" t="s">
        <v>2437</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3" customFormat="1" ht="14.25">
      <c r="A107" s="394" t="s">
        <v>1833</v>
      </c>
      <c r="B107" s="375" t="s">
        <v>448</v>
      </c>
      <c r="C107" s="404">
        <f>ROUND(C106*D107,0)</f>
        <v>17</v>
      </c>
      <c r="D107" s="405">
        <f>'数据-取费表'!B48+'数据-取费表'!B49</f>
        <v>3.0499999999999999E-2</v>
      </c>
      <c r="E107" s="416" t="s">
        <v>459</v>
      </c>
      <c r="F107" s="985"/>
      <c r="G107" s="985"/>
      <c r="H107" s="986"/>
      <c r="I107" s="11"/>
      <c r="J107" s="2031"/>
      <c r="K107" s="2031"/>
      <c r="L107" s="2031"/>
      <c r="M107" s="2031"/>
      <c r="N107" s="2031"/>
      <c r="O107" s="2031"/>
      <c r="P107" s="2031"/>
      <c r="Q107" s="2031"/>
      <c r="R107" s="2031"/>
      <c r="S107" s="2031"/>
      <c r="T107" s="2031"/>
      <c r="U107" s="2031"/>
      <c r="V107" s="2031"/>
      <c r="W107" s="2035"/>
      <c r="X107" s="2035"/>
      <c r="Y107" s="2035"/>
      <c r="Z107" s="2035"/>
    </row>
    <row r="108" spans="1:26" s="1313" customFormat="1" ht="14.25">
      <c r="A108" s="394" t="s">
        <v>1835</v>
      </c>
      <c r="B108" s="375" t="s">
        <v>460</v>
      </c>
      <c r="C108" s="415"/>
      <c r="D108" s="405"/>
      <c r="E108" s="416" t="str">
        <f>IF(H106="-","土地取得成本中已包含该笔费用"," ")</f>
        <v xml:space="preserve"> </v>
      </c>
      <c r="F108" s="985"/>
      <c r="G108" s="985"/>
      <c r="H108" s="986"/>
      <c r="I108" s="11"/>
      <c r="J108" s="2031"/>
      <c r="K108" s="2031"/>
      <c r="L108" s="2031"/>
      <c r="M108" s="2031"/>
      <c r="N108" s="2031"/>
      <c r="O108" s="2031"/>
      <c r="P108" s="2031"/>
      <c r="Q108" s="2031"/>
      <c r="R108" s="2031"/>
      <c r="S108" s="2031"/>
      <c r="T108" s="2031"/>
      <c r="U108" s="2031"/>
      <c r="V108" s="2031"/>
      <c r="W108" s="2035"/>
      <c r="X108" s="2035"/>
      <c r="Y108" s="2035"/>
      <c r="Z108" s="2035"/>
    </row>
    <row r="109" spans="1:26" s="1313" customFormat="1" ht="24" customHeight="1">
      <c r="A109" s="1618" t="s">
        <v>1839</v>
      </c>
      <c r="B109" s="375" t="s">
        <v>461</v>
      </c>
      <c r="C109" s="404">
        <f>IF(H109="——",IF(F1="现房",'剩余法-现房'!C18,'剩余法-待开发'!C18),I109)</f>
        <v>55</v>
      </c>
      <c r="D109" s="405"/>
      <c r="E109" s="3458" t="s">
        <v>462</v>
      </c>
      <c r="F109" s="3456"/>
      <c r="G109" s="3456"/>
      <c r="H109" s="1939" t="s">
        <v>2279</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3" customFormat="1" ht="25.5" customHeight="1">
      <c r="A110" s="1618" t="s">
        <v>1840</v>
      </c>
      <c r="B110" s="375" t="s">
        <v>463</v>
      </c>
      <c r="C110" s="404">
        <f>ROUND((C105+C108+C109)*D110,0)</f>
        <v>63</v>
      </c>
      <c r="D110" s="405">
        <v>0.1</v>
      </c>
      <c r="E110" s="3458" t="s">
        <v>464</v>
      </c>
      <c r="F110" s="3456"/>
      <c r="G110" s="3456"/>
      <c r="H110" s="3457"/>
      <c r="I110" s="11"/>
      <c r="J110" s="2031"/>
      <c r="K110" s="2031"/>
      <c r="L110" s="2031"/>
      <c r="M110" s="2031"/>
      <c r="N110" s="2031"/>
      <c r="O110" s="2031"/>
      <c r="P110" s="2031"/>
      <c r="Q110" s="2031"/>
      <c r="R110" s="2031"/>
      <c r="S110" s="2031"/>
      <c r="T110" s="2031"/>
      <c r="U110" s="2031"/>
      <c r="V110" s="2031"/>
      <c r="W110" s="2035"/>
      <c r="X110" s="2035"/>
      <c r="Y110" s="2035"/>
      <c r="Z110" s="2035"/>
    </row>
    <row r="111" spans="1:26" s="1313" customFormat="1" ht="25.5" customHeight="1">
      <c r="A111" s="1618" t="s">
        <v>1841</v>
      </c>
      <c r="B111" s="375" t="s">
        <v>450</v>
      </c>
      <c r="C111" s="404">
        <f ca="1">ROUND(D63*D111/(1+'数据-取费表'!C42),0)</f>
        <v>891</v>
      </c>
      <c r="D111" s="405">
        <f>'数据-取费表'!B43</f>
        <v>5.000000000000001E-3</v>
      </c>
      <c r="E111" s="3455" t="s">
        <v>2426</v>
      </c>
      <c r="F111" s="3456"/>
      <c r="G111" s="3456"/>
      <c r="H111" s="3457"/>
      <c r="I111" s="11"/>
      <c r="J111" s="2031"/>
      <c r="K111" s="2031"/>
      <c r="L111" s="2031"/>
      <c r="M111" s="2031"/>
      <c r="N111" s="2031"/>
      <c r="O111" s="2031"/>
      <c r="P111" s="2031"/>
      <c r="Q111" s="2031"/>
      <c r="R111" s="2031"/>
      <c r="S111" s="2031"/>
      <c r="T111" s="2031"/>
      <c r="U111" s="2031"/>
      <c r="V111" s="2031"/>
      <c r="W111" s="2035"/>
      <c r="X111" s="2035"/>
      <c r="Y111" s="2035"/>
      <c r="Z111" s="2035"/>
    </row>
    <row r="112" spans="1:26" s="1313" customFormat="1" ht="25.5" customHeight="1">
      <c r="A112" s="1618" t="s">
        <v>1842</v>
      </c>
      <c r="B112" s="375" t="s">
        <v>465</v>
      </c>
      <c r="C112" s="404">
        <f>ROUND(C108*D112,0)</f>
        <v>0</v>
      </c>
      <c r="D112" s="405">
        <v>0.2</v>
      </c>
      <c r="E112" s="3458" t="s">
        <v>2451</v>
      </c>
      <c r="F112" s="3456"/>
      <c r="G112" s="3456"/>
      <c r="H112" s="3457"/>
      <c r="I112" s="11"/>
      <c r="J112" s="2031"/>
      <c r="K112" s="2031"/>
      <c r="L112" s="2031"/>
      <c r="M112" s="2031"/>
      <c r="N112" s="2031"/>
      <c r="O112" s="2031"/>
      <c r="P112" s="2031"/>
      <c r="Q112" s="2031"/>
      <c r="R112" s="2031"/>
      <c r="S112" s="2031"/>
      <c r="T112" s="2031"/>
      <c r="U112" s="2031"/>
      <c r="V112" s="2031"/>
      <c r="W112" s="2035"/>
      <c r="X112" s="2035"/>
      <c r="Y112" s="2035"/>
      <c r="Z112" s="2035"/>
    </row>
    <row r="113" spans="1:26" s="1313" customFormat="1" ht="14.25">
      <c r="A113" s="1616" t="s">
        <v>1836</v>
      </c>
      <c r="B113" s="381" t="s">
        <v>451</v>
      </c>
      <c r="C113" s="384">
        <f ca="1">ROUND(C103-C104,0)</f>
        <v>176530</v>
      </c>
      <c r="D113" s="377" t="s">
        <v>19</v>
      </c>
      <c r="E113" s="990"/>
      <c r="F113" s="989"/>
      <c r="G113" s="989"/>
      <c r="H113" s="413"/>
      <c r="I113" s="11"/>
      <c r="J113" s="2031"/>
      <c r="K113" s="2031"/>
      <c r="L113" s="2031"/>
      <c r="M113" s="2031"/>
      <c r="N113" s="2031"/>
      <c r="O113" s="2031"/>
      <c r="P113" s="2031"/>
      <c r="Q113" s="2031"/>
      <c r="R113" s="2031"/>
      <c r="S113" s="2031"/>
      <c r="T113" s="2031"/>
      <c r="U113" s="2031"/>
      <c r="V113" s="2031"/>
      <c r="W113" s="2035"/>
      <c r="X113" s="2035"/>
      <c r="Y113" s="2035"/>
      <c r="Z113" s="2035"/>
    </row>
    <row r="114" spans="1:26" s="1313" customFormat="1" ht="24">
      <c r="A114" s="1616" t="s">
        <v>1837</v>
      </c>
      <c r="B114" s="381" t="s">
        <v>452</v>
      </c>
      <c r="C114" s="406">
        <f ca="1">IF(C113&lt;=0,0,C113/C104)</f>
        <v>111.65717900063251</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1"/>
      <c r="K114" s="2031"/>
      <c r="L114" s="2031"/>
      <c r="M114" s="2031"/>
      <c r="N114" s="2031"/>
      <c r="O114" s="2031"/>
      <c r="P114" s="2031"/>
      <c r="Q114" s="2031"/>
      <c r="R114" s="2031"/>
      <c r="S114" s="2031"/>
      <c r="T114" s="2031"/>
      <c r="U114" s="2031"/>
      <c r="V114" s="2031"/>
      <c r="W114" s="2035"/>
      <c r="X114" s="2035"/>
      <c r="Y114" s="2035"/>
      <c r="Z114" s="2035"/>
    </row>
    <row r="115" spans="1:26" s="1313" customFormat="1" ht="24.75" thickBot="1">
      <c r="A115" s="1617" t="s">
        <v>1838</v>
      </c>
      <c r="B115" s="386" t="s">
        <v>453</v>
      </c>
      <c r="C115" s="407">
        <f ca="1">ROUND(IF(C113&lt;=0,0,IF(C114&gt;=200%,C113*60%-C104*35%,IF(C114&gt;=100%,C113*50%-C104*15%,IF(C114&gt;=50%,C113*40%-C104*5%,IF(C114&lt;50%,C113*30%,0))))),0)</f>
        <v>105365</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0" type="noConversion"/>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C10:D13">
    <cfRule type="cellIs" dxfId="150" priority="8" stopIfTrue="1" operator="equal">
      <formula>15</formula>
    </cfRule>
  </conditionalFormatting>
  <conditionalFormatting sqref="D14:D16">
    <cfRule type="cellIs" dxfId="149" priority="6" stopIfTrue="1" operator="equal">
      <formula>30</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2" manualBreakCount="2">
    <brk id="58"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8" zoomScale="80" zoomScaleNormal="95" zoomScaleSheetLayoutView="80" workbookViewId="0">
      <selection activeCell="G51" sqref="G51"/>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2" t="s">
        <v>467</v>
      </c>
      <c r="B2" s="507">
        <f>F68</f>
        <v>290172</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c r="AD2" s="1334"/>
    </row>
    <row r="3" spans="1:30" s="1335" customFormat="1" ht="28.5" customHeight="1">
      <c r="A3" s="1378" t="s">
        <v>1685</v>
      </c>
      <c r="B3" s="509">
        <f>ROUND(B2*10000/'数据-汇总表'!E3,0)</f>
        <v>17087</v>
      </c>
      <c r="C3" s="2059"/>
      <c r="D3" s="2568"/>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1565"/>
      <c r="AC3" s="427"/>
    </row>
    <row r="4" spans="1:30" s="1335" customFormat="1" ht="28.5" customHeight="1">
      <c r="A4" s="510" t="s">
        <v>520</v>
      </c>
      <c r="B4" s="426">
        <f>IF(B48="单位面积地价",C50,ROUND(B2*10000/'数据-汇总表'!D3,0))</f>
        <v>45276</v>
      </c>
      <c r="C4" s="2059"/>
      <c r="D4" s="2568"/>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7"/>
    </row>
    <row r="5" spans="1:30" s="1335" customFormat="1" ht="28.5" customHeight="1" thickBot="1">
      <c r="A5" s="428"/>
      <c r="B5" s="429">
        <f>ROUND(B2/('数据-汇总表'!D3/666.67),0)</f>
        <v>3018</v>
      </c>
      <c r="C5" s="430" t="s">
        <v>469</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3"/>
      <c r="AC5" s="427"/>
    </row>
    <row r="6" spans="1:30" ht="20.25">
      <c r="A6" s="511" t="s">
        <v>521</v>
      </c>
      <c r="B6" s="512"/>
      <c r="C6" s="3513" t="s">
        <v>522</v>
      </c>
      <c r="D6" s="3514"/>
      <c r="E6" s="3513" t="s">
        <v>523</v>
      </c>
      <c r="F6" s="3514"/>
      <c r="G6" s="3513" t="s">
        <v>524</v>
      </c>
      <c r="H6" s="3514"/>
      <c r="I6" s="3513" t="s">
        <v>525</v>
      </c>
      <c r="J6" s="3514"/>
      <c r="K6" s="513" t="s">
        <v>526</v>
      </c>
      <c r="L6" s="2131"/>
      <c r="M6" s="2130"/>
      <c r="N6" s="2130"/>
      <c r="O6" s="2132"/>
      <c r="P6" s="3515" t="s">
        <v>527</v>
      </c>
      <c r="Q6" s="3516"/>
      <c r="R6" s="3501" t="s">
        <v>523</v>
      </c>
      <c r="S6" s="3502"/>
      <c r="T6" s="3501" t="s">
        <v>524</v>
      </c>
      <c r="U6" s="3502"/>
      <c r="V6" s="3521" t="s">
        <v>525</v>
      </c>
      <c r="W6" s="3521"/>
      <c r="X6" s="1566"/>
      <c r="Y6" s="3501" t="s">
        <v>527</v>
      </c>
      <c r="Z6" s="3502"/>
      <c r="AA6" s="3496" t="s">
        <v>523</v>
      </c>
      <c r="AB6" s="3497" t="s">
        <v>524</v>
      </c>
      <c r="AC6" s="3496" t="s">
        <v>525</v>
      </c>
    </row>
    <row r="7" spans="1:30" ht="68.25" customHeight="1">
      <c r="A7" s="514"/>
      <c r="B7" s="515"/>
      <c r="C7" s="3524" t="s">
        <v>3025</v>
      </c>
      <c r="D7" s="3525"/>
      <c r="E7" s="3524" t="str">
        <f>土地案例!A2</f>
        <v>北京市顺义区后沙峪镇马头庄村SY00-0019-6007地块R2二类居住用地</v>
      </c>
      <c r="F7" s="3525"/>
      <c r="G7" s="3524" t="str">
        <f>土地案例!A3</f>
        <v>北京市顺义区后沙峪镇21-18-001e地块R2二类居住用地、21-18-002地块A33基础教育用地</v>
      </c>
      <c r="H7" s="3525"/>
      <c r="I7" s="3524" t="str">
        <f>土地案例!A5</f>
        <v>北京市顺义区后沙峪镇马头庄村SY00-0019-6005地块B1商业用地、SY00-0019-6006地块R2二类居住用地</v>
      </c>
      <c r="J7" s="3525"/>
      <c r="K7" s="1611"/>
      <c r="L7" s="2142"/>
      <c r="M7" s="2130"/>
      <c r="N7" s="2130"/>
      <c r="O7" s="2132"/>
      <c r="P7" s="3517"/>
      <c r="Q7" s="3518"/>
      <c r="R7" s="3503"/>
      <c r="S7" s="3504"/>
      <c r="T7" s="3503"/>
      <c r="U7" s="3504"/>
      <c r="V7" s="3521"/>
      <c r="W7" s="3521"/>
      <c r="X7" s="3173"/>
      <c r="Y7" s="3503"/>
      <c r="Z7" s="3504"/>
      <c r="AA7" s="3497"/>
      <c r="AB7" s="3497"/>
      <c r="AC7" s="3497"/>
    </row>
    <row r="8" spans="1:30" ht="21" thickBot="1">
      <c r="A8" s="514"/>
      <c r="B8" s="515"/>
      <c r="C8" s="3526" t="s">
        <v>3026</v>
      </c>
      <c r="D8" s="3527"/>
      <c r="E8" s="3526" t="s">
        <v>3026</v>
      </c>
      <c r="F8" s="3527"/>
      <c r="G8" s="3522" t="s">
        <v>3026</v>
      </c>
      <c r="H8" s="3523"/>
      <c r="I8" s="3522" t="s">
        <v>3023</v>
      </c>
      <c r="J8" s="3523"/>
      <c r="K8" s="1611" t="s">
        <v>3024</v>
      </c>
      <c r="L8" s="2142"/>
      <c r="M8" s="2130"/>
      <c r="N8" s="2130"/>
      <c r="O8" s="2132"/>
      <c r="P8" s="3519"/>
      <c r="Q8" s="3520"/>
      <c r="R8" s="3503"/>
      <c r="S8" s="3504"/>
      <c r="T8" s="3505"/>
      <c r="U8" s="3506"/>
      <c r="V8" s="3521"/>
      <c r="W8" s="3521"/>
      <c r="X8" s="3173"/>
      <c r="Y8" s="3505"/>
      <c r="Z8" s="3506"/>
      <c r="AA8" s="3498"/>
      <c r="AB8" s="3498"/>
      <c r="AC8" s="3498"/>
    </row>
    <row r="9" spans="1:30" s="1219" customFormat="1" ht="21" thickBot="1">
      <c r="A9" s="2909"/>
      <c r="B9" s="2916" t="s">
        <v>529</v>
      </c>
      <c r="C9" s="2908">
        <f>'数据-取费表'!B2</f>
        <v>43444</v>
      </c>
      <c r="D9" s="519">
        <v>100</v>
      </c>
      <c r="E9" s="520">
        <f>土地案例!H2</f>
        <v>43285</v>
      </c>
      <c r="F9" s="521">
        <f>SUMIF(72:72,YEAR(E9)&amp;"-"&amp;INT((MONTH(E9)+2)/3),73:73)</f>
        <v>99.5</v>
      </c>
      <c r="G9" s="522">
        <f>土地案例!H3</f>
        <v>43273</v>
      </c>
      <c r="H9" s="519">
        <f>SUMIF(72:72,YEAR(G9)&amp;"-"&amp;INT((MONTH(G9)+2)/3),73:73)</f>
        <v>99</v>
      </c>
      <c r="I9" s="522">
        <f>土地案例!H5</f>
        <v>43038</v>
      </c>
      <c r="J9" s="519">
        <f>SUMIF(72:72,YEAR(I9)&amp;"-"&amp;INT((MONTH(I9)+2)/3),73:73)</f>
        <v>98</v>
      </c>
      <c r="K9" s="523"/>
      <c r="L9" s="2133"/>
      <c r="M9" s="2130"/>
      <c r="N9" s="2130"/>
      <c r="O9" s="2134"/>
      <c r="P9" s="3499" t="s">
        <v>530</v>
      </c>
      <c r="Q9" s="3508"/>
      <c r="R9" s="1567" t="s">
        <v>8</v>
      </c>
      <c r="S9" s="1568">
        <f t="shared" ref="S9:S17" si="0">F9</f>
        <v>99.5</v>
      </c>
      <c r="T9" s="1567" t="s">
        <v>8</v>
      </c>
      <c r="U9" s="1568">
        <f t="shared" ref="U9:U17" si="1">H9</f>
        <v>99</v>
      </c>
      <c r="V9" s="1567" t="s">
        <v>8</v>
      </c>
      <c r="W9" s="1568">
        <f t="shared" ref="W9:W17" si="2">J9</f>
        <v>98</v>
      </c>
      <c r="X9" s="1569"/>
      <c r="Y9" s="3499" t="s">
        <v>530</v>
      </c>
      <c r="Z9" s="3500"/>
      <c r="AA9" s="1570">
        <f>D9/F9</f>
        <v>1.0050251256281406</v>
      </c>
      <c r="AB9" s="1570">
        <f>D9/H9</f>
        <v>1.0101010101010102</v>
      </c>
      <c r="AC9" s="1570">
        <f>D9/J9</f>
        <v>1.0204081632653061</v>
      </c>
    </row>
    <row r="10" spans="1:30" s="1219" customFormat="1" ht="21" thickBot="1">
      <c r="A10" s="2910"/>
      <c r="B10" s="2917" t="s">
        <v>531</v>
      </c>
      <c r="C10" s="855" t="s">
        <v>532</v>
      </c>
      <c r="D10" s="519">
        <v>100</v>
      </c>
      <c r="E10" s="524" t="s">
        <v>3027</v>
      </c>
      <c r="F10" s="521">
        <f>SUMIF(75:75,E10,76:76)-SUMIF(75:75,C10,76:76)+100</f>
        <v>100</v>
      </c>
      <c r="G10" s="524" t="s">
        <v>3027</v>
      </c>
      <c r="H10" s="519">
        <f>SUMIF(75:75,G10,76:76)-SUMIF(75:75,C10,76:76)+100</f>
        <v>100</v>
      </c>
      <c r="I10" s="524" t="s">
        <v>3027</v>
      </c>
      <c r="J10" s="519">
        <f>SUMIF(75:75,I10,76:76)-SUMIF(75:75,C10,76:76)+100</f>
        <v>100</v>
      </c>
      <c r="K10" s="523"/>
      <c r="L10" s="2133"/>
      <c r="M10" s="2130"/>
      <c r="N10" s="2130"/>
      <c r="O10" s="2134"/>
      <c r="P10" s="3499" t="s">
        <v>533</v>
      </c>
      <c r="Q10" s="3500"/>
      <c r="R10" s="1567" t="s">
        <v>8</v>
      </c>
      <c r="S10" s="1568">
        <f t="shared" si="0"/>
        <v>100</v>
      </c>
      <c r="T10" s="1567" t="s">
        <v>8</v>
      </c>
      <c r="U10" s="1568">
        <f t="shared" si="1"/>
        <v>100</v>
      </c>
      <c r="V10" s="1567" t="s">
        <v>8</v>
      </c>
      <c r="W10" s="1568">
        <f t="shared" si="2"/>
        <v>100</v>
      </c>
      <c r="X10" s="1569"/>
      <c r="Y10" s="3499" t="s">
        <v>533</v>
      </c>
      <c r="Z10" s="3500"/>
      <c r="AA10" s="1570">
        <f t="shared" ref="AA10:AA47" si="3">D10/F10</f>
        <v>1</v>
      </c>
      <c r="AB10" s="1570">
        <f t="shared" ref="AB10:AB47" si="4">D10/H10</f>
        <v>1</v>
      </c>
      <c r="AC10" s="1570">
        <f t="shared" ref="AC10:AC47" si="5">D10/J10</f>
        <v>1</v>
      </c>
    </row>
    <row r="11" spans="1:30" s="1219" customFormat="1" ht="28.5">
      <c r="A11" s="2911"/>
      <c r="B11" s="2918" t="s">
        <v>2753</v>
      </c>
      <c r="C11" s="2906" t="s">
        <v>3036</v>
      </c>
      <c r="D11" s="253">
        <v>100</v>
      </c>
      <c r="E11" s="2906" t="s">
        <v>3036</v>
      </c>
      <c r="F11" s="253">
        <f>SUMIF(77:77,E11,78:78)-SUMIF(77:77,C11,78:78)+100</f>
        <v>100</v>
      </c>
      <c r="G11" s="2906" t="s">
        <v>3036</v>
      </c>
      <c r="H11" s="253">
        <f>SUMIF(77:77,G11,78:78)-SUMIF(77:77,C11,78:78)+100</f>
        <v>100</v>
      </c>
      <c r="I11" s="2906" t="s">
        <v>3036</v>
      </c>
      <c r="J11" s="253">
        <f>SUMIF(77:77,I11,78:78)-SUMIF(77:77,C11,78:78)+100</f>
        <v>100</v>
      </c>
      <c r="K11" s="523"/>
      <c r="L11" s="2133"/>
      <c r="M11" s="2130"/>
      <c r="N11" s="2130"/>
      <c r="O11" s="2135"/>
      <c r="P11" s="3507" t="s">
        <v>535</v>
      </c>
      <c r="Q11" s="1150" t="str">
        <f t="shared" ref="Q11:Q17" si="6">B11</f>
        <v>用途</v>
      </c>
      <c r="R11" s="1567" t="s">
        <v>8</v>
      </c>
      <c r="S11" s="1568">
        <f t="shared" si="0"/>
        <v>100</v>
      </c>
      <c r="T11" s="1567" t="s">
        <v>8</v>
      </c>
      <c r="U11" s="1568">
        <f t="shared" si="1"/>
        <v>100</v>
      </c>
      <c r="V11" s="1567" t="s">
        <v>8</v>
      </c>
      <c r="W11" s="1568">
        <f t="shared" si="2"/>
        <v>100</v>
      </c>
      <c r="X11" s="1569"/>
      <c r="Y11" s="3464" t="s">
        <v>536</v>
      </c>
      <c r="Z11" s="1149" t="str">
        <f t="shared" ref="Z11:Z17" si="7">Q11</f>
        <v>用途</v>
      </c>
      <c r="AA11" s="1570">
        <f t="shared" si="3"/>
        <v>1</v>
      </c>
      <c r="AB11" s="1570">
        <f t="shared" si="4"/>
        <v>1</v>
      </c>
      <c r="AC11" s="1570">
        <f t="shared" si="5"/>
        <v>1</v>
      </c>
    </row>
    <row r="12" spans="1:30" s="1337" customFormat="1" ht="57">
      <c r="A12" s="2912"/>
      <c r="B12" s="2917" t="s">
        <v>2754</v>
      </c>
      <c r="C12" s="909" t="str">
        <f>项目基本情况!D20</f>
        <v>住宅68.8年、商业38.8年、地下车库48.8年、仓储48.8</v>
      </c>
      <c r="D12" s="254">
        <v>100</v>
      </c>
      <c r="E12" s="528"/>
      <c r="F12" s="254">
        <f>ROUND(100/'数据-取费表'!G16,0)</f>
        <v>101</v>
      </c>
      <c r="G12" s="529"/>
      <c r="H12" s="254">
        <f>ROUND(100/'数据-取费表'!G16,0)</f>
        <v>101</v>
      </c>
      <c r="I12" s="529"/>
      <c r="J12" s="254">
        <f>ROUND(100/'数据-取费表'!G16,0)</f>
        <v>101</v>
      </c>
      <c r="K12" s="530"/>
      <c r="L12" s="2136"/>
      <c r="M12" s="2130"/>
      <c r="N12" s="2130"/>
      <c r="O12" s="2137"/>
      <c r="P12" s="3507"/>
      <c r="Q12" s="1150" t="str">
        <f t="shared" si="6"/>
        <v>土地使用年限（年）</v>
      </c>
      <c r="R12" s="1567" t="s">
        <v>8</v>
      </c>
      <c r="S12" s="1568">
        <f t="shared" si="0"/>
        <v>101</v>
      </c>
      <c r="T12" s="1567" t="s">
        <v>8</v>
      </c>
      <c r="U12" s="1568">
        <f t="shared" si="1"/>
        <v>101</v>
      </c>
      <c r="V12" s="1567" t="s">
        <v>8</v>
      </c>
      <c r="W12" s="1568">
        <f t="shared" si="2"/>
        <v>101</v>
      </c>
      <c r="X12" s="1569"/>
      <c r="Y12" s="3464"/>
      <c r="Z12" s="1149" t="str">
        <f t="shared" si="7"/>
        <v>土地使用年限（年）</v>
      </c>
      <c r="AA12" s="1570">
        <f t="shared" si="3"/>
        <v>0.99009900990099009</v>
      </c>
      <c r="AB12" s="1570">
        <f t="shared" si="4"/>
        <v>0.99009900990099009</v>
      </c>
      <c r="AC12" s="1570">
        <f t="shared" si="5"/>
        <v>0.99009900990099009</v>
      </c>
    </row>
    <row r="13" spans="1:30" ht="20.25">
      <c r="A13" s="2913"/>
      <c r="B13" s="2917" t="s">
        <v>2755</v>
      </c>
      <c r="C13" s="533">
        <f>'数据-汇总表'!I6</f>
        <v>1.01</v>
      </c>
      <c r="D13" s="254">
        <v>100</v>
      </c>
      <c r="E13" s="532">
        <f>土地案例!F2</f>
        <v>1.8</v>
      </c>
      <c r="F13" s="254">
        <f>LOOKUP(E13,82:82,83:83)-LOOKUP(C13,82:82,83:83)+100</f>
        <v>100</v>
      </c>
      <c r="G13" s="533">
        <f>土地案例!F3</f>
        <v>1.004</v>
      </c>
      <c r="H13" s="254">
        <f>LOOKUP(G13,82:82,83:83)-LOOKUP(C13,82:82,83:83)+100</f>
        <v>100</v>
      </c>
      <c r="I13" s="532">
        <f>土地案例!F5</f>
        <v>1.83</v>
      </c>
      <c r="J13" s="254">
        <f>LOOKUP(I13,82:82,83:83)-LOOKUP(C13,82:82,83:83)+100</f>
        <v>100</v>
      </c>
      <c r="K13" s="534">
        <v>5</v>
      </c>
      <c r="L13" s="2138"/>
      <c r="M13" s="2130"/>
      <c r="N13" s="2130"/>
      <c r="O13" s="2139"/>
      <c r="P13" s="3507"/>
      <c r="Q13" s="1150" t="str">
        <f t="shared" si="6"/>
        <v>容积率</v>
      </c>
      <c r="R13" s="1567" t="s">
        <v>8</v>
      </c>
      <c r="S13" s="1568">
        <f t="shared" si="0"/>
        <v>100</v>
      </c>
      <c r="T13" s="1567" t="s">
        <v>8</v>
      </c>
      <c r="U13" s="1568">
        <f t="shared" si="1"/>
        <v>100</v>
      </c>
      <c r="V13" s="1567" t="s">
        <v>8</v>
      </c>
      <c r="W13" s="1568">
        <f t="shared" si="2"/>
        <v>100</v>
      </c>
      <c r="X13" s="1569"/>
      <c r="Y13" s="3464"/>
      <c r="Z13" s="1149" t="str">
        <f t="shared" si="7"/>
        <v>容积率</v>
      </c>
      <c r="AA13" s="1570">
        <f t="shared" si="3"/>
        <v>1</v>
      </c>
      <c r="AB13" s="1570">
        <f t="shared" si="4"/>
        <v>1</v>
      </c>
      <c r="AC13" s="1570">
        <f t="shared" si="5"/>
        <v>1</v>
      </c>
    </row>
    <row r="14" spans="1:30" s="1219" customFormat="1" ht="20.25">
      <c r="A14" s="2910"/>
      <c r="B14" s="2919" t="s">
        <v>2756</v>
      </c>
      <c r="C14" s="3220" t="s">
        <v>3231</v>
      </c>
      <c r="D14" s="537">
        <v>100</v>
      </c>
      <c r="E14" s="1373" t="s">
        <v>3034</v>
      </c>
      <c r="F14" s="254">
        <f>SUMIF(84:84,E14,85:85)-SUMIF(84:84,C14,85:85)+100</f>
        <v>100</v>
      </c>
      <c r="G14" s="3199" t="s">
        <v>3034</v>
      </c>
      <c r="H14" s="254">
        <f>SUMIF(84:84,G14,85:85)-SUMIF(84:84,C14,85:85)+100</f>
        <v>100</v>
      </c>
      <c r="I14" s="3200" t="s">
        <v>3034</v>
      </c>
      <c r="J14" s="254">
        <f>SUMIF(84:84,I14,85:85)-SUMIF(84:84,C14,85:85)+100</f>
        <v>100</v>
      </c>
      <c r="K14" s="530"/>
      <c r="L14" s="2133"/>
      <c r="M14" s="2130"/>
      <c r="N14" s="2130"/>
      <c r="O14" s="2135"/>
      <c r="P14" s="3507"/>
      <c r="Q14" s="1150" t="str">
        <f t="shared" si="6"/>
        <v>配建</v>
      </c>
      <c r="R14" s="1567" t="s">
        <v>8</v>
      </c>
      <c r="S14" s="1568">
        <f t="shared" si="0"/>
        <v>100</v>
      </c>
      <c r="T14" s="1567" t="s">
        <v>8</v>
      </c>
      <c r="U14" s="1568">
        <f t="shared" si="1"/>
        <v>100</v>
      </c>
      <c r="V14" s="1567" t="s">
        <v>8</v>
      </c>
      <c r="W14" s="1568">
        <f t="shared" si="2"/>
        <v>100</v>
      </c>
      <c r="X14" s="1569"/>
      <c r="Y14" s="3464"/>
      <c r="Z14" s="1149" t="str">
        <f t="shared" si="7"/>
        <v>配建</v>
      </c>
      <c r="AA14" s="1570">
        <f>D14/F14</f>
        <v>1</v>
      </c>
      <c r="AB14" s="1570">
        <f>D14/H14</f>
        <v>1</v>
      </c>
      <c r="AC14" s="1570">
        <f>D14/J14</f>
        <v>1</v>
      </c>
    </row>
    <row r="15" spans="1:30" ht="21" thickBot="1">
      <c r="A15" s="2914"/>
      <c r="B15" s="3183" t="s">
        <v>3038</v>
      </c>
      <c r="C15" s="3201" t="s">
        <v>3035</v>
      </c>
      <c r="D15" s="539">
        <v>100</v>
      </c>
      <c r="E15" s="3202" t="s">
        <v>3212</v>
      </c>
      <c r="F15" s="254">
        <f>SUMIF(86:86,E15,87:87)-SUMIF(86:86,C15,87:87)+100</f>
        <v>100</v>
      </c>
      <c r="G15" s="3203" t="s">
        <v>3212</v>
      </c>
      <c r="H15" s="539">
        <f>SUMIF(86:86,G15,87:87)-SUMIF(86:86,C15,87:87)+100</f>
        <v>100</v>
      </c>
      <c r="I15" s="3203" t="s">
        <v>3213</v>
      </c>
      <c r="J15" s="539">
        <f>SUMIF(86:86,I15,87:87)-SUMIF(86:86,C15,87:87)+100</f>
        <v>100</v>
      </c>
      <c r="K15" s="530"/>
      <c r="L15" s="2140"/>
      <c r="M15" s="2130"/>
      <c r="N15" s="2130"/>
      <c r="O15" s="2139"/>
      <c r="P15" s="3507"/>
      <c r="Q15" s="1150" t="str">
        <f t="shared" si="6"/>
        <v>是否自持</v>
      </c>
      <c r="R15" s="1567" t="s">
        <v>8</v>
      </c>
      <c r="S15" s="1568">
        <f t="shared" si="0"/>
        <v>100</v>
      </c>
      <c r="T15" s="1567" t="s">
        <v>8</v>
      </c>
      <c r="U15" s="1568">
        <f t="shared" si="1"/>
        <v>100</v>
      </c>
      <c r="V15" s="1567" t="s">
        <v>8</v>
      </c>
      <c r="W15" s="1568">
        <f t="shared" si="2"/>
        <v>100</v>
      </c>
      <c r="X15" s="1569"/>
      <c r="Y15" s="3464"/>
      <c r="Z15" s="1149" t="str">
        <f t="shared" si="7"/>
        <v>是否自持</v>
      </c>
      <c r="AA15" s="1570">
        <f>D15/F15</f>
        <v>1</v>
      </c>
      <c r="AB15" s="1570">
        <f>D15/H15</f>
        <v>1</v>
      </c>
      <c r="AC15" s="1570">
        <f>D15/J15</f>
        <v>1</v>
      </c>
    </row>
    <row r="16" spans="1:30" ht="21" hidden="1" thickBot="1">
      <c r="A16" s="2915"/>
      <c r="B16" s="2921"/>
      <c r="C16" s="914"/>
      <c r="D16" s="545">
        <v>100</v>
      </c>
      <c r="E16" s="540"/>
      <c r="F16" s="545">
        <f>SUMIF(88:88,E16,89:89)-SUMIF(88:88,C16,89:89)+100</f>
        <v>100</v>
      </c>
      <c r="G16" s="541"/>
      <c r="H16" s="545">
        <f>SUMIF(88:88,G16,89:89)-SUMIF(88:88,C16,89:89)+100</f>
        <v>100</v>
      </c>
      <c r="I16" s="541"/>
      <c r="J16" s="545">
        <f>SUMIF(88:88,I16,89:89)-SUMIF(88:88,C16,89:89)+100</f>
        <v>100</v>
      </c>
      <c r="K16" s="530"/>
      <c r="L16" s="2140"/>
      <c r="M16" s="2130"/>
      <c r="N16" s="2130"/>
      <c r="O16" s="2139"/>
      <c r="P16" s="3507"/>
      <c r="Q16" s="1150">
        <f t="shared" si="6"/>
        <v>0</v>
      </c>
      <c r="R16" s="1567" t="s">
        <v>8</v>
      </c>
      <c r="S16" s="1568">
        <f t="shared" si="0"/>
        <v>100</v>
      </c>
      <c r="T16" s="1567" t="s">
        <v>8</v>
      </c>
      <c r="U16" s="1568">
        <f t="shared" si="1"/>
        <v>100</v>
      </c>
      <c r="V16" s="1567" t="s">
        <v>8</v>
      </c>
      <c r="W16" s="1568">
        <f t="shared" si="2"/>
        <v>100</v>
      </c>
      <c r="X16" s="1569"/>
      <c r="Y16" s="3464"/>
      <c r="Z16" s="1149">
        <f t="shared" si="7"/>
        <v>0</v>
      </c>
      <c r="AA16" s="1570">
        <f>D16/F16</f>
        <v>1</v>
      </c>
      <c r="AB16" s="1570">
        <f>D16/H16</f>
        <v>1</v>
      </c>
      <c r="AC16" s="1570">
        <f>D16/J16</f>
        <v>1</v>
      </c>
    </row>
    <row r="17" spans="1:29" ht="20.25">
      <c r="A17" s="2907" t="s">
        <v>2751</v>
      </c>
      <c r="B17" s="577" t="s">
        <v>295</v>
      </c>
      <c r="C17" s="547" t="str">
        <f>估价对象房地状况!C15</f>
        <v>一般</v>
      </c>
      <c r="D17" s="550">
        <v>100</v>
      </c>
      <c r="E17" s="551"/>
      <c r="F17" s="548">
        <f>SUMIF(90:90,E18,91:91)-SUMIF(90:90,C18,91:91)+100</f>
        <v>103</v>
      </c>
      <c r="G17" s="549"/>
      <c r="H17" s="548">
        <f>SUMIF(90:90,G18,91:91)-SUMIF(90:90,C18,91:91)+100</f>
        <v>100</v>
      </c>
      <c r="I17" s="551"/>
      <c r="J17" s="548">
        <f>SUMIF(90:90,I18,91:91)-SUMIF(90:90,C18,91:91)+100</f>
        <v>103</v>
      </c>
      <c r="K17" s="534">
        <v>3</v>
      </c>
      <c r="L17" s="2140"/>
      <c r="M17" s="2130"/>
      <c r="N17" s="2130"/>
      <c r="O17" s="2139"/>
      <c r="P17" s="3509" t="s">
        <v>540</v>
      </c>
      <c r="Q17" s="1571" t="str">
        <f t="shared" si="6"/>
        <v>居住社区成熟度</v>
      </c>
      <c r="R17" s="1572" t="s">
        <v>8</v>
      </c>
      <c r="S17" s="1573">
        <f t="shared" si="0"/>
        <v>103</v>
      </c>
      <c r="T17" s="1572" t="s">
        <v>8</v>
      </c>
      <c r="U17" s="1573">
        <f t="shared" si="1"/>
        <v>100</v>
      </c>
      <c r="V17" s="1572" t="s">
        <v>8</v>
      </c>
      <c r="W17" s="1573">
        <f t="shared" si="2"/>
        <v>103</v>
      </c>
      <c r="X17" s="1566"/>
      <c r="Y17" s="3509" t="s">
        <v>540</v>
      </c>
      <c r="Z17" s="1574" t="str">
        <f t="shared" si="7"/>
        <v>居住社区成熟度</v>
      </c>
      <c r="AA17" s="1575">
        <f t="shared" si="3"/>
        <v>0.970873786407767</v>
      </c>
      <c r="AB17" s="1575">
        <f t="shared" si="4"/>
        <v>1</v>
      </c>
      <c r="AC17" s="1575">
        <f t="shared" si="5"/>
        <v>0.970873786407767</v>
      </c>
    </row>
    <row r="18" spans="1:29" ht="20.25">
      <c r="A18" s="531"/>
      <c r="B18" s="552"/>
      <c r="C18" s="553" t="s">
        <v>3264</v>
      </c>
      <c r="D18" s="556"/>
      <c r="E18" s="557" t="s">
        <v>3265</v>
      </c>
      <c r="F18" s="554"/>
      <c r="G18" s="555" t="s">
        <v>3264</v>
      </c>
      <c r="H18" s="558"/>
      <c r="I18" s="557" t="s">
        <v>3265</v>
      </c>
      <c r="J18" s="554"/>
      <c r="K18" s="530"/>
      <c r="L18" s="2140"/>
      <c r="M18" s="2130"/>
      <c r="N18" s="2130"/>
      <c r="O18" s="2139"/>
      <c r="P18" s="3510"/>
      <c r="Q18" s="1571"/>
      <c r="R18" s="1572"/>
      <c r="S18" s="1573"/>
      <c r="T18" s="1572"/>
      <c r="U18" s="1573"/>
      <c r="V18" s="1572"/>
      <c r="W18" s="1573"/>
      <c r="X18" s="1566"/>
      <c r="Y18" s="3510"/>
      <c r="Z18" s="1574"/>
      <c r="AA18" s="1575">
        <v>1</v>
      </c>
      <c r="AB18" s="1575">
        <v>1</v>
      </c>
      <c r="AC18" s="1575">
        <v>1</v>
      </c>
    </row>
    <row r="19" spans="1:29" ht="20.25">
      <c r="A19" s="531"/>
      <c r="B19" s="559" t="s">
        <v>541</v>
      </c>
      <c r="C19" s="560" t="str">
        <f>估价对象房地状况!C16</f>
        <v>较差</v>
      </c>
      <c r="D19" s="562">
        <v>100</v>
      </c>
      <c r="E19" s="563"/>
      <c r="F19" s="558">
        <f>SUMIF(92:92,E20,93:93)-SUMIF(92:92,C20,93:93)+100</f>
        <v>102</v>
      </c>
      <c r="G19" s="561"/>
      <c r="H19" s="564">
        <f>SUMIF(92:92,G20,93:93)-SUMIF(92:92,C20,93:93)+100</f>
        <v>102</v>
      </c>
      <c r="I19" s="563"/>
      <c r="J19" s="564">
        <f>SUMIF(92:92,I20,93:93)-SUMIF(92:92,C20,93:93)+100</f>
        <v>102</v>
      </c>
      <c r="K19" s="534">
        <v>2</v>
      </c>
      <c r="L19" s="2140"/>
      <c r="M19" s="2130"/>
      <c r="N19" s="2130"/>
      <c r="O19" s="2139"/>
      <c r="P19" s="3510"/>
      <c r="Q19" s="1571" t="str">
        <f>B19</f>
        <v>商业繁华度</v>
      </c>
      <c r="R19" s="1572" t="s">
        <v>8</v>
      </c>
      <c r="S19" s="1573">
        <f>F19</f>
        <v>102</v>
      </c>
      <c r="T19" s="1572" t="s">
        <v>8</v>
      </c>
      <c r="U19" s="1573">
        <f>H19</f>
        <v>102</v>
      </c>
      <c r="V19" s="1572" t="s">
        <v>8</v>
      </c>
      <c r="W19" s="1573">
        <f>J19</f>
        <v>102</v>
      </c>
      <c r="X19" s="1566"/>
      <c r="Y19" s="3510"/>
      <c r="Z19" s="1574" t="str">
        <f>Q19</f>
        <v>商业繁华度</v>
      </c>
      <c r="AA19" s="1575">
        <f t="shared" si="3"/>
        <v>0.98039215686274506</v>
      </c>
      <c r="AB19" s="1575">
        <f t="shared" si="4"/>
        <v>0.98039215686274506</v>
      </c>
      <c r="AC19" s="1575">
        <f t="shared" si="5"/>
        <v>0.98039215686274506</v>
      </c>
    </row>
    <row r="20" spans="1:29" ht="20.25">
      <c r="A20" s="531"/>
      <c r="B20" s="565"/>
      <c r="C20" s="566" t="s">
        <v>3266</v>
      </c>
      <c r="D20" s="562"/>
      <c r="E20" s="568" t="s">
        <v>3264</v>
      </c>
      <c r="F20" s="558"/>
      <c r="G20" s="567" t="s">
        <v>3264</v>
      </c>
      <c r="H20" s="554"/>
      <c r="I20" s="568" t="s">
        <v>3264</v>
      </c>
      <c r="J20" s="554"/>
      <c r="K20" s="530"/>
      <c r="L20" s="2140"/>
      <c r="M20" s="2130"/>
      <c r="N20" s="2130"/>
      <c r="O20" s="2139"/>
      <c r="P20" s="3510"/>
      <c r="Q20" s="1571"/>
      <c r="R20" s="1572"/>
      <c r="S20" s="1573"/>
      <c r="T20" s="1572"/>
      <c r="U20" s="1573"/>
      <c r="V20" s="1572"/>
      <c r="W20" s="1573"/>
      <c r="X20" s="1566"/>
      <c r="Y20" s="3510"/>
      <c r="Z20" s="1574"/>
      <c r="AA20" s="1575">
        <v>1</v>
      </c>
      <c r="AB20" s="1575">
        <v>1</v>
      </c>
      <c r="AC20" s="1575">
        <v>1</v>
      </c>
    </row>
    <row r="21" spans="1:29" ht="20.25" hidden="1">
      <c r="A21" s="531"/>
      <c r="B21" s="559" t="s">
        <v>542</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40"/>
      <c r="M21" s="2130"/>
      <c r="N21" s="2130"/>
      <c r="O21" s="2139"/>
      <c r="P21" s="3510"/>
      <c r="Q21" s="1571" t="str">
        <f>B21</f>
        <v>办公集聚程度</v>
      </c>
      <c r="R21" s="1572" t="s">
        <v>8</v>
      </c>
      <c r="S21" s="1573">
        <f>F21</f>
        <v>100</v>
      </c>
      <c r="T21" s="1572" t="s">
        <v>8</v>
      </c>
      <c r="U21" s="1573">
        <f>H21</f>
        <v>100</v>
      </c>
      <c r="V21" s="1572" t="s">
        <v>8</v>
      </c>
      <c r="W21" s="1573">
        <f>J21</f>
        <v>100</v>
      </c>
      <c r="X21" s="1566"/>
      <c r="Y21" s="3510"/>
      <c r="Z21" s="1574" t="str">
        <f>Q21</f>
        <v>办公集聚程度</v>
      </c>
      <c r="AA21" s="1575">
        <f t="shared" si="3"/>
        <v>1</v>
      </c>
      <c r="AB21" s="1575">
        <f t="shared" si="4"/>
        <v>1</v>
      </c>
      <c r="AC21" s="1575">
        <f t="shared" si="5"/>
        <v>1</v>
      </c>
    </row>
    <row r="22" spans="1:29" ht="20.25" hidden="1">
      <c r="A22" s="531"/>
      <c r="B22" s="565"/>
      <c r="C22" s="553"/>
      <c r="D22" s="556"/>
      <c r="E22" s="557"/>
      <c r="F22" s="554"/>
      <c r="G22" s="555"/>
      <c r="H22" s="554"/>
      <c r="I22" s="557"/>
      <c r="J22" s="554"/>
      <c r="K22" s="530"/>
      <c r="L22" s="2140"/>
      <c r="M22" s="2130"/>
      <c r="N22" s="2130"/>
      <c r="O22" s="2139"/>
      <c r="P22" s="3510"/>
      <c r="Q22" s="1571"/>
      <c r="R22" s="1572"/>
      <c r="S22" s="1573"/>
      <c r="T22" s="1572"/>
      <c r="U22" s="1573"/>
      <c r="V22" s="1572"/>
      <c r="W22" s="1573"/>
      <c r="X22" s="1566"/>
      <c r="Y22" s="3510"/>
      <c r="Z22" s="1574"/>
      <c r="AA22" s="1575">
        <v>1</v>
      </c>
      <c r="AB22" s="1575">
        <v>1</v>
      </c>
      <c r="AC22" s="1575">
        <v>1</v>
      </c>
    </row>
    <row r="23" spans="1:29" ht="20.25">
      <c r="A23" s="531"/>
      <c r="B23" s="559" t="s">
        <v>543</v>
      </c>
      <c r="C23" s="572" t="str">
        <f>估价对象房地状况!C18</f>
        <v>一般</v>
      </c>
      <c r="D23" s="562">
        <v>100</v>
      </c>
      <c r="E23" s="563"/>
      <c r="F23" s="564">
        <f>SUMIF(96:96,E24,97:97)-SUMIF(96:96,C24,97:97)+100</f>
        <v>100</v>
      </c>
      <c r="G23" s="561"/>
      <c r="H23" s="558">
        <f>SUMIF(96:96,G24,97:97)-SUMIF(96:96,C24,97:97)+100</f>
        <v>100</v>
      </c>
      <c r="I23" s="563"/>
      <c r="J23" s="558">
        <f>SUMIF(96:96,I24,97:97)-SUMIF(96:96,C24,97:97)+100</f>
        <v>100</v>
      </c>
      <c r="K23" s="534">
        <v>2</v>
      </c>
      <c r="L23" s="2140"/>
      <c r="M23" s="2130"/>
      <c r="N23" s="2130"/>
      <c r="O23" s="2139"/>
      <c r="P23" s="3510"/>
      <c r="Q23" s="1571" t="str">
        <f>B23</f>
        <v>交通便捷度</v>
      </c>
      <c r="R23" s="1572" t="s">
        <v>8</v>
      </c>
      <c r="S23" s="1573">
        <f>F23</f>
        <v>100</v>
      </c>
      <c r="T23" s="1572" t="s">
        <v>8</v>
      </c>
      <c r="U23" s="1573">
        <f>H23</f>
        <v>100</v>
      </c>
      <c r="V23" s="1572" t="s">
        <v>8</v>
      </c>
      <c r="W23" s="1573">
        <f>J23</f>
        <v>100</v>
      </c>
      <c r="X23" s="1566"/>
      <c r="Y23" s="3510"/>
      <c r="Z23" s="1574" t="str">
        <f>Q23</f>
        <v>交通便捷度</v>
      </c>
      <c r="AA23" s="1575">
        <f t="shared" si="3"/>
        <v>1</v>
      </c>
      <c r="AB23" s="1575">
        <f t="shared" si="4"/>
        <v>1</v>
      </c>
      <c r="AC23" s="1575">
        <f t="shared" si="5"/>
        <v>1</v>
      </c>
    </row>
    <row r="24" spans="1:29" ht="20.25">
      <c r="A24" s="531"/>
      <c r="B24" s="577"/>
      <c r="C24" s="553" t="s">
        <v>3264</v>
      </c>
      <c r="D24" s="556"/>
      <c r="E24" s="557" t="s">
        <v>3264</v>
      </c>
      <c r="F24" s="554"/>
      <c r="G24" s="555" t="s">
        <v>3264</v>
      </c>
      <c r="H24" s="554"/>
      <c r="I24" s="557" t="s">
        <v>3264</v>
      </c>
      <c r="J24" s="554"/>
      <c r="K24" s="530"/>
      <c r="L24" s="2140"/>
      <c r="M24" s="2130"/>
      <c r="N24" s="2130"/>
      <c r="O24" s="2139"/>
      <c r="P24" s="3510"/>
      <c r="Q24" s="1571"/>
      <c r="R24" s="1572"/>
      <c r="S24" s="1573"/>
      <c r="T24" s="1572"/>
      <c r="U24" s="1573"/>
      <c r="V24" s="1572"/>
      <c r="W24" s="1573"/>
      <c r="X24" s="1566"/>
      <c r="Y24" s="3510"/>
      <c r="Z24" s="1574"/>
      <c r="AA24" s="1575">
        <v>1</v>
      </c>
      <c r="AB24" s="1575">
        <v>1</v>
      </c>
      <c r="AC24" s="1575">
        <v>1</v>
      </c>
    </row>
    <row r="25" spans="1:29" ht="27">
      <c r="A25" s="514"/>
      <c r="B25" s="258" t="s">
        <v>544</v>
      </c>
      <c r="C25" s="572" t="str">
        <f>估价对象房地状况!C19</f>
        <v>较好</v>
      </c>
      <c r="D25" s="562">
        <v>100</v>
      </c>
      <c r="E25" s="563"/>
      <c r="F25" s="564">
        <f>SUMIF(98:98,E26,99:99)-SUMIF(98:98,C26,99:99)+100</f>
        <v>100</v>
      </c>
      <c r="G25" s="561"/>
      <c r="H25" s="558">
        <f>SUMIF(98:98,G26,99:99)-SUMIF(98:98,C26,99:99)+100</f>
        <v>100</v>
      </c>
      <c r="I25" s="563"/>
      <c r="J25" s="558">
        <f>SUMIF(98:98,I26,99:99)-SUMIF(98:98,C26,99:99)+100</f>
        <v>100</v>
      </c>
      <c r="K25" s="534">
        <v>2</v>
      </c>
      <c r="L25" s="2140"/>
      <c r="M25" s="2130"/>
      <c r="N25" s="2130"/>
      <c r="O25" s="2139"/>
      <c r="P25" s="3510"/>
      <c r="Q25" s="1571" t="str">
        <f t="shared" ref="Q25:Q39" si="8">B25</f>
        <v>区域土地利用方向</v>
      </c>
      <c r="R25" s="1572" t="s">
        <v>8</v>
      </c>
      <c r="S25" s="1573">
        <f>F25</f>
        <v>100</v>
      </c>
      <c r="T25" s="1572" t="s">
        <v>8</v>
      </c>
      <c r="U25" s="1573">
        <f>H25</f>
        <v>100</v>
      </c>
      <c r="V25" s="1572" t="s">
        <v>8</v>
      </c>
      <c r="W25" s="1573">
        <f>J25</f>
        <v>100</v>
      </c>
      <c r="X25" s="1566"/>
      <c r="Y25" s="3510"/>
      <c r="Z25" s="1574" t="str">
        <f>Q25</f>
        <v>区域土地利用方向</v>
      </c>
      <c r="AA25" s="1575">
        <f t="shared" si="3"/>
        <v>1</v>
      </c>
      <c r="AB25" s="1575">
        <f t="shared" si="4"/>
        <v>1</v>
      </c>
      <c r="AC25" s="1575">
        <f t="shared" si="5"/>
        <v>1</v>
      </c>
    </row>
    <row r="26" spans="1:29" ht="20.25">
      <c r="A26" s="514"/>
      <c r="B26" s="1006"/>
      <c r="C26" s="553" t="s">
        <v>3265</v>
      </c>
      <c r="D26" s="556"/>
      <c r="E26" s="557" t="s">
        <v>3265</v>
      </c>
      <c r="F26" s="554"/>
      <c r="G26" s="555" t="s">
        <v>3265</v>
      </c>
      <c r="H26" s="554"/>
      <c r="I26" s="557" t="s">
        <v>3265</v>
      </c>
      <c r="J26" s="554"/>
      <c r="K26" s="530"/>
      <c r="L26" s="2140"/>
      <c r="M26" s="2130"/>
      <c r="N26" s="2130"/>
      <c r="O26" s="2139"/>
      <c r="P26" s="3510"/>
      <c r="Q26" s="1571"/>
      <c r="R26" s="1572"/>
      <c r="S26" s="1573"/>
      <c r="T26" s="1572"/>
      <c r="U26" s="1573"/>
      <c r="V26" s="1572"/>
      <c r="W26" s="1573"/>
      <c r="X26" s="1566"/>
      <c r="Y26" s="3510"/>
      <c r="Z26" s="1574"/>
      <c r="AA26" s="1575"/>
      <c r="AB26" s="1575"/>
      <c r="AC26" s="1575"/>
    </row>
    <row r="27" spans="1:29" ht="27">
      <c r="A27" s="514"/>
      <c r="B27" s="577" t="s">
        <v>545</v>
      </c>
      <c r="C27" s="560" t="str">
        <f>估价对象房地状况!C20</f>
        <v>一般</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40"/>
      <c r="M27" s="2130"/>
      <c r="N27" s="2130"/>
      <c r="O27" s="2139"/>
      <c r="P27" s="3510"/>
      <c r="Q27" s="1571" t="str">
        <f t="shared" si="8"/>
        <v>自然及人文环境状况</v>
      </c>
      <c r="R27" s="1572" t="s">
        <v>8</v>
      </c>
      <c r="S27" s="1573">
        <f>F27</f>
        <v>100</v>
      </c>
      <c r="T27" s="1572" t="s">
        <v>8</v>
      </c>
      <c r="U27" s="1573">
        <f>H27</f>
        <v>100</v>
      </c>
      <c r="V27" s="1572" t="s">
        <v>8</v>
      </c>
      <c r="W27" s="1573">
        <f>J27</f>
        <v>100</v>
      </c>
      <c r="X27" s="1566"/>
      <c r="Y27" s="3510"/>
      <c r="Z27" s="1574" t="str">
        <f>Q27</f>
        <v>自然及人文环境状况</v>
      </c>
      <c r="AA27" s="1575">
        <f t="shared" si="3"/>
        <v>1</v>
      </c>
      <c r="AB27" s="1575">
        <f t="shared" si="4"/>
        <v>1</v>
      </c>
      <c r="AC27" s="1575">
        <f t="shared" si="5"/>
        <v>1</v>
      </c>
    </row>
    <row r="28" spans="1:29" ht="20.25">
      <c r="A28" s="514"/>
      <c r="B28" s="565"/>
      <c r="C28" s="553" t="s">
        <v>3264</v>
      </c>
      <c r="D28" s="556"/>
      <c r="E28" s="575" t="s">
        <v>3264</v>
      </c>
      <c r="F28" s="554"/>
      <c r="G28" s="553" t="s">
        <v>3264</v>
      </c>
      <c r="H28" s="554"/>
      <c r="I28" s="575" t="s">
        <v>3264</v>
      </c>
      <c r="J28" s="554"/>
      <c r="K28" s="530"/>
      <c r="L28" s="2140"/>
      <c r="M28" s="2130"/>
      <c r="N28" s="2130"/>
      <c r="O28" s="2139"/>
      <c r="P28" s="3510"/>
      <c r="Q28" s="1571"/>
      <c r="R28" s="1572"/>
      <c r="S28" s="1573"/>
      <c r="T28" s="1572"/>
      <c r="U28" s="1573"/>
      <c r="V28" s="1572"/>
      <c r="W28" s="1573"/>
      <c r="X28" s="1566"/>
      <c r="Y28" s="3510"/>
      <c r="Z28" s="1574"/>
      <c r="AA28" s="1575">
        <v>1</v>
      </c>
      <c r="AB28" s="1575">
        <v>1</v>
      </c>
      <c r="AC28" s="1575">
        <v>1</v>
      </c>
    </row>
    <row r="29" spans="1:29" s="1219" customFormat="1" ht="20.25">
      <c r="A29" s="576"/>
      <c r="B29" s="2589" t="s">
        <v>2546</v>
      </c>
      <c r="C29" s="572" t="str">
        <f>估价对象房地状况!C21</f>
        <v>一般</v>
      </c>
      <c r="D29" s="562">
        <v>100</v>
      </c>
      <c r="E29" s="563"/>
      <c r="F29" s="558">
        <f>SUMIF(102:102,E30,103:103)-SUMIF(102:102,C30,103:103)+100</f>
        <v>103</v>
      </c>
      <c r="G29" s="561"/>
      <c r="H29" s="558">
        <f>SUMIF(102:102,G30,103:103)-SUMIF(102:102,C30,103:103)+100</f>
        <v>100</v>
      </c>
      <c r="I29" s="563"/>
      <c r="J29" s="558">
        <f>SUMIF(102:102,I30,103:103)-SUMIF(102:102,C30,103:103)+100</f>
        <v>103</v>
      </c>
      <c r="K29" s="534">
        <v>3</v>
      </c>
      <c r="L29" s="2133"/>
      <c r="M29" s="2130"/>
      <c r="N29" s="2130"/>
      <c r="O29" s="2135"/>
      <c r="P29" s="3510"/>
      <c r="Q29" s="1150" t="str">
        <f t="shared" si="8"/>
        <v>公共配套设施</v>
      </c>
      <c r="R29" s="1567" t="s">
        <v>8</v>
      </c>
      <c r="S29" s="1568">
        <f>F29</f>
        <v>103</v>
      </c>
      <c r="T29" s="1567" t="s">
        <v>8</v>
      </c>
      <c r="U29" s="1568">
        <f>H29</f>
        <v>100</v>
      </c>
      <c r="V29" s="1567" t="s">
        <v>8</v>
      </c>
      <c r="W29" s="1568">
        <f>J29</f>
        <v>103</v>
      </c>
      <c r="X29" s="1569"/>
      <c r="Y29" s="3510"/>
      <c r="Z29" s="1149" t="str">
        <f>Q29</f>
        <v>公共配套设施</v>
      </c>
      <c r="AA29" s="1575">
        <f>D29/F29</f>
        <v>0.970873786407767</v>
      </c>
      <c r="AB29" s="1575">
        <f>D29/H29</f>
        <v>1</v>
      </c>
      <c r="AC29" s="1575">
        <f>D29/J29</f>
        <v>0.970873786407767</v>
      </c>
    </row>
    <row r="30" spans="1:29" s="1219" customFormat="1" ht="20.25">
      <c r="A30" s="576"/>
      <c r="B30" s="565"/>
      <c r="C30" s="578" t="s">
        <v>3264</v>
      </c>
      <c r="D30" s="556"/>
      <c r="E30" s="575" t="s">
        <v>3265</v>
      </c>
      <c r="F30" s="554"/>
      <c r="G30" s="553" t="s">
        <v>3264</v>
      </c>
      <c r="H30" s="554"/>
      <c r="I30" s="575" t="s">
        <v>3265</v>
      </c>
      <c r="J30" s="554"/>
      <c r="K30" s="530"/>
      <c r="L30" s="2133"/>
      <c r="M30" s="2130"/>
      <c r="N30" s="2130"/>
      <c r="O30" s="2135"/>
      <c r="P30" s="3510"/>
      <c r="Q30" s="1150"/>
      <c r="R30" s="1567"/>
      <c r="S30" s="1568"/>
      <c r="T30" s="1567"/>
      <c r="U30" s="1568"/>
      <c r="V30" s="1567"/>
      <c r="W30" s="1568"/>
      <c r="X30" s="1569"/>
      <c r="Y30" s="3510"/>
      <c r="Z30" s="1149"/>
      <c r="AA30" s="1575">
        <v>1</v>
      </c>
      <c r="AB30" s="1575">
        <v>1</v>
      </c>
      <c r="AC30" s="1575">
        <v>1</v>
      </c>
    </row>
    <row r="31" spans="1:29" s="1219" customFormat="1" ht="20.25">
      <c r="A31" s="576"/>
      <c r="B31" s="2589" t="s">
        <v>2547</v>
      </c>
      <c r="C31" s="572" t="str">
        <f>估价对象房地状况!C22</f>
        <v>七通</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3"/>
      <c r="M31" s="2130"/>
      <c r="N31" s="2130"/>
      <c r="O31" s="2135"/>
      <c r="P31" s="3510"/>
      <c r="Q31" s="2576" t="str">
        <f>B31</f>
        <v>基础设施水平</v>
      </c>
      <c r="R31" s="1567" t="s">
        <v>8</v>
      </c>
      <c r="S31" s="1568">
        <f>F31</f>
        <v>100</v>
      </c>
      <c r="T31" s="1567" t="s">
        <v>8</v>
      </c>
      <c r="U31" s="1568">
        <f>H31</f>
        <v>100</v>
      </c>
      <c r="V31" s="1567" t="s">
        <v>8</v>
      </c>
      <c r="W31" s="1568">
        <f>J31</f>
        <v>100</v>
      </c>
      <c r="X31" s="1569"/>
      <c r="Y31" s="3510"/>
      <c r="Z31" s="2573" t="str">
        <f>Q31</f>
        <v>基础设施水平</v>
      </c>
      <c r="AA31" s="1575">
        <f>D31/F31</f>
        <v>1</v>
      </c>
      <c r="AB31" s="1575">
        <f>D31/H31</f>
        <v>1</v>
      </c>
      <c r="AC31" s="1575">
        <f>D31/J31</f>
        <v>1</v>
      </c>
    </row>
    <row r="32" spans="1:29" s="1219" customFormat="1" ht="20.25">
      <c r="A32" s="576"/>
      <c r="B32" s="565"/>
      <c r="C32" s="578" t="s">
        <v>3262</v>
      </c>
      <c r="D32" s="556"/>
      <c r="E32" s="2590" t="s">
        <v>3262</v>
      </c>
      <c r="F32" s="554"/>
      <c r="G32" s="578" t="s">
        <v>3262</v>
      </c>
      <c r="H32" s="554"/>
      <c r="I32" s="578" t="s">
        <v>3262</v>
      </c>
      <c r="J32" s="554"/>
      <c r="K32" s="530"/>
      <c r="L32" s="2133"/>
      <c r="M32" s="2130"/>
      <c r="N32" s="2130"/>
      <c r="O32" s="2135"/>
      <c r="P32" s="3510"/>
      <c r="Q32" s="2576"/>
      <c r="R32" s="1567"/>
      <c r="S32" s="1568"/>
      <c r="T32" s="1567"/>
      <c r="U32" s="1568"/>
      <c r="V32" s="1567"/>
      <c r="W32" s="1568"/>
      <c r="X32" s="1569"/>
      <c r="Y32" s="3510"/>
      <c r="Z32" s="2573"/>
      <c r="AA32" s="1575">
        <v>1</v>
      </c>
      <c r="AB32" s="1575">
        <v>1</v>
      </c>
      <c r="AC32" s="1575">
        <v>1</v>
      </c>
    </row>
    <row r="33" spans="1:29" ht="20.25">
      <c r="A33" s="531"/>
      <c r="B33" s="565" t="s">
        <v>547</v>
      </c>
      <c r="C33" s="579" t="s">
        <v>3203</v>
      </c>
      <c r="D33" s="574">
        <v>100</v>
      </c>
      <c r="E33" s="582" t="s">
        <v>3216</v>
      </c>
      <c r="F33" s="539">
        <f>SUMIF(106:106,E33,107:107)-SUMIF(106:106,C33,107:107)+100</f>
        <v>98</v>
      </c>
      <c r="G33" s="579" t="s">
        <v>3216</v>
      </c>
      <c r="H33" s="539">
        <f>SUMIF(106:106,G33,107:107)-SUMIF(106:106,C33,107:107)+100</f>
        <v>98</v>
      </c>
      <c r="I33" s="579" t="s">
        <v>3216</v>
      </c>
      <c r="J33" s="539">
        <f>SUMIF(106:106,I33,107:107)-SUMIF(106:106,C33,107:107)+100</f>
        <v>98</v>
      </c>
      <c r="K33" s="534">
        <v>1</v>
      </c>
      <c r="L33" s="2140"/>
      <c r="M33" s="2130"/>
      <c r="N33" s="2130"/>
      <c r="O33" s="2139"/>
      <c r="P33" s="3510"/>
      <c r="Q33" s="1571" t="str">
        <f t="shared" si="8"/>
        <v>临街状况</v>
      </c>
      <c r="R33" s="1572" t="s">
        <v>8</v>
      </c>
      <c r="S33" s="1573">
        <f t="shared" ref="S33:S47" si="9">F33</f>
        <v>98</v>
      </c>
      <c r="T33" s="1572" t="s">
        <v>8</v>
      </c>
      <c r="U33" s="1573">
        <f t="shared" ref="U33:U47" si="10">H33</f>
        <v>98</v>
      </c>
      <c r="V33" s="1572" t="s">
        <v>8</v>
      </c>
      <c r="W33" s="1573">
        <f t="shared" ref="W33:W47" si="11">J33</f>
        <v>98</v>
      </c>
      <c r="X33" s="1566"/>
      <c r="Y33" s="3510"/>
      <c r="Z33" s="1574" t="str">
        <f t="shared" ref="Z33:Z47" si="12">Q33</f>
        <v>临街状况</v>
      </c>
      <c r="AA33" s="1575">
        <f t="shared" si="3"/>
        <v>1.0204081632653061</v>
      </c>
      <c r="AB33" s="1575">
        <f t="shared" si="4"/>
        <v>1.0204081632653061</v>
      </c>
      <c r="AC33" s="1575">
        <f t="shared" si="5"/>
        <v>1.0204081632653061</v>
      </c>
    </row>
    <row r="34" spans="1:29" ht="27">
      <c r="A34" s="531"/>
      <c r="B34" s="3221" t="s">
        <v>548</v>
      </c>
      <c r="C34" s="561"/>
      <c r="D34" s="562">
        <v>100</v>
      </c>
      <c r="E34" s="563"/>
      <c r="F34" s="558">
        <f>SUMIF(108:108,E35,109:109)-SUMIF(108:108,C35,109:109)+100</f>
        <v>99</v>
      </c>
      <c r="G34" s="561"/>
      <c r="H34" s="558">
        <f>SUMIF(108:108,G35,109:109)-SUMIF(108:108,C35,109:109)+100</f>
        <v>99</v>
      </c>
      <c r="I34" s="563"/>
      <c r="J34" s="558">
        <f>SUMIF(108:108,I35,109:109)-SUMIF(108:108,C35,109:109)+100</f>
        <v>99</v>
      </c>
      <c r="K34" s="534">
        <v>1</v>
      </c>
      <c r="L34" s="2140"/>
      <c r="M34" s="2130"/>
      <c r="N34" s="2130"/>
      <c r="O34" s="2139"/>
      <c r="P34" s="3510"/>
      <c r="Q34" s="1571" t="str">
        <f t="shared" si="8"/>
        <v>毗邻道路的类型与等级</v>
      </c>
      <c r="R34" s="1572" t="s">
        <v>8</v>
      </c>
      <c r="S34" s="1573">
        <f t="shared" si="9"/>
        <v>99</v>
      </c>
      <c r="T34" s="1572" t="s">
        <v>8</v>
      </c>
      <c r="U34" s="1573">
        <f t="shared" si="10"/>
        <v>99</v>
      </c>
      <c r="V34" s="1572" t="s">
        <v>8</v>
      </c>
      <c r="W34" s="1573">
        <f t="shared" si="11"/>
        <v>99</v>
      </c>
      <c r="X34" s="1566"/>
      <c r="Y34" s="3510"/>
      <c r="Z34" s="1574" t="str">
        <f t="shared" si="12"/>
        <v>毗邻道路的类型与等级</v>
      </c>
      <c r="AA34" s="1575">
        <f t="shared" si="3"/>
        <v>1.0101010101010102</v>
      </c>
      <c r="AB34" s="1575">
        <f t="shared" si="4"/>
        <v>1.0101010101010102</v>
      </c>
      <c r="AC34" s="1575">
        <f t="shared" si="5"/>
        <v>1.0101010101010102</v>
      </c>
    </row>
    <row r="35" spans="1:29" ht="21" thickBot="1">
      <c r="A35" s="531"/>
      <c r="B35" s="565"/>
      <c r="C35" s="553" t="s">
        <v>3267</v>
      </c>
      <c r="D35" s="556"/>
      <c r="E35" s="575" t="s">
        <v>3239</v>
      </c>
      <c r="F35" s="554"/>
      <c r="G35" s="553" t="s">
        <v>3239</v>
      </c>
      <c r="H35" s="554"/>
      <c r="I35" s="575" t="s">
        <v>3239</v>
      </c>
      <c r="J35" s="554"/>
      <c r="K35" s="580"/>
      <c r="L35" s="2140"/>
      <c r="M35" s="2130"/>
      <c r="N35" s="2130"/>
      <c r="O35" s="2139"/>
      <c r="P35" s="3510"/>
      <c r="Q35" s="1571"/>
      <c r="R35" s="1572"/>
      <c r="S35" s="1573"/>
      <c r="T35" s="1572"/>
      <c r="U35" s="1573"/>
      <c r="V35" s="1572"/>
      <c r="W35" s="1573"/>
      <c r="X35" s="1566"/>
      <c r="Y35" s="3510"/>
      <c r="Z35" s="1574"/>
      <c r="AA35" s="1575">
        <v>1</v>
      </c>
      <c r="AB35" s="1575">
        <v>1</v>
      </c>
      <c r="AC35" s="1575">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0"/>
      <c r="M36" s="2130"/>
      <c r="N36" s="2130"/>
      <c r="O36" s="2139"/>
      <c r="P36" s="3510"/>
      <c r="Q36" s="1571" t="str">
        <f t="shared" si="8"/>
        <v>土地级别</v>
      </c>
      <c r="R36" s="1572" t="s">
        <v>8</v>
      </c>
      <c r="S36" s="1573">
        <f t="shared" si="9"/>
        <v>100</v>
      </c>
      <c r="T36" s="1572" t="s">
        <v>8</v>
      </c>
      <c r="U36" s="1573">
        <f t="shared" si="10"/>
        <v>100</v>
      </c>
      <c r="V36" s="1572" t="s">
        <v>8</v>
      </c>
      <c r="W36" s="1573">
        <f t="shared" si="11"/>
        <v>100</v>
      </c>
      <c r="X36" s="1566"/>
      <c r="Y36" s="3510"/>
      <c r="Z36" s="1574" t="str">
        <f t="shared" si="12"/>
        <v>土地级别</v>
      </c>
      <c r="AA36" s="1575">
        <f t="shared" si="3"/>
        <v>1</v>
      </c>
      <c r="AB36" s="1575">
        <f t="shared" si="4"/>
        <v>1</v>
      </c>
      <c r="AC36" s="1575">
        <f t="shared" si="5"/>
        <v>1</v>
      </c>
    </row>
    <row r="37" spans="1:29" ht="20.25" hidden="1">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0"/>
      <c r="M37" s="2130"/>
      <c r="N37" s="2130"/>
      <c r="O37" s="2139"/>
      <c r="P37" s="3510"/>
      <c r="Q37" s="1571">
        <f t="shared" si="8"/>
        <v>0</v>
      </c>
      <c r="R37" s="1572" t="s">
        <v>8</v>
      </c>
      <c r="S37" s="1573">
        <f t="shared" si="9"/>
        <v>100</v>
      </c>
      <c r="T37" s="1572" t="s">
        <v>8</v>
      </c>
      <c r="U37" s="1573">
        <f t="shared" si="10"/>
        <v>100</v>
      </c>
      <c r="V37" s="1572" t="s">
        <v>8</v>
      </c>
      <c r="W37" s="1573">
        <f t="shared" si="11"/>
        <v>100</v>
      </c>
      <c r="X37" s="1566"/>
      <c r="Y37" s="3510"/>
      <c r="Z37" s="1574">
        <f t="shared" si="12"/>
        <v>0</v>
      </c>
      <c r="AA37" s="1575">
        <f t="shared" si="3"/>
        <v>1</v>
      </c>
      <c r="AB37" s="1575">
        <f t="shared" si="4"/>
        <v>1</v>
      </c>
      <c r="AC37" s="1575">
        <f t="shared" si="5"/>
        <v>1</v>
      </c>
    </row>
    <row r="38" spans="1:29" ht="20.25" hidden="1">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0"/>
      <c r="M38" s="2130"/>
      <c r="N38" s="2130"/>
      <c r="O38" s="2139"/>
      <c r="P38" s="3511" t="s">
        <v>550</v>
      </c>
      <c r="Q38" s="1571">
        <f t="shared" si="8"/>
        <v>0</v>
      </c>
      <c r="R38" s="1572" t="s">
        <v>8</v>
      </c>
      <c r="S38" s="1573">
        <f t="shared" si="9"/>
        <v>100</v>
      </c>
      <c r="T38" s="1572" t="s">
        <v>8</v>
      </c>
      <c r="U38" s="1573">
        <f t="shared" si="10"/>
        <v>100</v>
      </c>
      <c r="V38" s="1572" t="s">
        <v>8</v>
      </c>
      <c r="W38" s="1573">
        <f t="shared" si="11"/>
        <v>100</v>
      </c>
      <c r="X38" s="1566"/>
      <c r="Y38" s="3512" t="s">
        <v>550</v>
      </c>
      <c r="Z38" s="1574">
        <f t="shared" si="12"/>
        <v>0</v>
      </c>
      <c r="AA38" s="1575">
        <f t="shared" si="3"/>
        <v>1</v>
      </c>
      <c r="AB38" s="1575">
        <f t="shared" si="4"/>
        <v>1</v>
      </c>
      <c r="AC38" s="1575">
        <f t="shared" si="5"/>
        <v>1</v>
      </c>
    </row>
    <row r="39" spans="1:29" s="1338" customFormat="1" ht="21" hidden="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8"/>
      <c r="M39" s="2130"/>
      <c r="N39" s="2130"/>
      <c r="O39" s="2141"/>
      <c r="P39" s="3512"/>
      <c r="Q39" s="1571">
        <f t="shared" si="8"/>
        <v>0</v>
      </c>
      <c r="R39" s="1576" t="s">
        <v>8</v>
      </c>
      <c r="S39" s="1577">
        <f t="shared" si="9"/>
        <v>100</v>
      </c>
      <c r="T39" s="1576" t="s">
        <v>8</v>
      </c>
      <c r="U39" s="1577">
        <f t="shared" si="10"/>
        <v>100</v>
      </c>
      <c r="V39" s="1576" t="s">
        <v>8</v>
      </c>
      <c r="W39" s="1577">
        <f t="shared" si="11"/>
        <v>100</v>
      </c>
      <c r="X39" s="1578"/>
      <c r="Y39" s="3512"/>
      <c r="Z39" s="1579">
        <f t="shared" si="12"/>
        <v>0</v>
      </c>
      <c r="AA39" s="1575">
        <f t="shared" si="3"/>
        <v>1</v>
      </c>
      <c r="AB39" s="1575">
        <f t="shared" si="4"/>
        <v>1</v>
      </c>
      <c r="AC39" s="1575">
        <f t="shared" si="5"/>
        <v>1</v>
      </c>
    </row>
    <row r="40" spans="1:29" ht="20.25">
      <c r="A40" s="2905" t="s">
        <v>2752</v>
      </c>
      <c r="B40" s="594" t="s">
        <v>552</v>
      </c>
      <c r="C40" s="595">
        <f>'数据-汇总表'!D3</f>
        <v>64089.62</v>
      </c>
      <c r="D40" s="596">
        <v>100</v>
      </c>
      <c r="E40" s="595">
        <f>土地案例!D2</f>
        <v>36365.370000000003</v>
      </c>
      <c r="F40" s="596">
        <f>LOOKUP(E40,119:119,120:120)-LOOKUP(C40,119:119,120:120)+100</f>
        <v>98</v>
      </c>
      <c r="G40" s="595">
        <f>土地案例!D3</f>
        <v>151738.6</v>
      </c>
      <c r="H40" s="596">
        <f>LOOKUP(G40,119:119,120:120)-LOOKUP(C40,119:119,120:120)+100</f>
        <v>104</v>
      </c>
      <c r="I40" s="597">
        <f>土地案例!D5</f>
        <v>65602.95</v>
      </c>
      <c r="J40" s="596">
        <f>LOOKUP(I40,119:119,120:120)-LOOKUP(C40,119:119,120:120)+100</f>
        <v>100</v>
      </c>
      <c r="K40" s="580"/>
      <c r="L40" s="2140"/>
      <c r="M40" s="2130"/>
      <c r="N40" s="2130"/>
      <c r="O40" s="2139"/>
      <c r="P40" s="3512"/>
      <c r="Q40" s="1571" t="str">
        <f>B40</f>
        <v>宗地面积</v>
      </c>
      <c r="R40" s="1572" t="s">
        <v>8</v>
      </c>
      <c r="S40" s="1573">
        <f t="shared" si="9"/>
        <v>98</v>
      </c>
      <c r="T40" s="1572" t="s">
        <v>8</v>
      </c>
      <c r="U40" s="1573">
        <f t="shared" si="10"/>
        <v>104</v>
      </c>
      <c r="V40" s="1572" t="s">
        <v>8</v>
      </c>
      <c r="W40" s="1573">
        <f t="shared" si="11"/>
        <v>100</v>
      </c>
      <c r="X40" s="1566"/>
      <c r="Y40" s="3512"/>
      <c r="Z40" s="1574" t="str">
        <f t="shared" si="12"/>
        <v>宗地面积</v>
      </c>
      <c r="AA40" s="1575">
        <f t="shared" si="3"/>
        <v>1.0204081632653061</v>
      </c>
      <c r="AB40" s="1575">
        <f t="shared" si="4"/>
        <v>0.96153846153846156</v>
      </c>
      <c r="AC40" s="1575">
        <f t="shared" si="5"/>
        <v>1</v>
      </c>
    </row>
    <row r="41" spans="1:29" ht="20.25">
      <c r="A41" s="593"/>
      <c r="B41" s="526" t="s">
        <v>553</v>
      </c>
      <c r="C41" s="598" t="s">
        <v>3240</v>
      </c>
      <c r="D41" s="539">
        <v>100</v>
      </c>
      <c r="E41" s="598" t="s">
        <v>3241</v>
      </c>
      <c r="F41" s="539">
        <f>SUMIF(121:121,E41,122:122)-SUMIF(121:121,C41,122:122)+100</f>
        <v>97</v>
      </c>
      <c r="G41" s="598" t="s">
        <v>3263</v>
      </c>
      <c r="H41" s="539">
        <f>SUMIF(121:121,G41,122:122)-SUMIF(121:121,C41,122:122)+100</f>
        <v>94</v>
      </c>
      <c r="I41" s="598" t="s">
        <v>3241</v>
      </c>
      <c r="J41" s="539">
        <f>SUMIF(121:121,I41,122:122)-SUMIF(121:121,C41,122:122)+100</f>
        <v>97</v>
      </c>
      <c r="K41" s="583">
        <v>3</v>
      </c>
      <c r="L41" s="2140"/>
      <c r="M41" s="2130"/>
      <c r="N41" s="2130"/>
      <c r="O41" s="2139"/>
      <c r="P41" s="3512"/>
      <c r="Q41" s="1571" t="str">
        <f t="shared" ref="Q41:Q47" si="13">B41</f>
        <v>宗地形状</v>
      </c>
      <c r="R41" s="1572" t="s">
        <v>8</v>
      </c>
      <c r="S41" s="1573">
        <f t="shared" si="9"/>
        <v>97</v>
      </c>
      <c r="T41" s="1572" t="s">
        <v>8</v>
      </c>
      <c r="U41" s="1573">
        <f t="shared" si="10"/>
        <v>94</v>
      </c>
      <c r="V41" s="1572" t="s">
        <v>8</v>
      </c>
      <c r="W41" s="1573">
        <f t="shared" si="11"/>
        <v>97</v>
      </c>
      <c r="X41" s="1566"/>
      <c r="Y41" s="3512"/>
      <c r="Z41" s="1574" t="str">
        <f t="shared" si="12"/>
        <v>宗地形状</v>
      </c>
      <c r="AA41" s="1575">
        <f t="shared" si="3"/>
        <v>1.0309278350515463</v>
      </c>
      <c r="AB41" s="1575">
        <f t="shared" si="4"/>
        <v>1.0638297872340425</v>
      </c>
      <c r="AC41" s="1575">
        <f t="shared" si="5"/>
        <v>1.0309278350515463</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40"/>
      <c r="M42" s="2130"/>
      <c r="N42" s="2130"/>
      <c r="O42" s="2139"/>
      <c r="P42" s="3512"/>
      <c r="Q42" s="1571" t="str">
        <f t="shared" si="13"/>
        <v>临街宽度及深度</v>
      </c>
      <c r="R42" s="1572" t="s">
        <v>8</v>
      </c>
      <c r="S42" s="1573">
        <f t="shared" si="9"/>
        <v>100</v>
      </c>
      <c r="T42" s="1572" t="s">
        <v>8</v>
      </c>
      <c r="U42" s="1573">
        <f t="shared" si="10"/>
        <v>100</v>
      </c>
      <c r="V42" s="1572" t="s">
        <v>8</v>
      </c>
      <c r="W42" s="1573">
        <f t="shared" si="11"/>
        <v>100</v>
      </c>
      <c r="X42" s="1566"/>
      <c r="Y42" s="3512"/>
      <c r="Z42" s="1574" t="str">
        <f t="shared" si="12"/>
        <v>临街宽度及深度</v>
      </c>
      <c r="AA42" s="1575">
        <f t="shared" si="3"/>
        <v>1</v>
      </c>
      <c r="AB42" s="1575">
        <f t="shared" si="4"/>
        <v>1</v>
      </c>
      <c r="AC42" s="1575">
        <f t="shared" si="5"/>
        <v>1</v>
      </c>
    </row>
    <row r="43" spans="1:29" s="1219" customFormat="1" ht="20.25">
      <c r="A43" s="599"/>
      <c r="B43" s="1893" t="s">
        <v>2422</v>
      </c>
      <c r="C43" s="600" t="s">
        <v>3271</v>
      </c>
      <c r="D43" s="254">
        <v>100</v>
      </c>
      <c r="E43" s="600" t="s">
        <v>3054</v>
      </c>
      <c r="F43" s="539">
        <f>SUMIF(125:125,E43,126:126)-SUMIF(125:125,C43,126:126)+100</f>
        <v>99</v>
      </c>
      <c r="G43" s="600" t="s">
        <v>3049</v>
      </c>
      <c r="H43" s="539">
        <f>SUMIF(125:125,G43,126:126)-SUMIF(125:125,C43,126:126)+100</f>
        <v>103</v>
      </c>
      <c r="I43" s="600" t="s">
        <v>3054</v>
      </c>
      <c r="J43" s="539">
        <f>SUMIF(125:125,I43,126:126)-SUMIF(125:125,C43,126:126)+100</f>
        <v>99</v>
      </c>
      <c r="K43" s="583">
        <v>1</v>
      </c>
      <c r="L43" s="2133"/>
      <c r="M43" s="2130"/>
      <c r="N43" s="2130"/>
      <c r="O43" s="2135"/>
      <c r="P43" s="3512"/>
      <c r="Q43" s="1571" t="str">
        <f t="shared" si="13"/>
        <v>宗地开发程度</v>
      </c>
      <c r="R43" s="1567" t="s">
        <v>8</v>
      </c>
      <c r="S43" s="1568">
        <f t="shared" si="9"/>
        <v>99</v>
      </c>
      <c r="T43" s="1567" t="s">
        <v>8</v>
      </c>
      <c r="U43" s="1568">
        <f t="shared" si="10"/>
        <v>103</v>
      </c>
      <c r="V43" s="1567" t="s">
        <v>8</v>
      </c>
      <c r="W43" s="1568">
        <f t="shared" si="11"/>
        <v>99</v>
      </c>
      <c r="X43" s="1569"/>
      <c r="Y43" s="3512"/>
      <c r="Z43" s="1149" t="str">
        <f t="shared" si="12"/>
        <v>宗地开发程度</v>
      </c>
      <c r="AA43" s="1570">
        <f t="shared" si="3"/>
        <v>1.0101010101010102</v>
      </c>
      <c r="AB43" s="1570">
        <f t="shared" si="4"/>
        <v>0.970873786407767</v>
      </c>
      <c r="AC43" s="1570">
        <f t="shared" si="5"/>
        <v>1.0101010101010102</v>
      </c>
    </row>
    <row r="44" spans="1:29" ht="20.25">
      <c r="A44" s="593"/>
      <c r="B44" s="526" t="s">
        <v>555</v>
      </c>
      <c r="C44" s="598" t="s">
        <v>3272</v>
      </c>
      <c r="D44" s="539">
        <v>100</v>
      </c>
      <c r="E44" s="598" t="s">
        <v>3272</v>
      </c>
      <c r="F44" s="539">
        <f>SUMIF(127:127,E44,128:128)-SUMIF(127:127,C44,128:128)+100</f>
        <v>100</v>
      </c>
      <c r="G44" s="598" t="s">
        <v>3272</v>
      </c>
      <c r="H44" s="539">
        <f>SUMIF(127:127,G44,128:128)-SUMIF(127:127,C44,128:128)+100</f>
        <v>100</v>
      </c>
      <c r="I44" s="598" t="s">
        <v>3272</v>
      </c>
      <c r="J44" s="539">
        <f>SUMIF(127:127,I44,128:128)-SUMIF(127:127,C44,128:128)+100</f>
        <v>100</v>
      </c>
      <c r="K44" s="583">
        <v>1</v>
      </c>
      <c r="L44" s="2140"/>
      <c r="M44" s="2130"/>
      <c r="N44" s="2130"/>
      <c r="O44" s="2139"/>
      <c r="P44" s="3512" t="s">
        <v>550</v>
      </c>
      <c r="Q44" s="1571" t="str">
        <f t="shared" si="13"/>
        <v>工程地质条件</v>
      </c>
      <c r="R44" s="1572" t="s">
        <v>8</v>
      </c>
      <c r="S44" s="1573">
        <f t="shared" si="9"/>
        <v>100</v>
      </c>
      <c r="T44" s="1572" t="s">
        <v>8</v>
      </c>
      <c r="U44" s="1573">
        <f t="shared" si="10"/>
        <v>100</v>
      </c>
      <c r="V44" s="1572" t="s">
        <v>8</v>
      </c>
      <c r="W44" s="1573">
        <f t="shared" si="11"/>
        <v>100</v>
      </c>
      <c r="X44" s="1566"/>
      <c r="Y44" s="3512" t="s">
        <v>550</v>
      </c>
      <c r="Z44" s="1574" t="str">
        <f t="shared" si="12"/>
        <v>工程地质条件</v>
      </c>
      <c r="AA44" s="1575">
        <f t="shared" si="3"/>
        <v>1</v>
      </c>
      <c r="AB44" s="1575">
        <f t="shared" si="4"/>
        <v>1</v>
      </c>
      <c r="AC44" s="1575">
        <f t="shared" si="5"/>
        <v>1</v>
      </c>
    </row>
    <row r="45" spans="1:29" ht="20.25">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0"/>
      <c r="M45" s="2130"/>
      <c r="N45" s="2130"/>
      <c r="O45" s="2139"/>
      <c r="P45" s="3512"/>
      <c r="Q45" s="1571">
        <f t="shared" si="13"/>
        <v>0</v>
      </c>
      <c r="R45" s="1572" t="s">
        <v>8</v>
      </c>
      <c r="S45" s="1573">
        <f t="shared" si="9"/>
        <v>100</v>
      </c>
      <c r="T45" s="1572" t="s">
        <v>8</v>
      </c>
      <c r="U45" s="1573">
        <f t="shared" si="10"/>
        <v>100</v>
      </c>
      <c r="V45" s="1572" t="s">
        <v>8</v>
      </c>
      <c r="W45" s="1573">
        <f t="shared" si="11"/>
        <v>100</v>
      </c>
      <c r="X45" s="1566"/>
      <c r="Y45" s="3512"/>
      <c r="Z45" s="1574">
        <f t="shared" si="12"/>
        <v>0</v>
      </c>
      <c r="AA45" s="1575">
        <f t="shared" si="3"/>
        <v>1</v>
      </c>
      <c r="AB45" s="1575">
        <f t="shared" si="4"/>
        <v>1</v>
      </c>
      <c r="AC45" s="1575">
        <f t="shared" si="5"/>
        <v>1</v>
      </c>
    </row>
    <row r="46" spans="1:29" ht="20.25">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0"/>
      <c r="M46" s="2130"/>
      <c r="N46" s="2130"/>
      <c r="O46" s="2139"/>
      <c r="P46" s="3512"/>
      <c r="Q46" s="1571">
        <f t="shared" si="13"/>
        <v>0</v>
      </c>
      <c r="R46" s="1572" t="s">
        <v>8</v>
      </c>
      <c r="S46" s="1573">
        <f t="shared" si="9"/>
        <v>100</v>
      </c>
      <c r="T46" s="1572" t="s">
        <v>8</v>
      </c>
      <c r="U46" s="1573">
        <f t="shared" si="10"/>
        <v>100</v>
      </c>
      <c r="V46" s="1572" t="s">
        <v>8</v>
      </c>
      <c r="W46" s="1573">
        <f t="shared" si="11"/>
        <v>100</v>
      </c>
      <c r="X46" s="1566"/>
      <c r="Y46" s="3512"/>
      <c r="Z46" s="1574">
        <f t="shared" si="12"/>
        <v>0</v>
      </c>
      <c r="AA46" s="1575">
        <f t="shared" si="3"/>
        <v>1</v>
      </c>
      <c r="AB46" s="1575">
        <f t="shared" si="4"/>
        <v>1</v>
      </c>
      <c r="AC46" s="1575">
        <f t="shared" si="5"/>
        <v>1</v>
      </c>
    </row>
    <row r="47" spans="1:29" s="1338" customFormat="1" ht="2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8"/>
      <c r="M47" s="2130"/>
      <c r="N47" s="2130"/>
      <c r="O47" s="2141"/>
      <c r="P47" s="3512"/>
      <c r="Q47" s="1571">
        <f t="shared" si="13"/>
        <v>0</v>
      </c>
      <c r="R47" s="1576" t="s">
        <v>8</v>
      </c>
      <c r="S47" s="1577">
        <f t="shared" si="9"/>
        <v>100</v>
      </c>
      <c r="T47" s="1576" t="s">
        <v>8</v>
      </c>
      <c r="U47" s="1577">
        <f t="shared" si="10"/>
        <v>100</v>
      </c>
      <c r="V47" s="1576" t="s">
        <v>8</v>
      </c>
      <c r="W47" s="1577">
        <f t="shared" si="11"/>
        <v>100</v>
      </c>
      <c r="X47" s="1578"/>
      <c r="Y47" s="3512"/>
      <c r="Z47" s="1579">
        <f t="shared" si="12"/>
        <v>0</v>
      </c>
      <c r="AA47" s="1575">
        <f t="shared" si="3"/>
        <v>1</v>
      </c>
      <c r="AB47" s="1575">
        <f t="shared" si="4"/>
        <v>1</v>
      </c>
      <c r="AC47" s="1575">
        <f t="shared" si="5"/>
        <v>1</v>
      </c>
    </row>
    <row r="48" spans="1:29" ht="20.25">
      <c r="A48" s="606" t="s">
        <v>556</v>
      </c>
      <c r="B48" s="607" t="s">
        <v>3214</v>
      </c>
      <c r="C48" s="608" t="s">
        <v>1</v>
      </c>
      <c r="D48" s="609"/>
      <c r="E48" s="3222">
        <f>ROUND(土地案例!K2,0)</f>
        <v>39720</v>
      </c>
      <c r="F48" s="3223"/>
      <c r="G48" s="3224">
        <f>ROUND(土地案例!K3,0)</f>
        <v>44981</v>
      </c>
      <c r="H48" s="3225"/>
      <c r="I48" s="3222">
        <f>ROUND(土地案例!K5,0)</f>
        <v>41193</v>
      </c>
      <c r="J48" s="613"/>
      <c r="K48" s="1339"/>
      <c r="L48" s="2142"/>
      <c r="M48" s="2130"/>
      <c r="N48" s="2130"/>
      <c r="O48" s="2143"/>
      <c r="P48" s="3507" t="str">
        <f>A48</f>
        <v>成交单价</v>
      </c>
      <c r="Q48" s="3507"/>
      <c r="R48" s="3521">
        <f>E48</f>
        <v>39720</v>
      </c>
      <c r="S48" s="3521"/>
      <c r="T48" s="3521">
        <f>G48</f>
        <v>44981</v>
      </c>
      <c r="U48" s="3521"/>
      <c r="V48" s="3521">
        <f>I48</f>
        <v>41193</v>
      </c>
      <c r="W48" s="3521"/>
      <c r="X48" s="1558"/>
      <c r="Y48" s="1580"/>
      <c r="Z48" s="1558"/>
      <c r="AA48" s="1558"/>
      <c r="AB48" s="1558"/>
      <c r="AC48" s="1558"/>
    </row>
    <row r="49" spans="1:29" ht="21" thickBot="1">
      <c r="A49" s="614" t="s">
        <v>2690</v>
      </c>
      <c r="B49" s="615"/>
      <c r="C49" s="616">
        <f>R50</f>
        <v>42142</v>
      </c>
      <c r="D49" s="617"/>
      <c r="E49" s="3226">
        <f>R49</f>
        <v>40003</v>
      </c>
      <c r="F49" s="3227"/>
      <c r="G49" s="3228">
        <f>T49</f>
        <v>45145</v>
      </c>
      <c r="H49" s="3229"/>
      <c r="I49" s="3226">
        <f>V49</f>
        <v>41279</v>
      </c>
      <c r="J49" s="617"/>
      <c r="K49" s="1340"/>
      <c r="L49" s="2142"/>
      <c r="M49" s="2130"/>
      <c r="N49" s="2130"/>
      <c r="O49" s="2143"/>
      <c r="P49" s="3507" t="str">
        <f>A49</f>
        <v>比较价格（元/平方米）</v>
      </c>
      <c r="Q49" s="3507"/>
      <c r="R49" s="3531">
        <f>ROUND(PRODUCT(R48,AA9:AA47),0)</f>
        <v>40003</v>
      </c>
      <c r="S49" s="3531"/>
      <c r="T49" s="3531">
        <f>ROUND(PRODUCT(T48,AB9:AB47),0)</f>
        <v>45145</v>
      </c>
      <c r="U49" s="3531"/>
      <c r="V49" s="3531">
        <f>ROUND(PRODUCT(V48,AC9:AC47),0)</f>
        <v>41279</v>
      </c>
      <c r="W49" s="3531"/>
      <c r="X49" s="1558"/>
      <c r="Y49" s="1558"/>
      <c r="Z49" s="1558"/>
      <c r="AA49" s="1558"/>
      <c r="AB49" s="1558"/>
      <c r="AC49" s="1558"/>
    </row>
    <row r="50" spans="1:29" ht="21" thickBot="1">
      <c r="A50" s="620" t="s">
        <v>3215</v>
      </c>
      <c r="B50" s="621"/>
      <c r="C50" s="622">
        <f>R50</f>
        <v>42142</v>
      </c>
      <c r="D50" s="622"/>
      <c r="E50" s="622"/>
      <c r="F50" s="622"/>
      <c r="G50" s="622"/>
      <c r="H50" s="622"/>
      <c r="I50" s="622"/>
      <c r="J50" s="622"/>
      <c r="K50" s="1341"/>
      <c r="L50" s="2142"/>
      <c r="M50" s="2130"/>
      <c r="N50" s="2130"/>
      <c r="O50" s="2143"/>
      <c r="P50" s="3528" t="str">
        <f>A50</f>
        <v>估价对象比较价格（楼面单价，元/平方米）</v>
      </c>
      <c r="Q50" s="3529"/>
      <c r="R50" s="3530">
        <f>ROUND(AVERAGE(R49:V49),0)</f>
        <v>42142</v>
      </c>
      <c r="S50" s="3530"/>
      <c r="T50" s="3530"/>
      <c r="U50" s="3530"/>
      <c r="V50" s="3530"/>
      <c r="W50" s="3530"/>
      <c r="X50" s="1558"/>
      <c r="Y50" s="1558"/>
      <c r="Z50" s="1558"/>
      <c r="AA50" s="1558"/>
      <c r="AB50" s="1558"/>
      <c r="AC50" s="1558"/>
    </row>
    <row r="51" spans="1:29" ht="20.25">
      <c r="A51" s="2143"/>
      <c r="B51" s="2143"/>
      <c r="C51" s="2143"/>
      <c r="D51" s="2143"/>
      <c r="E51" s="2143"/>
      <c r="F51" s="2143"/>
      <c r="G51" s="2146"/>
      <c r="H51" s="2143"/>
      <c r="I51" s="2143"/>
      <c r="J51" s="2143"/>
      <c r="K51" s="2147"/>
      <c r="L51" s="2148"/>
      <c r="M51" s="2130"/>
      <c r="N51" s="2130"/>
      <c r="O51" s="2143"/>
      <c r="P51" s="1558"/>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8"/>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f>IF(E48&lt;E49,E49/E48-1,E48/E49-1)</f>
        <v>7.124874118831892E-3</v>
      </c>
      <c r="F53" s="626" t="str">
        <f>IF(OR(E53&gt;=0.3,E53&lt;=-0.3),"超过30%","")</f>
        <v/>
      </c>
      <c r="G53" s="625">
        <f>IF(G48&lt;G49,G49/G48-1,G48/G49-1)</f>
        <v>3.6459838598519312E-3</v>
      </c>
      <c r="H53" s="626" t="str">
        <f>IF(OR(G53&gt;=0.3,G53&lt;=-0.3),"超过30%","")</f>
        <v/>
      </c>
      <c r="I53" s="625">
        <f>IF(I48&lt;I49,I49/I48-1,I48/I49-1)</f>
        <v>2.0877333527540287E-3</v>
      </c>
      <c r="J53" s="626" t="str">
        <f>IF(OR(I53&gt;=0.3,I53&lt;=-0.3),"超过30%","")</f>
        <v/>
      </c>
      <c r="K53" s="2147"/>
      <c r="L53" s="2148"/>
      <c r="M53" s="2130"/>
      <c r="N53" s="2130"/>
      <c r="O53" s="2143"/>
      <c r="P53" s="1558"/>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f>IF(E49&lt;G49,G49/E49-1,E49/G49-1)</f>
        <v>0.12854035947303943</v>
      </c>
      <c r="F54" s="626" t="str">
        <f>IF(OR(E54&gt;=0.2,E54&lt;=-0.2),"超过20%","")</f>
        <v/>
      </c>
      <c r="G54" s="625">
        <f>IF(G49&lt;I49,I49/G49-1,G49/I49-1)</f>
        <v>9.365536955837106E-2</v>
      </c>
      <c r="H54" s="626" t="str">
        <f>IF(OR(G54&gt;=0.2,G54&lt;=-0.2),"超过20%","")</f>
        <v/>
      </c>
      <c r="I54" s="625">
        <f>IF(I49&lt;E49,E49/I49-1,I49/E49-1)</f>
        <v>3.1897607679423956E-2</v>
      </c>
      <c r="J54" s="626" t="str">
        <f>IF(OR(I54&gt;=0.2,I54&lt;=-0.2),"超过20%","")</f>
        <v/>
      </c>
      <c r="K54" s="2147"/>
      <c r="L54" s="2148"/>
      <c r="M54" s="2130"/>
      <c r="N54" s="2130"/>
      <c r="O54" s="2143"/>
      <c r="P54" s="1558"/>
      <c r="Q54" s="2143"/>
      <c r="R54" s="2143"/>
      <c r="S54" s="2143"/>
      <c r="T54" s="2143"/>
      <c r="U54" s="2143"/>
      <c r="V54" s="2143"/>
      <c r="W54" s="2143"/>
      <c r="X54" s="2143"/>
      <c r="Y54" s="2143"/>
      <c r="Z54" s="2143"/>
      <c r="AA54" s="2143"/>
      <c r="AB54" s="2143"/>
      <c r="AC54" s="2143"/>
    </row>
    <row r="55" spans="1:29" s="1344" customFormat="1" ht="13.5" customHeight="1">
      <c r="A55" s="2144"/>
      <c r="B55" s="2144"/>
      <c r="C55" s="623" t="s">
        <v>559</v>
      </c>
      <c r="D55" s="627"/>
      <c r="E55" s="625">
        <f>IF(E48&lt;G48,G48/E48-1,E48/G48-1)</f>
        <v>0.13245216515609259</v>
      </c>
      <c r="F55" s="626" t="str">
        <f>IF(OR(E55&gt;=0.3,E55&lt;=-0.3),"超过30%","")</f>
        <v/>
      </c>
      <c r="G55" s="625">
        <f>IF(G48&lt;I48,I48/G48-1,G48/I48-1)</f>
        <v>9.1957371398053045E-2</v>
      </c>
      <c r="H55" s="626" t="str">
        <f>IF(OR(G55&gt;=0.3,G55&lt;=-0.3),"超过30%","")</f>
        <v/>
      </c>
      <c r="I55" s="625">
        <f>IF(I48&lt;E48,E48/I48-1,I48/E48-1)</f>
        <v>3.7084592145015138E-2</v>
      </c>
      <c r="J55" s="626" t="str">
        <f>IF(OR(I55&gt;=0.3,I55&lt;=-0.3),"超过30%","")</f>
        <v/>
      </c>
      <c r="K55" s="2150"/>
      <c r="L55" s="2151"/>
      <c r="M55" s="2130"/>
      <c r="N55" s="2130"/>
      <c r="O55" s="2144"/>
      <c r="P55" s="1556"/>
      <c r="Q55" s="2144"/>
      <c r="R55" s="2144"/>
      <c r="S55" s="2144"/>
      <c r="T55" s="2144"/>
      <c r="U55" s="2144"/>
      <c r="V55" s="2144"/>
      <c r="W55" s="2144"/>
      <c r="X55" s="2144"/>
      <c r="Y55" s="2144"/>
      <c r="Z55" s="2144"/>
      <c r="AA55" s="2144"/>
      <c r="AB55" s="2144"/>
      <c r="AC55" s="2144"/>
    </row>
    <row r="56" spans="1:29" s="1344" customFormat="1" ht="21" thickBot="1">
      <c r="A56" s="2144"/>
      <c r="B56" s="2145"/>
      <c r="C56" s="2149"/>
      <c r="D56" s="2144"/>
      <c r="E56" s="2144"/>
      <c r="F56" s="2144"/>
      <c r="G56" s="2144"/>
      <c r="H56" s="2144"/>
      <c r="I56" s="2144"/>
      <c r="J56" s="2144"/>
      <c r="K56" s="2150"/>
      <c r="L56" s="2151"/>
      <c r="M56" s="2130"/>
      <c r="N56" s="2130"/>
      <c r="O56" s="2144"/>
      <c r="P56" s="1556"/>
      <c r="Q56" s="2144"/>
      <c r="R56" s="2144"/>
      <c r="S56" s="2144"/>
      <c r="T56" s="2144"/>
      <c r="U56" s="2144"/>
      <c r="V56" s="2144"/>
      <c r="W56" s="2144"/>
      <c r="X56" s="2144"/>
      <c r="Y56" s="2144"/>
      <c r="Z56" s="2144"/>
      <c r="AA56" s="2144"/>
      <c r="AB56" s="2144"/>
      <c r="AC56" s="2144"/>
    </row>
    <row r="57" spans="1:29" ht="26.25" customHeight="1">
      <c r="A57" s="628" t="s">
        <v>560</v>
      </c>
      <c r="B57" s="629" t="s">
        <v>561</v>
      </c>
      <c r="C57" s="1559" t="s">
        <v>1725</v>
      </c>
      <c r="D57" s="2225" t="s">
        <v>2293</v>
      </c>
      <c r="E57" s="630" t="s">
        <v>562</v>
      </c>
      <c r="F57" s="631" t="s">
        <v>563</v>
      </c>
      <c r="G57" s="3491" t="s">
        <v>2281</v>
      </c>
      <c r="H57" s="3492"/>
      <c r="I57" s="1554" t="s">
        <v>1723</v>
      </c>
      <c r="J57" s="1554">
        <f>项目基本情况!F41</f>
        <v>0</v>
      </c>
      <c r="K57" s="2152" t="s">
        <v>1724</v>
      </c>
      <c r="L57" s="2148"/>
      <c r="M57" s="2143"/>
      <c r="N57" s="2143"/>
      <c r="O57" s="2143"/>
      <c r="P57" s="2143"/>
      <c r="Q57" s="2143"/>
      <c r="R57" s="2143"/>
      <c r="S57" s="2143"/>
      <c r="T57" s="2143"/>
      <c r="U57" s="2143"/>
      <c r="V57" s="2143"/>
      <c r="W57" s="2143"/>
      <c r="X57" s="2143"/>
      <c r="Y57" s="2143"/>
      <c r="Z57" s="2143"/>
      <c r="AA57" s="2143"/>
      <c r="AB57" s="2143"/>
      <c r="AC57" s="2143"/>
    </row>
    <row r="58" spans="1:29" s="1345" customFormat="1" ht="12.75">
      <c r="A58" s="632" t="s">
        <v>564</v>
      </c>
      <c r="B58" s="633">
        <f>C50</f>
        <v>42142</v>
      </c>
      <c r="C58" s="634">
        <v>1</v>
      </c>
      <c r="D58" s="2226">
        <v>1</v>
      </c>
      <c r="E58" s="634">
        <f>'数据-汇总表'!E8+'数据-汇总表'!E9</f>
        <v>64609.999999999985</v>
      </c>
      <c r="F58" s="635">
        <f t="shared" ref="F58:F67" si="14">ROUND(B58*E58/10000,0)</f>
        <v>272279</v>
      </c>
      <c r="G58" s="3493"/>
      <c r="H58" s="3494"/>
      <c r="I58" s="1555">
        <v>1</v>
      </c>
      <c r="J58" s="1555">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565</v>
      </c>
      <c r="B59" s="637">
        <f>ROUND($C$50*C59*D59,0)</f>
        <v>6321</v>
      </c>
      <c r="C59" s="377">
        <f t="shared" ref="C59:C67" si="15">IF($C$57="北京市系数",I59,J59)</f>
        <v>0.6</v>
      </c>
      <c r="D59" s="2227">
        <v>0.25</v>
      </c>
      <c r="E59" s="638">
        <f>'数据-汇总表'!G22</f>
        <v>0</v>
      </c>
      <c r="F59" s="635">
        <f t="shared" si="14"/>
        <v>0</v>
      </c>
      <c r="G59" s="3495" t="s">
        <v>2282</v>
      </c>
      <c r="H59" s="1946" t="str">
        <f>项目基本情况!B43</f>
        <v>八级</v>
      </c>
      <c r="I59" s="1555">
        <f>SUMIF(修正!$A$45:$A$56,H59,修正!B45:B56)</f>
        <v>0.6</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566</v>
      </c>
      <c r="B60" s="637">
        <f t="shared" ref="B60:B67" si="16">ROUND($C$50*C60*D60,0)</f>
        <v>3161</v>
      </c>
      <c r="C60" s="377">
        <f t="shared" si="15"/>
        <v>0.3</v>
      </c>
      <c r="D60" s="2227">
        <v>0.25</v>
      </c>
      <c r="E60" s="638">
        <v>0</v>
      </c>
      <c r="F60" s="635">
        <f t="shared" si="14"/>
        <v>0</v>
      </c>
      <c r="G60" s="3495"/>
      <c r="H60" s="1946" t="str">
        <f>项目基本情况!B43</f>
        <v>八级</v>
      </c>
      <c r="I60" s="1555">
        <f>SUMIF(修正!$A$45:$A$56,H60,修正!C45:C56)</f>
        <v>0.3</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567</v>
      </c>
      <c r="B61" s="637">
        <f t="shared" si="16"/>
        <v>2107</v>
      </c>
      <c r="C61" s="377">
        <f t="shared" si="15"/>
        <v>0.2</v>
      </c>
      <c r="D61" s="2227">
        <v>0.25</v>
      </c>
      <c r="E61" s="638">
        <v>0</v>
      </c>
      <c r="F61" s="635">
        <f t="shared" si="14"/>
        <v>0</v>
      </c>
      <c r="G61" s="3495"/>
      <c r="H61" s="1946" t="str">
        <f>项目基本情况!B43</f>
        <v>八级</v>
      </c>
      <c r="I61" s="1555">
        <f>SUMIF(修正!$A$45:$A$56,H61,修正!D45:D56)</f>
        <v>0.2</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2.75">
      <c r="A62" s="636" t="s">
        <v>568</v>
      </c>
      <c r="B62" s="637">
        <f t="shared" si="16"/>
        <v>2107</v>
      </c>
      <c r="C62" s="377">
        <f t="shared" si="15"/>
        <v>0.2</v>
      </c>
      <c r="D62" s="2227">
        <v>0.25</v>
      </c>
      <c r="E62" s="638">
        <v>0</v>
      </c>
      <c r="F62" s="635">
        <f t="shared" si="14"/>
        <v>0</v>
      </c>
      <c r="G62" s="3495"/>
      <c r="H62" s="1946" t="str">
        <f>项目基本情况!B43</f>
        <v>八级</v>
      </c>
      <c r="I62" s="1555">
        <f>SUMIF(修正!$A$45:$A$56,H62,修正!E45:E56)</f>
        <v>0.2</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2.75">
      <c r="A63" s="2329" t="s">
        <v>2326</v>
      </c>
      <c r="B63" s="637">
        <f t="shared" si="16"/>
        <v>2107</v>
      </c>
      <c r="C63" s="377">
        <f t="shared" si="15"/>
        <v>0.2</v>
      </c>
      <c r="D63" s="2227">
        <v>0.25</v>
      </c>
      <c r="E63" s="640">
        <f>'数据-汇总表'!E11</f>
        <v>0</v>
      </c>
      <c r="F63" s="635">
        <f t="shared" si="14"/>
        <v>0</v>
      </c>
      <c r="G63" s="1943" t="s">
        <v>2283</v>
      </c>
      <c r="H63" s="1946" t="str">
        <f>项目基本情况!C43</f>
        <v>八级</v>
      </c>
      <c r="I63" s="1555">
        <f>SUMIF(修正!$A$45:$A$56,H63,修正!F45:F56)</f>
        <v>0.2</v>
      </c>
      <c r="J63" s="1557"/>
      <c r="K63" s="2153"/>
      <c r="L63" s="2153"/>
      <c r="M63" s="2153"/>
      <c r="N63" s="2153"/>
      <c r="O63" s="2153"/>
      <c r="P63" s="2153"/>
      <c r="Q63" s="2153"/>
      <c r="R63" s="2153"/>
      <c r="S63" s="2153"/>
      <c r="T63" s="2153"/>
      <c r="U63" s="2153"/>
      <c r="V63" s="2153"/>
      <c r="W63" s="2153"/>
      <c r="X63" s="2153"/>
      <c r="Y63" s="2153"/>
      <c r="Z63" s="2153"/>
      <c r="AA63" s="2153"/>
      <c r="AB63" s="2153"/>
      <c r="AC63" s="2153"/>
    </row>
    <row r="64" spans="1:29" s="1345" customFormat="1" ht="12.75">
      <c r="A64" s="636" t="s">
        <v>569</v>
      </c>
      <c r="B64" s="637">
        <f t="shared" si="16"/>
        <v>2107</v>
      </c>
      <c r="C64" s="377">
        <f t="shared" si="15"/>
        <v>0.2</v>
      </c>
      <c r="D64" s="2227">
        <v>0.25</v>
      </c>
      <c r="E64" s="640">
        <f>'数据-汇总表'!E12</f>
        <v>65328.5</v>
      </c>
      <c r="F64" s="635">
        <f t="shared" si="14"/>
        <v>13765</v>
      </c>
      <c r="G64" s="1944" t="s">
        <v>923</v>
      </c>
      <c r="H64" s="1942" t="str">
        <f>IF(G64="商业",项目基本情况!B43,IF(G64="办公",项目基本情况!C43,IF(G64="住宅",项目基本情况!D43,项目基本情况!E43)))</f>
        <v>八级</v>
      </c>
      <c r="I64" s="1555">
        <f>SUMIF(修正!$A$45:$A$56,H64,修正!G45:G56)</f>
        <v>0.2</v>
      </c>
      <c r="J64" s="1557"/>
      <c r="K64" s="2153"/>
      <c r="L64" s="2153"/>
      <c r="M64" s="2153"/>
      <c r="N64" s="2153"/>
      <c r="O64" s="2153"/>
      <c r="P64" s="2153"/>
      <c r="Q64" s="2153"/>
      <c r="R64" s="2153"/>
      <c r="S64" s="2153"/>
      <c r="T64" s="2153"/>
      <c r="U64" s="2153"/>
      <c r="V64" s="2153"/>
      <c r="W64" s="2153"/>
      <c r="X64" s="2153"/>
      <c r="Y64" s="2153"/>
      <c r="Z64" s="2153"/>
      <c r="AA64" s="2153"/>
      <c r="AB64" s="2153"/>
      <c r="AC64" s="2153"/>
    </row>
    <row r="65" spans="1:29" s="1345" customFormat="1" ht="12.75">
      <c r="A65" s="636" t="s">
        <v>570</v>
      </c>
      <c r="B65" s="637">
        <f t="shared" si="16"/>
        <v>1580</v>
      </c>
      <c r="C65" s="377">
        <f t="shared" si="15"/>
        <v>0.15</v>
      </c>
      <c r="D65" s="2227">
        <v>0.25</v>
      </c>
      <c r="E65" s="640">
        <f>'数据-汇总表'!E13</f>
        <v>26123.5</v>
      </c>
      <c r="F65" s="635">
        <f t="shared" si="14"/>
        <v>4128</v>
      </c>
      <c r="G65" s="1944" t="s">
        <v>923</v>
      </c>
      <c r="H65" s="1942" t="str">
        <f>IF(G65="商业",项目基本情况!B43,IF(G65="办公",项目基本情况!C43,IF(G65="住宅",项目基本情况!D43,项目基本情况!E43)))</f>
        <v>八级</v>
      </c>
      <c r="I65" s="1555">
        <f>SUMIF(修正!$A$45:$A$56,H65,修正!H45:H56)</f>
        <v>0.15</v>
      </c>
      <c r="J65" s="1557"/>
      <c r="K65" s="2153"/>
      <c r="L65" s="2153"/>
      <c r="M65" s="2153"/>
      <c r="N65" s="2153"/>
      <c r="O65" s="2153"/>
      <c r="P65" s="2153"/>
      <c r="Q65" s="2153"/>
      <c r="R65" s="2153"/>
      <c r="S65" s="2153"/>
      <c r="T65" s="2153"/>
      <c r="U65" s="2153"/>
      <c r="V65" s="2153"/>
      <c r="W65" s="2153"/>
      <c r="X65" s="2153"/>
      <c r="Y65" s="2153"/>
      <c r="Z65" s="2153"/>
      <c r="AA65" s="2153"/>
      <c r="AB65" s="2153"/>
      <c r="AC65" s="2153"/>
    </row>
    <row r="66" spans="1:29" s="1345" customFormat="1" ht="12.75">
      <c r="A66" s="636" t="s">
        <v>571</v>
      </c>
      <c r="B66" s="637">
        <f t="shared" si="16"/>
        <v>1580</v>
      </c>
      <c r="C66" s="377">
        <f t="shared" si="15"/>
        <v>0.15</v>
      </c>
      <c r="D66" s="2227">
        <v>0.25</v>
      </c>
      <c r="E66" s="640">
        <f>'数据-汇总表'!E14</f>
        <v>0</v>
      </c>
      <c r="F66" s="635">
        <f t="shared" si="14"/>
        <v>0</v>
      </c>
      <c r="G66" s="1943" t="s">
        <v>2282</v>
      </c>
      <c r="H66" s="1946" t="str">
        <f>项目基本情况!B43</f>
        <v>八级</v>
      </c>
      <c r="I66" s="1555">
        <f>SUMIF(修正!$A$45:$A$56,H66,修正!H45:H56)</f>
        <v>0.15</v>
      </c>
      <c r="J66" s="1557"/>
      <c r="K66" s="2153"/>
      <c r="L66" s="2153"/>
      <c r="M66" s="2153"/>
      <c r="N66" s="2153"/>
      <c r="O66" s="2153"/>
      <c r="P66" s="2153"/>
      <c r="Q66" s="2153"/>
      <c r="R66" s="2153"/>
      <c r="S66" s="2153"/>
      <c r="T66" s="2153"/>
      <c r="U66" s="2153"/>
      <c r="V66" s="2153"/>
      <c r="W66" s="2153"/>
      <c r="X66" s="2153"/>
      <c r="Y66" s="2153"/>
      <c r="Z66" s="2153"/>
      <c r="AA66" s="2153"/>
      <c r="AB66" s="2153"/>
      <c r="AC66" s="2153"/>
    </row>
    <row r="67" spans="1:29" s="1345" customFormat="1" ht="13.5" thickBot="1">
      <c r="A67" s="636" t="s">
        <v>572</v>
      </c>
      <c r="B67" s="637">
        <f t="shared" si="16"/>
        <v>1580</v>
      </c>
      <c r="C67" s="377">
        <f t="shared" si="15"/>
        <v>0.15</v>
      </c>
      <c r="D67" s="2227">
        <v>0.25</v>
      </c>
      <c r="E67" s="640">
        <f>'数据-汇总表'!E15</f>
        <v>0</v>
      </c>
      <c r="F67" s="635">
        <f t="shared" si="14"/>
        <v>0</v>
      </c>
      <c r="G67" s="1945" t="s">
        <v>2283</v>
      </c>
      <c r="H67" s="1947" t="str">
        <f>项目基本情况!C43</f>
        <v>八级</v>
      </c>
      <c r="I67" s="1555">
        <f>SUMIF(修正!$A$45:$A$56,H67,修正!H45:H56)</f>
        <v>0.15</v>
      </c>
      <c r="J67" s="1557"/>
      <c r="K67" s="2153"/>
      <c r="L67" s="2153"/>
      <c r="M67" s="2153"/>
      <c r="N67" s="2153"/>
      <c r="O67" s="2153"/>
      <c r="P67" s="2153"/>
      <c r="Q67" s="2153"/>
      <c r="R67" s="2153"/>
      <c r="S67" s="2153"/>
      <c r="T67" s="2153"/>
      <c r="U67" s="2153"/>
      <c r="V67" s="2153"/>
      <c r="W67" s="2153"/>
      <c r="X67" s="2153"/>
      <c r="Y67" s="2153"/>
      <c r="Z67" s="2153"/>
      <c r="AA67" s="2153"/>
      <c r="AB67" s="2153"/>
      <c r="AC67" s="2153"/>
    </row>
    <row r="68" spans="1:29" s="1345" customFormat="1" ht="13.5" thickBot="1">
      <c r="A68" s="641" t="s">
        <v>573</v>
      </c>
      <c r="B68" s="642" t="s">
        <v>17</v>
      </c>
      <c r="C68" s="642" t="s">
        <v>18</v>
      </c>
      <c r="D68" s="642" t="s">
        <v>2294</v>
      </c>
      <c r="E68" s="642">
        <f>IF(B48="楼面地价",SUM(E58:E67),'数据-汇总表'!D3)</f>
        <v>156062</v>
      </c>
      <c r="F68" s="643">
        <f>IF(B48="楼面地价",SUM(F58:F67),ROUND(C50*E68/10000,0))</f>
        <v>290172</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97" t="str">
        <f>YEAR(C9)&amp;"-"&amp;MONTH(C9)&amp;"-1"</f>
        <v>2018-12-1</v>
      </c>
      <c r="D70" s="2797">
        <f>EDATE(C70,-3)</f>
        <v>43344</v>
      </c>
      <c r="E70" s="2797">
        <f t="shared" ref="E70:N70" si="17">EDATE(D70,-3)</f>
        <v>43252</v>
      </c>
      <c r="F70" s="2797">
        <f t="shared" si="17"/>
        <v>43160</v>
      </c>
      <c r="G70" s="2797">
        <f t="shared" si="17"/>
        <v>43070</v>
      </c>
      <c r="H70" s="2797">
        <f t="shared" si="17"/>
        <v>42979</v>
      </c>
      <c r="I70" s="2797">
        <f t="shared" si="17"/>
        <v>42887</v>
      </c>
      <c r="J70" s="2797">
        <f t="shared" si="17"/>
        <v>42795</v>
      </c>
      <c r="K70" s="2797">
        <f t="shared" si="17"/>
        <v>42705</v>
      </c>
      <c r="L70" s="2797">
        <f t="shared" si="17"/>
        <v>42614</v>
      </c>
      <c r="M70" s="2797">
        <f t="shared" si="17"/>
        <v>42522</v>
      </c>
      <c r="N70" s="2797">
        <f t="shared" si="17"/>
        <v>42430</v>
      </c>
      <c r="O70" s="2143"/>
      <c r="P70" s="2143"/>
      <c r="Q70" s="2143"/>
      <c r="R70" s="2143"/>
      <c r="S70" s="2143"/>
      <c r="T70" s="2143"/>
      <c r="U70" s="2143"/>
      <c r="V70" s="2143"/>
      <c r="W70" s="2143"/>
      <c r="X70" s="2143"/>
      <c r="Y70" s="2143"/>
      <c r="Z70" s="2143"/>
      <c r="AA70" s="2143"/>
      <c r="AB70" s="2143"/>
      <c r="AC70" s="2143"/>
    </row>
    <row r="71" spans="1:29" ht="21.75" thickBot="1">
      <c r="A71" s="1583" t="s">
        <v>574</v>
      </c>
      <c r="B71" s="1558"/>
      <c r="C71" s="1582"/>
      <c r="D71" s="1582"/>
      <c r="E71" s="1582"/>
      <c r="F71" s="1584"/>
      <c r="G71" s="1584"/>
      <c r="H71" s="1582"/>
      <c r="I71" s="1582"/>
      <c r="J71" s="1582"/>
      <c r="K71" s="1585"/>
      <c r="L71" s="1581"/>
      <c r="M71" s="1582"/>
      <c r="N71" s="1582"/>
      <c r="O71" s="2155"/>
      <c r="P71" s="2155"/>
      <c r="Q71" s="2156"/>
      <c r="R71" s="2143"/>
      <c r="S71" s="2143"/>
      <c r="T71" s="2143"/>
      <c r="U71" s="2143"/>
      <c r="V71" s="2143"/>
      <c r="W71" s="2143"/>
      <c r="X71" s="2143"/>
      <c r="Y71" s="2143"/>
      <c r="Z71" s="2143"/>
      <c r="AA71" s="2143"/>
      <c r="AB71" s="2143"/>
      <c r="AC71" s="2143"/>
    </row>
    <row r="72" spans="1:29" s="1346" customFormat="1" ht="15">
      <c r="A72" s="2566" t="s">
        <v>2530</v>
      </c>
      <c r="B72" s="2567"/>
      <c r="C72" s="2792" t="str">
        <f>YEAR(C70)&amp;"-"&amp;ROUNDUP(MONTH(C70)/3,0)</f>
        <v>2018-4</v>
      </c>
      <c r="D72" s="2799" t="str">
        <f>YEAR(D70)&amp;"-"&amp;ROUNDUP(MONTH(D70)/3,0)</f>
        <v>2018-3</v>
      </c>
      <c r="E72" s="2799" t="str">
        <f t="shared" ref="E72:N72" si="18">YEAR(E70)&amp;"-"&amp;ROUNDUP(MONTH(E70)/3,0)</f>
        <v>2018-2</v>
      </c>
      <c r="F72" s="2799" t="str">
        <f t="shared" si="18"/>
        <v>2018-1</v>
      </c>
      <c r="G72" s="2799" t="str">
        <f t="shared" si="18"/>
        <v>2017-4</v>
      </c>
      <c r="H72" s="2799" t="str">
        <f t="shared" si="18"/>
        <v>2017-3</v>
      </c>
      <c r="I72" s="2799" t="str">
        <f t="shared" si="18"/>
        <v>2017-2</v>
      </c>
      <c r="J72" s="2799" t="str">
        <f t="shared" si="18"/>
        <v>2017-1</v>
      </c>
      <c r="K72" s="2799" t="str">
        <f t="shared" si="18"/>
        <v>2016-4</v>
      </c>
      <c r="L72" s="2799" t="str">
        <f t="shared" si="18"/>
        <v>2016-3</v>
      </c>
      <c r="M72" s="2799" t="str">
        <f t="shared" si="18"/>
        <v>2016-2</v>
      </c>
      <c r="N72" s="2799" t="str">
        <f t="shared" si="18"/>
        <v>2016-1</v>
      </c>
      <c r="O72" s="2157"/>
      <c r="P72" s="2158"/>
      <c r="Q72" s="2159"/>
      <c r="R72" s="2159"/>
      <c r="S72" s="2159"/>
      <c r="T72" s="2159"/>
      <c r="U72" s="2159"/>
      <c r="V72" s="2159"/>
      <c r="W72" s="2159"/>
      <c r="X72" s="2159"/>
      <c r="Y72" s="2159"/>
      <c r="Z72" s="2159"/>
      <c r="AA72" s="2159"/>
      <c r="AB72" s="2159"/>
      <c r="AC72" s="2159"/>
    </row>
    <row r="73" spans="1:29" s="1219" customFormat="1" ht="27" customHeight="1">
      <c r="A73" s="2804" t="s">
        <v>923</v>
      </c>
      <c r="B73" s="478" t="str">
        <f>"北京市平均增长率"&amp;TEXT(SUMIF(基准地价!N21:N25,A73,基准地价!P21:P25),"0.00%")</f>
        <v>北京市平均增长率0.00%</v>
      </c>
      <c r="C73" s="893">
        <v>100</v>
      </c>
      <c r="D73" s="3180">
        <f>C73-$C$74</f>
        <v>99.5</v>
      </c>
      <c r="E73" s="3180">
        <f t="shared" ref="E73:N73" si="19">D73-$C$74</f>
        <v>99</v>
      </c>
      <c r="F73" s="3180">
        <f t="shared" si="19"/>
        <v>98.5</v>
      </c>
      <c r="G73" s="3180">
        <f t="shared" si="19"/>
        <v>98</v>
      </c>
      <c r="H73" s="3180">
        <f t="shared" si="19"/>
        <v>97.5</v>
      </c>
      <c r="I73" s="3180">
        <f t="shared" si="19"/>
        <v>97</v>
      </c>
      <c r="J73" s="3180">
        <f t="shared" si="19"/>
        <v>96.5</v>
      </c>
      <c r="K73" s="3180">
        <f t="shared" si="19"/>
        <v>96</v>
      </c>
      <c r="L73" s="3180">
        <f t="shared" si="19"/>
        <v>95.5</v>
      </c>
      <c r="M73" s="3180">
        <f t="shared" si="19"/>
        <v>95</v>
      </c>
      <c r="N73" s="3180">
        <f t="shared" si="19"/>
        <v>94.5</v>
      </c>
      <c r="O73" s="2160"/>
      <c r="P73" s="2156"/>
      <c r="Q73" s="1991"/>
      <c r="R73" s="1991"/>
      <c r="S73" s="1991"/>
      <c r="T73" s="1991"/>
      <c r="U73" s="1991"/>
      <c r="V73" s="1991"/>
      <c r="W73" s="1991"/>
      <c r="X73" s="1991"/>
      <c r="Y73" s="1991"/>
      <c r="Z73" s="1991"/>
      <c r="AA73" s="1991"/>
      <c r="AB73" s="1991"/>
      <c r="AC73" s="1991"/>
    </row>
    <row r="74" spans="1:29" s="1219" customFormat="1" ht="15" customHeight="1" thickBot="1">
      <c r="A74" s="2794" t="s">
        <v>2644</v>
      </c>
      <c r="B74" s="2803"/>
      <c r="C74" s="3268">
        <v>0.5</v>
      </c>
      <c r="D74" s="2789"/>
      <c r="E74" s="2789"/>
      <c r="F74" s="2789"/>
      <c r="G74" s="2789"/>
      <c r="H74" s="2789"/>
      <c r="I74" s="2789"/>
      <c r="J74" s="2789"/>
      <c r="K74" s="2789"/>
      <c r="L74" s="2789"/>
      <c r="M74" s="2789"/>
      <c r="N74" s="2789"/>
      <c r="O74" s="2160"/>
      <c r="P74" s="2156"/>
      <c r="Q74" s="2156"/>
      <c r="R74" s="1991"/>
      <c r="S74" s="1991"/>
      <c r="T74" s="1991"/>
      <c r="U74" s="1991"/>
      <c r="V74" s="1991"/>
      <c r="W74" s="1991"/>
      <c r="X74" s="1991"/>
      <c r="Y74" s="1991"/>
      <c r="Z74" s="1991"/>
      <c r="AA74" s="1991"/>
      <c r="AB74" s="1991"/>
      <c r="AC74" s="1991"/>
    </row>
    <row r="75" spans="1:29" s="1219" customFormat="1" ht="15">
      <c r="A75" s="658" t="s">
        <v>531</v>
      </c>
      <c r="B75" s="647"/>
      <c r="C75" s="659" t="s">
        <v>576</v>
      </c>
      <c r="D75" s="660"/>
      <c r="E75" s="660"/>
      <c r="F75" s="660"/>
      <c r="G75" s="660"/>
      <c r="H75" s="660"/>
      <c r="I75" s="660"/>
      <c r="J75" s="660"/>
      <c r="K75" s="660"/>
      <c r="L75" s="661"/>
      <c r="M75" s="662"/>
      <c r="N75" s="2160"/>
      <c r="O75" s="2160"/>
      <c r="P75" s="2161"/>
      <c r="Q75" s="2156"/>
      <c r="R75" s="1991"/>
      <c r="S75" s="1991"/>
      <c r="T75" s="1991"/>
      <c r="U75" s="1991"/>
      <c r="V75" s="1991"/>
      <c r="W75" s="1991"/>
      <c r="X75" s="1991"/>
      <c r="Y75" s="1991"/>
      <c r="Z75" s="1991"/>
      <c r="AA75" s="1991"/>
      <c r="AB75" s="1991"/>
      <c r="AC75" s="1991"/>
    </row>
    <row r="76" spans="1:29" s="1219" customFormat="1" ht="15.75" thickBot="1">
      <c r="A76" s="658"/>
      <c r="B76" s="647"/>
      <c r="C76" s="648">
        <v>100</v>
      </c>
      <c r="D76" s="649"/>
      <c r="E76" s="649"/>
      <c r="F76" s="649"/>
      <c r="G76" s="649"/>
      <c r="H76" s="649"/>
      <c r="I76" s="649"/>
      <c r="J76" s="649"/>
      <c r="K76" s="649"/>
      <c r="L76" s="649"/>
      <c r="M76" s="651"/>
      <c r="N76" s="2160"/>
      <c r="O76" s="2160"/>
      <c r="P76" s="2156"/>
      <c r="Q76" s="2156"/>
      <c r="R76" s="1991"/>
      <c r="S76" s="1991"/>
      <c r="T76" s="1991"/>
      <c r="U76" s="1991"/>
      <c r="V76" s="1991"/>
      <c r="W76" s="1991"/>
      <c r="X76" s="1991"/>
      <c r="Y76" s="1991"/>
      <c r="Z76" s="1991"/>
      <c r="AA76" s="1991"/>
      <c r="AB76" s="1991"/>
      <c r="AC76" s="1991"/>
    </row>
    <row r="77" spans="1:29" ht="27">
      <c r="A77" s="663" t="s">
        <v>577</v>
      </c>
      <c r="B77" s="664" t="s">
        <v>534</v>
      </c>
      <c r="C77" s="3181" t="s">
        <v>3037</v>
      </c>
      <c r="D77" s="59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0">
        <v>100</v>
      </c>
      <c r="D78" s="670"/>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7.75" thickTop="1">
      <c r="A79" s="668"/>
      <c r="B79" s="672" t="s">
        <v>537</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75" thickTop="1">
      <c r="A81" s="668"/>
      <c r="B81" s="680" t="s">
        <v>538</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v>
      </c>
      <c r="I81" s="681" t="str">
        <f t="shared" si="20"/>
        <v>（含）-</v>
      </c>
      <c r="J81" s="681" t="str">
        <f t="shared" si="20"/>
        <v>（含）-</v>
      </c>
      <c r="K81" s="681" t="str">
        <f t="shared" si="20"/>
        <v>（含）-</v>
      </c>
      <c r="L81" s="681" t="str">
        <f t="shared" si="20"/>
        <v>（含）-</v>
      </c>
      <c r="M81" s="554"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8"/>
      <c r="B82" s="682"/>
      <c r="C82" s="540">
        <v>0</v>
      </c>
      <c r="D82" s="540">
        <v>1</v>
      </c>
      <c r="E82" s="540">
        <v>2</v>
      </c>
      <c r="F82" s="540">
        <v>3</v>
      </c>
      <c r="G82" s="540">
        <v>4</v>
      </c>
      <c r="H82" s="540">
        <v>5</v>
      </c>
      <c r="I82" s="540"/>
      <c r="J82" s="540"/>
      <c r="K82" s="683"/>
      <c r="L82" s="684"/>
      <c r="M82" s="685"/>
      <c r="N82" s="2162"/>
      <c r="O82" s="2162"/>
      <c r="P82" s="2163"/>
      <c r="Q82" s="2156"/>
      <c r="R82" s="2143"/>
      <c r="S82" s="2143"/>
      <c r="T82" s="2143"/>
      <c r="U82" s="2143"/>
      <c r="V82" s="2143"/>
      <c r="W82" s="2143"/>
      <c r="X82" s="2143"/>
      <c r="Y82" s="2143"/>
      <c r="Z82" s="2143"/>
      <c r="AA82" s="2143"/>
      <c r="AB82" s="2143"/>
      <c r="AC82" s="2143"/>
    </row>
    <row r="83" spans="1:29" ht="15.75" thickBot="1">
      <c r="A83" s="668"/>
      <c r="B83" s="669"/>
      <c r="C83" s="678">
        <v>100</v>
      </c>
      <c r="D83" s="678">
        <f>IF($B$48="单位面积地价",C83+$K13,C83-$K13)</f>
        <v>95</v>
      </c>
      <c r="E83" s="678">
        <f t="shared" ref="E83:M83" si="21">IF($B$48="单位面积地价",D83+$K13,D83-$K13)</f>
        <v>90</v>
      </c>
      <c r="F83" s="678">
        <f t="shared" si="21"/>
        <v>85</v>
      </c>
      <c r="G83" s="678">
        <f t="shared" si="21"/>
        <v>80</v>
      </c>
      <c r="H83" s="678">
        <f t="shared" si="21"/>
        <v>75</v>
      </c>
      <c r="I83" s="678">
        <f t="shared" si="21"/>
        <v>70</v>
      </c>
      <c r="J83" s="678">
        <f t="shared" si="21"/>
        <v>65</v>
      </c>
      <c r="K83" s="678">
        <f t="shared" si="21"/>
        <v>60</v>
      </c>
      <c r="L83" s="678">
        <f t="shared" si="21"/>
        <v>55</v>
      </c>
      <c r="M83" s="678">
        <f t="shared" si="21"/>
        <v>50</v>
      </c>
      <c r="N83" s="2164"/>
      <c r="O83" s="2164"/>
      <c r="P83" s="2163"/>
      <c r="Q83" s="2156"/>
      <c r="R83" s="2143"/>
      <c r="S83" s="2143"/>
      <c r="T83" s="2143"/>
      <c r="U83" s="2143"/>
      <c r="V83" s="2143"/>
      <c r="W83" s="2143"/>
      <c r="X83" s="2143"/>
      <c r="Y83" s="2143"/>
      <c r="Z83" s="2143"/>
      <c r="AA83" s="2143"/>
      <c r="AB83" s="2143"/>
      <c r="AC83" s="2143"/>
    </row>
    <row r="84" spans="1:29" s="1338" customFormat="1" ht="15.75" thickTop="1">
      <c r="A84" s="686"/>
      <c r="B84" s="672" t="str">
        <f>B14</f>
        <v>配建</v>
      </c>
      <c r="C84" s="3182" t="s">
        <v>3034</v>
      </c>
      <c r="D84" s="1374" t="s">
        <v>3035</v>
      </c>
      <c r="E84" s="1375"/>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v>100</v>
      </c>
      <c r="D85" s="670">
        <v>95</v>
      </c>
      <c r="E85" s="670"/>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8" customFormat="1" ht="15.75" thickTop="1">
      <c r="A86" s="686"/>
      <c r="B86" s="672" t="str">
        <f>B15</f>
        <v>是否自持</v>
      </c>
      <c r="C86" s="3182" t="s">
        <v>3039</v>
      </c>
      <c r="D86" s="3182" t="s">
        <v>3035</v>
      </c>
      <c r="E86" s="687"/>
      <c r="F86" s="687"/>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8" customFormat="1" ht="15.75" thickBot="1">
      <c r="A87" s="686"/>
      <c r="B87" s="677"/>
      <c r="C87" s="691">
        <v>100</v>
      </c>
      <c r="D87" s="691">
        <v>95</v>
      </c>
      <c r="E87" s="691"/>
      <c r="F87" s="691"/>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8" customFormat="1" ht="15.75" thickTop="1">
      <c r="A88" s="686"/>
      <c r="B88" s="680">
        <f>B16</f>
        <v>0</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8" customFormat="1" ht="15.75"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c r="A90" s="663" t="s">
        <v>539</v>
      </c>
      <c r="B90" s="664" t="s">
        <v>578</v>
      </c>
      <c r="C90" s="702" t="s">
        <v>579</v>
      </c>
      <c r="D90" s="702" t="s">
        <v>580</v>
      </c>
      <c r="E90" s="702" t="s">
        <v>581</v>
      </c>
      <c r="F90" s="702" t="s">
        <v>582</v>
      </c>
      <c r="G90" s="702" t="s">
        <v>583</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5.75" thickBot="1">
      <c r="A91" s="668"/>
      <c r="B91" s="677"/>
      <c r="C91" s="678">
        <v>100</v>
      </c>
      <c r="D91" s="678">
        <f>C91-$K17</f>
        <v>97</v>
      </c>
      <c r="E91" s="678">
        <f>D91-$K17</f>
        <v>94</v>
      </c>
      <c r="F91" s="678">
        <f>E91-$K17</f>
        <v>91</v>
      </c>
      <c r="G91" s="678">
        <f>F91-$K17</f>
        <v>88</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75" thickTop="1">
      <c r="A92" s="668"/>
      <c r="B92" s="672" t="s">
        <v>584</v>
      </c>
      <c r="C92" s="707" t="s">
        <v>579</v>
      </c>
      <c r="D92" s="707" t="s">
        <v>580</v>
      </c>
      <c r="E92" s="707" t="s">
        <v>581</v>
      </c>
      <c r="F92" s="707" t="s">
        <v>582</v>
      </c>
      <c r="G92" s="707" t="s">
        <v>583</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8">
        <v>100</v>
      </c>
      <c r="D93" s="678">
        <f>C93-$K19</f>
        <v>98</v>
      </c>
      <c r="E93" s="678">
        <f>D93-$K19</f>
        <v>96</v>
      </c>
      <c r="F93" s="678">
        <f>E93-$K19</f>
        <v>94</v>
      </c>
      <c r="G93" s="678">
        <f>F93-$K19</f>
        <v>92</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75" thickTop="1">
      <c r="A94" s="668"/>
      <c r="B94" s="672" t="s">
        <v>585</v>
      </c>
      <c r="C94" s="707" t="s">
        <v>579</v>
      </c>
      <c r="D94" s="707" t="s">
        <v>580</v>
      </c>
      <c r="E94" s="707" t="s">
        <v>581</v>
      </c>
      <c r="F94" s="707" t="s">
        <v>582</v>
      </c>
      <c r="G94" s="707" t="s">
        <v>583</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75" thickTop="1">
      <c r="A96" s="668"/>
      <c r="B96" s="672" t="s">
        <v>586</v>
      </c>
      <c r="C96" s="707" t="s">
        <v>579</v>
      </c>
      <c r="D96" s="707" t="s">
        <v>580</v>
      </c>
      <c r="E96" s="707" t="s">
        <v>581</v>
      </c>
      <c r="F96" s="707" t="s">
        <v>582</v>
      </c>
      <c r="G96" s="707" t="s">
        <v>583</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78">
        <v>100</v>
      </c>
      <c r="D97" s="678">
        <f>C97-$K23</f>
        <v>98</v>
      </c>
      <c r="E97" s="678">
        <f>D97-$K23</f>
        <v>96</v>
      </c>
      <c r="F97" s="678">
        <f>E97-$K23</f>
        <v>94</v>
      </c>
      <c r="G97" s="678">
        <f>F97-$K23</f>
        <v>92</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60"/>
      <c r="O98" s="2160"/>
      <c r="P98" s="2163"/>
      <c r="Q98" s="2156"/>
      <c r="R98" s="1991"/>
      <c r="S98" s="1991"/>
      <c r="T98" s="1991"/>
      <c r="U98" s="1991"/>
      <c r="V98" s="1991"/>
      <c r="W98" s="1991"/>
      <c r="X98" s="1991"/>
      <c r="Y98" s="1991"/>
      <c r="Z98" s="1991"/>
      <c r="AA98" s="1991"/>
      <c r="AB98" s="1991"/>
      <c r="AC98" s="1991"/>
    </row>
    <row r="99" spans="1:29" s="1219" customFormat="1" ht="15.75" thickBot="1">
      <c r="A99" s="708"/>
      <c r="B99" s="677"/>
      <c r="C99" s="711">
        <v>100</v>
      </c>
      <c r="D99" s="678">
        <f>C99-$K25</f>
        <v>98</v>
      </c>
      <c r="E99" s="678">
        <f>D99-$K25</f>
        <v>96</v>
      </c>
      <c r="F99" s="678">
        <f>E99-$K25</f>
        <v>94</v>
      </c>
      <c r="G99" s="678">
        <f>F99-$K25</f>
        <v>92</v>
      </c>
      <c r="H99" s="678"/>
      <c r="I99" s="678"/>
      <c r="J99" s="678"/>
      <c r="K99" s="678"/>
      <c r="L99" s="678"/>
      <c r="M99" s="679"/>
      <c r="N99" s="2164"/>
      <c r="O99" s="2164"/>
      <c r="P99" s="2163"/>
      <c r="Q99" s="2156"/>
      <c r="R99" s="1991"/>
      <c r="S99" s="1991"/>
      <c r="T99" s="1991"/>
      <c r="U99" s="1991"/>
      <c r="V99" s="1991"/>
      <c r="W99" s="1991"/>
      <c r="X99" s="1991"/>
      <c r="Y99" s="1991"/>
      <c r="Z99" s="1991"/>
      <c r="AA99" s="1991"/>
      <c r="AB99" s="1991"/>
      <c r="AC99" s="1991"/>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60"/>
      <c r="O100" s="2160"/>
      <c r="P100" s="2163"/>
      <c r="Q100" s="2156"/>
      <c r="R100" s="1991"/>
      <c r="S100" s="1991"/>
      <c r="T100" s="1991"/>
      <c r="U100" s="1991"/>
      <c r="V100" s="1991"/>
      <c r="W100" s="1991"/>
      <c r="X100" s="1991"/>
      <c r="Y100" s="1991"/>
      <c r="Z100" s="1991"/>
      <c r="AA100" s="1991"/>
      <c r="AB100" s="1991"/>
      <c r="AC100" s="1991"/>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4"/>
      <c r="O101" s="2164"/>
      <c r="P101" s="2163"/>
      <c r="Q101" s="2156"/>
      <c r="R101" s="1991"/>
      <c r="S101" s="1991"/>
      <c r="T101" s="1991"/>
      <c r="U101" s="1991"/>
      <c r="V101" s="1991"/>
      <c r="W101" s="1991"/>
      <c r="X101" s="1991"/>
      <c r="Y101" s="1991"/>
      <c r="Z101" s="1991"/>
      <c r="AA101" s="1991"/>
      <c r="AB101" s="1991"/>
      <c r="AC101" s="1991"/>
    </row>
    <row r="102" spans="1:29" s="1338" customFormat="1" ht="15.75" thickTop="1">
      <c r="A102" s="686"/>
      <c r="B102" s="1894" t="s">
        <v>2546</v>
      </c>
      <c r="C102" s="702" t="s">
        <v>579</v>
      </c>
      <c r="D102" s="702" t="s">
        <v>580</v>
      </c>
      <c r="E102" s="702" t="s">
        <v>581</v>
      </c>
      <c r="F102" s="702" t="s">
        <v>582</v>
      </c>
      <c r="G102" s="702" t="s">
        <v>583</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8"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Top="1">
      <c r="A104" s="686"/>
      <c r="B104" s="2595" t="s">
        <v>2548</v>
      </c>
      <c r="C104" s="2596" t="s">
        <v>2549</v>
      </c>
      <c r="D104" s="2596" t="s">
        <v>2550</v>
      </c>
      <c r="E104" s="2596" t="s">
        <v>2551</v>
      </c>
      <c r="F104" s="2596" t="s">
        <v>2552</v>
      </c>
      <c r="G104" s="2596" t="s">
        <v>2553</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588"/>
      <c r="N105" s="2165"/>
      <c r="O105" s="2165"/>
      <c r="P105" s="2166"/>
      <c r="Q105" s="2167"/>
      <c r="R105" s="2168"/>
      <c r="S105" s="2168"/>
      <c r="T105" s="2168"/>
      <c r="U105" s="2168"/>
      <c r="V105" s="2168"/>
      <c r="W105" s="2168"/>
      <c r="X105" s="2168"/>
      <c r="Y105" s="2168"/>
      <c r="Z105" s="2168"/>
      <c r="AA105" s="2168"/>
      <c r="AB105" s="2168"/>
      <c r="AC105" s="2168"/>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8"/>
      <c r="B108" s="672" t="s">
        <v>548</v>
      </c>
      <c r="C108" s="3182" t="s">
        <v>3040</v>
      </c>
      <c r="D108" s="3182" t="s">
        <v>3041</v>
      </c>
      <c r="E108" s="3182" t="s">
        <v>3042</v>
      </c>
      <c r="F108" s="3182" t="s">
        <v>3043</v>
      </c>
      <c r="G108" s="687"/>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8"/>
      <c r="B110" s="672" t="s">
        <v>549</v>
      </c>
      <c r="C110" s="3184" t="s">
        <v>3268</v>
      </c>
      <c r="D110" s="3184" t="s">
        <v>3269</v>
      </c>
      <c r="E110" s="3184" t="s">
        <v>3270</v>
      </c>
      <c r="F110" s="717"/>
      <c r="G110" s="717"/>
      <c r="H110" s="717"/>
      <c r="I110" s="717"/>
      <c r="J110" s="717"/>
      <c r="K110" s="718"/>
      <c r="L110" s="719"/>
      <c r="M110" s="72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8"/>
      <c r="B112" s="680">
        <f>B37</f>
        <v>0</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5" thickTop="1">
      <c r="A114" s="586"/>
      <c r="B114" s="672">
        <f>B38</f>
        <v>0</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8" customFormat="1" ht="15" thickTop="1">
      <c r="A116" s="727"/>
      <c r="B116" s="728">
        <f>B39</f>
        <v>0</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8" customFormat="1" ht="15.75"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ht="28.5">
      <c r="A118" s="663" t="s">
        <v>551</v>
      </c>
      <c r="B118" s="664" t="s">
        <v>593</v>
      </c>
      <c r="C118" s="703" t="str">
        <f t="shared" ref="C118:L118" si="25">C119&amp;"(含)"&amp;"-"&amp;D119</f>
        <v>0(含)-20000</v>
      </c>
      <c r="D118" s="703" t="str">
        <f t="shared" si="25"/>
        <v>20000(含)-50000</v>
      </c>
      <c r="E118" s="703" t="str">
        <f t="shared" si="25"/>
        <v>50000(含)-100000</v>
      </c>
      <c r="F118" s="703" t="str">
        <f t="shared" si="25"/>
        <v>100000(含)-150000</v>
      </c>
      <c r="G118" s="703" t="str">
        <f t="shared" si="25"/>
        <v>150000(含)-</v>
      </c>
      <c r="H118" s="703" t="str">
        <f t="shared" si="25"/>
        <v>(含)-</v>
      </c>
      <c r="I118" s="703" t="str">
        <f t="shared" si="25"/>
        <v>(含)-</v>
      </c>
      <c r="J118" s="3087" t="str">
        <f t="shared" si="25"/>
        <v>(含)-</v>
      </c>
      <c r="K118" s="3087" t="str">
        <f t="shared" si="25"/>
        <v>(含)-</v>
      </c>
      <c r="L118" s="3088" t="str">
        <f t="shared" si="25"/>
        <v>(含)-</v>
      </c>
      <c r="M118" s="3089"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8"/>
      <c r="B119" s="680"/>
      <c r="C119" s="729">
        <v>0</v>
      </c>
      <c r="D119" s="729">
        <v>20000</v>
      </c>
      <c r="E119" s="729">
        <v>50000</v>
      </c>
      <c r="F119" s="729">
        <v>100000</v>
      </c>
      <c r="G119" s="729">
        <v>150000</v>
      </c>
      <c r="H119" s="729"/>
      <c r="I119" s="729"/>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8"/>
      <c r="B120" s="677"/>
      <c r="C120" s="699">
        <v>100</v>
      </c>
      <c r="D120" s="725">
        <v>102</v>
      </c>
      <c r="E120" s="725">
        <v>104</v>
      </c>
      <c r="F120" s="725">
        <v>106</v>
      </c>
      <c r="G120" s="725">
        <v>108</v>
      </c>
      <c r="H120" s="725"/>
      <c r="I120" s="725"/>
      <c r="J120" s="725"/>
      <c r="K120" s="725"/>
      <c r="L120" s="725"/>
      <c r="M120" s="726"/>
      <c r="N120" s="2164"/>
      <c r="O120" s="2164"/>
      <c r="P120" s="2163"/>
      <c r="Q120" s="2156"/>
      <c r="R120" s="2143"/>
      <c r="S120" s="2143"/>
      <c r="T120" s="2143"/>
      <c r="U120" s="2143"/>
      <c r="V120" s="2143"/>
      <c r="W120" s="2143"/>
      <c r="X120" s="2143"/>
      <c r="Y120" s="2143"/>
      <c r="Z120" s="2143"/>
      <c r="AA120" s="2143"/>
      <c r="AB120" s="2143"/>
      <c r="AC120" s="2143"/>
    </row>
    <row r="121" spans="1:29" ht="15" thickTop="1">
      <c r="A121" s="734"/>
      <c r="B121" s="672" t="s">
        <v>594</v>
      </c>
      <c r="C121" s="3184" t="s">
        <v>3044</v>
      </c>
      <c r="D121" s="3184" t="s">
        <v>3045</v>
      </c>
      <c r="E121" s="3184" t="s">
        <v>3046</v>
      </c>
      <c r="F121" s="3184" t="s">
        <v>3047</v>
      </c>
      <c r="G121" s="717"/>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5.75" thickBot="1">
      <c r="A122" s="668"/>
      <c r="B122" s="677"/>
      <c r="C122" s="678">
        <v>100</v>
      </c>
      <c r="D122" s="678">
        <f t="shared" ref="D122:M122" si="26">C122-$K41</f>
        <v>97</v>
      </c>
      <c r="E122" s="678">
        <f t="shared" si="26"/>
        <v>94</v>
      </c>
      <c r="F122" s="678">
        <f t="shared" si="26"/>
        <v>91</v>
      </c>
      <c r="G122" s="678">
        <f t="shared" si="26"/>
        <v>88</v>
      </c>
      <c r="H122" s="678">
        <f t="shared" si="26"/>
        <v>85</v>
      </c>
      <c r="I122" s="678">
        <f t="shared" si="26"/>
        <v>82</v>
      </c>
      <c r="J122" s="678">
        <f t="shared" si="26"/>
        <v>79</v>
      </c>
      <c r="K122" s="678">
        <f t="shared" si="26"/>
        <v>76</v>
      </c>
      <c r="L122" s="678">
        <f t="shared" si="26"/>
        <v>73</v>
      </c>
      <c r="M122" s="679">
        <f t="shared" si="26"/>
        <v>70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4"/>
      <c r="B123" s="672" t="s">
        <v>595</v>
      </c>
      <c r="C123" s="687"/>
      <c r="D123" s="687"/>
      <c r="E123" s="687"/>
      <c r="F123" s="717"/>
      <c r="G123" s="717"/>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64"/>
      <c r="O124" s="2164"/>
      <c r="P124" s="2163"/>
      <c r="Q124" s="2156"/>
      <c r="R124" s="2143"/>
      <c r="S124" s="2143"/>
      <c r="T124" s="2143"/>
      <c r="U124" s="2143"/>
      <c r="V124" s="2143"/>
      <c r="W124" s="2143"/>
      <c r="X124" s="2143"/>
      <c r="Y124" s="2143"/>
      <c r="Z124" s="2143"/>
      <c r="AA124" s="2143"/>
      <c r="AB124" s="2143"/>
      <c r="AC124" s="2143"/>
    </row>
    <row r="125" spans="1:29" s="1338" customFormat="1" ht="15" thickTop="1">
      <c r="A125" s="727"/>
      <c r="B125" s="1894" t="s">
        <v>2423</v>
      </c>
      <c r="C125" s="1374" t="s">
        <v>3048</v>
      </c>
      <c r="D125" s="1374" t="s">
        <v>3050</v>
      </c>
      <c r="E125" s="1374" t="s">
        <v>3051</v>
      </c>
      <c r="F125" s="1374" t="s">
        <v>3052</v>
      </c>
      <c r="G125" s="1374" t="s">
        <v>3053</v>
      </c>
      <c r="H125" s="3184" t="s">
        <v>3055</v>
      </c>
      <c r="I125" s="717"/>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8"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596</v>
      </c>
      <c r="C127" s="3182" t="s">
        <v>3056</v>
      </c>
      <c r="D127" s="3182" t="s">
        <v>3057</v>
      </c>
      <c r="E127" s="717"/>
      <c r="F127" s="717"/>
      <c r="G127" s="717"/>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4"/>
      <c r="B129" s="672">
        <f>B45</f>
        <v>0</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5" thickTop="1">
      <c r="A131" s="734"/>
      <c r="B131" s="672">
        <f>B46</f>
        <v>0</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5.75" thickBot="1">
      <c r="A132" s="668"/>
      <c r="B132" s="677"/>
      <c r="C132" s="699"/>
      <c r="D132" s="699"/>
      <c r="E132" s="699"/>
      <c r="F132" s="699"/>
      <c r="G132" s="670"/>
      <c r="H132" s="670"/>
      <c r="I132" s="670"/>
      <c r="J132" s="670"/>
      <c r="K132" s="670"/>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8" customFormat="1" ht="15" thickTop="1">
      <c r="A133" s="727"/>
      <c r="B133" s="672">
        <f>B47</f>
        <v>0</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8" customFormat="1" ht="15.75"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6"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6"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6"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6"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6"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6"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6"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6"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6"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6"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6"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6"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6"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6"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6"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6"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6"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6"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6"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6"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6"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6"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6"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6"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6"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6"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6"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6"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6"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6"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6"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6"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6"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6"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6"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6"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6"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6"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6"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6"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6"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6"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6"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6"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6"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6"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6"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6"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6"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6"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6"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6"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6"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6"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6"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6"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6"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6"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6"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6"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6"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6"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6"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6"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6"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6"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6"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6"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6"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6"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6"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6"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6"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6"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6"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6"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6"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6"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6"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6"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6"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6"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6"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6"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6"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6"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6"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6"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6"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6"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6"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6"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6"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6"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6"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6"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6"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6"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6"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6"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6"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6"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6"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6"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6"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6"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6"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6"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6"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6"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6"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6"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6"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6"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6"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6"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6"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6"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6"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6"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6"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48" priority="14" stopIfTrue="1" operator="containsText" text="超过">
      <formula>NOT(ISERROR(SEARCH("超过",F53)))</formula>
    </cfRule>
  </conditionalFormatting>
  <conditionalFormatting sqref="J55">
    <cfRule type="containsText" dxfId="147" priority="13" stopIfTrue="1" operator="containsText" text="超过">
      <formula>NOT(ISERROR(SEARCH("超过",J55)))</formula>
    </cfRule>
  </conditionalFormatting>
  <conditionalFormatting sqref="H55">
    <cfRule type="containsText" dxfId="146" priority="12" stopIfTrue="1" operator="containsText" text="超过">
      <formula>NOT(ISERROR(SEARCH("超过",H55)))</formula>
    </cfRule>
  </conditionalFormatting>
  <conditionalFormatting sqref="F55">
    <cfRule type="containsText" dxfId="145" priority="11" stopIfTrue="1" operator="containsText" text="超过">
      <formula>NOT(ISERROR(SEARCH("超过",F55)))</formula>
    </cfRule>
  </conditionalFormatting>
  <conditionalFormatting sqref="F54 H54 J54">
    <cfRule type="containsText" dxfId="144" priority="10" stopIfTrue="1" operator="containsText" text="超过">
      <formula>NOT(ISERROR(SEARCH("超过",F54)))</formula>
    </cfRule>
  </conditionalFormatting>
  <conditionalFormatting sqref="E53">
    <cfRule type="expression" dxfId="143" priority="9" stopIfTrue="1">
      <formula>$F$53="超过30%"</formula>
    </cfRule>
  </conditionalFormatting>
  <conditionalFormatting sqref="G55">
    <cfRule type="expression" dxfId="142" priority="8" stopIfTrue="1">
      <formula>$H$55="超过30%"</formula>
    </cfRule>
  </conditionalFormatting>
  <conditionalFormatting sqref="E54">
    <cfRule type="expression" dxfId="141" priority="7" stopIfTrue="1">
      <formula>$F$54="超过20%"</formula>
    </cfRule>
  </conditionalFormatting>
  <conditionalFormatting sqref="E55">
    <cfRule type="expression" dxfId="140" priority="6" stopIfTrue="1">
      <formula>$F$55="超过30%"</formula>
    </cfRule>
  </conditionalFormatting>
  <conditionalFormatting sqref="G53">
    <cfRule type="expression" dxfId="139" priority="5" stopIfTrue="1">
      <formula>$H$55+$H$53="超过30%"</formula>
    </cfRule>
  </conditionalFormatting>
  <conditionalFormatting sqref="G54">
    <cfRule type="expression" dxfId="138" priority="4" stopIfTrue="1">
      <formula>$H$54="超过20%"</formula>
    </cfRule>
  </conditionalFormatting>
  <conditionalFormatting sqref="I53">
    <cfRule type="expression" dxfId="137" priority="3" stopIfTrue="1">
      <formula>$J$53="超过30%"</formula>
    </cfRule>
  </conditionalFormatting>
  <conditionalFormatting sqref="I54">
    <cfRule type="expression" dxfId="136" priority="2" stopIfTrue="1">
      <formula>$J$54="超过20%"</formula>
    </cfRule>
  </conditionalFormatting>
  <conditionalFormatting sqref="I55">
    <cfRule type="expression" dxfId="135"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2"/>
  <sheetViews>
    <sheetView tabSelected="1" workbookViewId="0">
      <selection activeCell="F15" sqref="F15"/>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807"/>
      <c r="C1" s="2102"/>
      <c r="D1" s="2102"/>
      <c r="E1" s="2102"/>
      <c r="F1" s="2102"/>
      <c r="G1" s="2102"/>
      <c r="H1" s="2102"/>
      <c r="I1" s="2102"/>
      <c r="J1" s="2102"/>
      <c r="K1" s="421">
        <f>MATCH(B1,'数据-取费表'!A6:A16,0)+5</f>
        <v>13</v>
      </c>
    </row>
    <row r="2" spans="1:31" s="2039" customFormat="1" ht="18" customHeight="1">
      <c r="A2" s="2099" t="s">
        <v>467</v>
      </c>
      <c r="B2" s="2103">
        <f ca="1">C36</f>
        <v>333218</v>
      </c>
      <c r="C2" s="2102"/>
      <c r="D2" s="2102"/>
      <c r="E2" s="2102"/>
      <c r="F2" s="2102"/>
      <c r="G2" s="2102"/>
      <c r="H2" s="2102"/>
      <c r="I2" s="2102"/>
      <c r="J2" s="2102"/>
      <c r="K2" s="2102"/>
    </row>
    <row r="3" spans="1:31" s="2039" customFormat="1" ht="18" customHeight="1">
      <c r="A3" s="2104" t="s">
        <v>1685</v>
      </c>
      <c r="B3" s="2105">
        <f ca="1">ROUND(B2*10000/IF(B1="",'数据-汇总表'!E3,INDIRECT("'数据-取费表'!K"&amp;$K$1)),0)</f>
        <v>19622</v>
      </c>
      <c r="C3" s="2102"/>
      <c r="D3" s="2102"/>
      <c r="E3" s="2102"/>
      <c r="F3" s="2102"/>
      <c r="G3" s="2102"/>
      <c r="H3" s="2102"/>
      <c r="I3" s="2102"/>
      <c r="J3" s="2102"/>
      <c r="K3" s="2102"/>
    </row>
    <row r="4" spans="1:31" s="2039" customFormat="1" ht="18" customHeight="1">
      <c r="A4" s="425" t="s">
        <v>468</v>
      </c>
      <c r="B4" s="426">
        <f ca="1">ROUND(B2*10000/IF(B1="",'数据-汇总表'!D3,INDIRECT("'数据-取费表'!R"&amp;$K$1)),0)</f>
        <v>51993</v>
      </c>
      <c r="C4" s="427"/>
      <c r="D4" s="421"/>
      <c r="E4" s="421"/>
      <c r="F4" s="421"/>
      <c r="G4" s="421"/>
      <c r="H4" s="421"/>
      <c r="I4" s="421"/>
      <c r="J4" s="421"/>
      <c r="K4" s="421"/>
    </row>
    <row r="5" spans="1:31" s="2039" customFormat="1" ht="18" customHeight="1" thickBot="1">
      <c r="A5" s="428"/>
      <c r="B5" s="429">
        <f ca="1">ROUND(B2/(IF(B1="",'数据-汇总表'!D3,INDIRECT("'数据-取费表'!R"&amp;$K$1))/666.67),0)</f>
        <v>3466</v>
      </c>
      <c r="C5" s="430" t="s">
        <v>469</v>
      </c>
      <c r="D5" s="421"/>
      <c r="E5" s="421"/>
      <c r="F5" s="421"/>
      <c r="G5" s="421"/>
      <c r="H5" s="421"/>
      <c r="I5" s="421"/>
      <c r="J5" s="421"/>
      <c r="K5" s="421"/>
    </row>
    <row r="6" spans="1:31" s="2109" customFormat="1" ht="16.5" customHeight="1">
      <c r="A6" s="2826" t="s">
        <v>1843</v>
      </c>
      <c r="B6" s="2827"/>
      <c r="C6" s="2828">
        <f ca="1">SUM(C10:K10)</f>
        <v>509722</v>
      </c>
      <c r="D6" s="2827"/>
      <c r="E6" s="2827"/>
      <c r="F6" s="2827"/>
      <c r="G6" s="2827"/>
      <c r="H6" s="2827"/>
      <c r="I6" s="2827"/>
      <c r="J6" s="2827"/>
      <c r="K6" s="2829"/>
    </row>
    <row r="7" spans="1:31" s="2111" customFormat="1" ht="25.5">
      <c r="A7" s="2830" t="s">
        <v>470</v>
      </c>
      <c r="B7" s="2831" t="s">
        <v>471</v>
      </c>
      <c r="C7" s="435" t="s">
        <v>3197</v>
      </c>
      <c r="D7" s="435" t="s">
        <v>3199</v>
      </c>
      <c r="E7" s="435" t="s">
        <v>3201</v>
      </c>
      <c r="F7" s="435" t="s">
        <v>3033</v>
      </c>
      <c r="G7" s="435" t="s">
        <v>35</v>
      </c>
      <c r="H7" s="435" t="s">
        <v>3072</v>
      </c>
      <c r="I7" s="435" t="s">
        <v>3229</v>
      </c>
      <c r="J7" s="435"/>
      <c r="K7" s="436"/>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1846</v>
      </c>
      <c r="B8" s="260" t="s">
        <v>472</v>
      </c>
      <c r="C8" s="2832">
        <v>60508</v>
      </c>
      <c r="D8" s="2832">
        <f>C8</f>
        <v>60508</v>
      </c>
      <c r="E8" s="2832">
        <f ca="1">不动产收益法!B3</f>
        <v>25549</v>
      </c>
      <c r="F8" s="2832"/>
      <c r="G8" s="2832">
        <f ca="1">'不动产收益法（车库）'!B3</f>
        <v>6156</v>
      </c>
      <c r="H8" s="2832">
        <f ca="1">'不动产收益法（仓储）'!B3</f>
        <v>10083</v>
      </c>
      <c r="I8" s="3206">
        <f>[1]假设开发法!$I$6</f>
        <v>30254</v>
      </c>
      <c r="J8" s="2832"/>
      <c r="K8" s="2833"/>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1847</v>
      </c>
      <c r="B9" s="260" t="s">
        <v>473</v>
      </c>
      <c r="C9" s="440">
        <f>SUMIF('数据-汇总表'!$C19:$C33,'剩余法-待开发'!C7,'数据-汇总表'!$E19:$E33)</f>
        <v>37366.439999999988</v>
      </c>
      <c r="D9" s="440">
        <f>SUMIF('数据-汇总表'!$C19:$C33,'剩余法-待开发'!D7,'数据-汇总表'!$E19:$E33)</f>
        <v>3473.1799999999967</v>
      </c>
      <c r="E9" s="440">
        <f>SUMIF('数据-汇总表'!$C19:$C33,'剩余法-待开发'!E7,'数据-汇总表'!$E19:$E33)</f>
        <v>23770.38</v>
      </c>
      <c r="F9" s="440">
        <f>SUMIF('数据-汇总表'!$C19:$C33,'剩余法-待开发'!F7,'数据-汇总表'!$E19:$E33)</f>
        <v>0</v>
      </c>
      <c r="G9" s="440">
        <f>SUMIF('数据-汇总表'!$C19:$C33,'剩余法-待开发'!G7,'数据-汇总表'!$E19:$E33)</f>
        <v>26123.5</v>
      </c>
      <c r="H9" s="440">
        <f>SUMIF('数据-汇总表'!$C19:$C33,'剩余法-待开发'!H7,'数据-汇总表'!$E19:$E33)</f>
        <v>5874.31</v>
      </c>
      <c r="I9" s="440">
        <f>SUMIF('数据-汇总表'!$C19:$C33,'剩余法-待开发'!I7,'数据-汇总表'!$E19:$E33)</f>
        <v>59454.19</v>
      </c>
      <c r="J9" s="440">
        <f>SUMIF('数据-汇总表'!$C19:$C33,'剩余法-待开发'!J7,'数据-汇总表'!$E19:$E33)</f>
        <v>0</v>
      </c>
      <c r="K9" s="441">
        <f>SUMIF('数据-汇总表'!$C19:$C33,'剩余法-待开发'!K7,'数据-汇总表'!$E19:$E33)</f>
        <v>0</v>
      </c>
      <c r="L9" s="2112">
        <v>684</v>
      </c>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34" t="s">
        <v>1848</v>
      </c>
      <c r="B10" s="2820" t="s">
        <v>474</v>
      </c>
      <c r="C10" s="3026">
        <f>ROUND(C8*C9/10000,0)</f>
        <v>226097</v>
      </c>
      <c r="D10" s="3026">
        <f>ROUND(D8*D9/10000,0)</f>
        <v>21016</v>
      </c>
      <c r="E10" s="3026">
        <f ca="1">不动产收益法!B2</f>
        <v>60731</v>
      </c>
      <c r="F10" s="3026"/>
      <c r="G10" s="3026">
        <f ca="1">'不动产收益法（车库）'!B2</f>
        <v>16082</v>
      </c>
      <c r="H10" s="3026">
        <f ca="1">'不动产收益法（仓储）'!B2</f>
        <v>5923</v>
      </c>
      <c r="I10" s="3026">
        <f>ROUND(I8*I9/10000,0)</f>
        <v>179873</v>
      </c>
      <c r="J10" s="2835"/>
      <c r="K10" s="2836"/>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37" t="s">
        <v>1844</v>
      </c>
      <c r="B11" s="2827"/>
      <c r="C11" s="2827"/>
      <c r="D11" s="2827"/>
      <c r="E11" s="2827"/>
      <c r="F11" s="2827"/>
      <c r="G11" s="2827"/>
      <c r="H11" s="2827"/>
      <c r="I11" s="2827"/>
      <c r="J11" s="2827"/>
      <c r="K11" s="2829"/>
      <c r="L11" s="2109">
        <f ca="1">G10/L9</f>
        <v>23.511695906432749</v>
      </c>
    </row>
    <row r="12" spans="1:31" s="2083" customFormat="1" ht="13.5" customHeight="1">
      <c r="A12" s="2838" t="s">
        <v>470</v>
      </c>
      <c r="B12" s="2810" t="s">
        <v>471</v>
      </c>
      <c r="C12" s="2839" t="s">
        <v>475</v>
      </c>
      <c r="D12" s="2806" t="s">
        <v>476</v>
      </c>
      <c r="E12" s="2806" t="s">
        <v>477</v>
      </c>
      <c r="F12" s="2806" t="s">
        <v>478</v>
      </c>
      <c r="G12" s="2810"/>
      <c r="H12" s="2811"/>
      <c r="I12" s="2811"/>
      <c r="J12" s="2811"/>
      <c r="K12" s="2812"/>
    </row>
    <row r="13" spans="1:31" s="2114" customFormat="1" ht="13.5" customHeight="1">
      <c r="A13" s="2840" t="s">
        <v>1849</v>
      </c>
      <c r="B13" s="2841" t="s">
        <v>479</v>
      </c>
      <c r="C13" s="449">
        <f ca="1">IF(B1="",'数据-取费表'!P16,INDIRECT("'数据-取费表'!p"&amp;$K$1)+INDIRECT("'数据-取费表'!t"&amp;$K$1))</f>
        <v>50856</v>
      </c>
      <c r="D13" s="2842"/>
      <c r="E13" s="2843"/>
      <c r="F13" s="2844"/>
      <c r="G13" s="2810"/>
      <c r="H13" s="2811"/>
      <c r="I13" s="2811"/>
      <c r="J13" s="2811"/>
      <c r="K13" s="2812"/>
    </row>
    <row r="14" spans="1:31" s="2114" customFormat="1" ht="13.5" customHeight="1">
      <c r="A14" s="2840" t="s">
        <v>1850</v>
      </c>
      <c r="B14" s="2841" t="s">
        <v>480</v>
      </c>
      <c r="C14" s="53">
        <f ca="1">ROUND(C13*F14,0)</f>
        <v>1526</v>
      </c>
      <c r="D14" s="2842"/>
      <c r="E14" s="2843"/>
      <c r="F14" s="2845">
        <f>'数据-取费表'!B33</f>
        <v>0.03</v>
      </c>
      <c r="G14" s="2810" t="s">
        <v>481</v>
      </c>
      <c r="H14" s="2811"/>
      <c r="I14" s="2811"/>
      <c r="J14" s="2811"/>
      <c r="K14" s="2812"/>
    </row>
    <row r="15" spans="1:31" s="2114" customFormat="1" ht="13.5" customHeight="1">
      <c r="A15" s="2840" t="s">
        <v>1851</v>
      </c>
      <c r="B15" s="2841" t="s">
        <v>482</v>
      </c>
      <c r="C15" s="53">
        <f ca="1">ROUND(IF(B1="",SUMIF('数据-取费表'!C:C,"住宅",'数据-取费表'!P:P)*F15,IF(INDIRECT("'数据-取费表'!c"&amp;$K$1)="住宅",INDIRECT("'数据-取费表'!P"&amp;$K$1)*F15,0)),0)</f>
        <v>775</v>
      </c>
      <c r="D15" s="2842"/>
      <c r="E15" s="2843"/>
      <c r="F15" s="2845">
        <f>'数据-取费表'!B34</f>
        <v>0.03</v>
      </c>
      <c r="G15" s="2810" t="s">
        <v>483</v>
      </c>
      <c r="H15" s="2811"/>
      <c r="I15" s="2811"/>
      <c r="J15" s="2811"/>
      <c r="K15" s="2812"/>
    </row>
    <row r="16" spans="1:31" s="2115" customFormat="1" ht="13.5" customHeight="1">
      <c r="A16" s="2840" t="s">
        <v>1852</v>
      </c>
      <c r="B16" s="2841" t="s">
        <v>484</v>
      </c>
      <c r="C16" s="53">
        <f ca="1">ROUND(D16*E16/10000,0)</f>
        <v>3396</v>
      </c>
      <c r="D16" s="2842">
        <f ca="1">IF(B1="",'数据-汇总表'!E3,INDIRECT("'数据-取费表'!K"&amp;$K$1)+INDIRECT("'数据-取费表'!S"&amp;$K$1))</f>
        <v>169816</v>
      </c>
      <c r="E16" s="53">
        <f>'数据-取费表'!B35</f>
        <v>200</v>
      </c>
      <c r="F16" s="2845"/>
      <c r="G16" s="2810"/>
      <c r="H16" s="2811"/>
      <c r="I16" s="2811"/>
      <c r="J16" s="2811"/>
      <c r="K16" s="2812"/>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40" t="s">
        <v>1853</v>
      </c>
      <c r="B17" s="2841" t="s">
        <v>485</v>
      </c>
      <c r="C17" s="2846">
        <f ca="1">ROUND(C13*F17,0)</f>
        <v>763</v>
      </c>
      <c r="D17" s="474"/>
      <c r="E17" s="2846"/>
      <c r="F17" s="2847">
        <f>'数据-取费表'!B36</f>
        <v>1.4999999999999999E-2</v>
      </c>
      <c r="G17" s="260" t="s">
        <v>486</v>
      </c>
      <c r="H17" s="2813"/>
      <c r="I17" s="2813"/>
      <c r="J17" s="2813"/>
      <c r="K17" s="278"/>
    </row>
    <row r="18" spans="1:14" s="2114" customFormat="1" ht="13.5" customHeight="1">
      <c r="A18" s="2848" t="s">
        <v>1854</v>
      </c>
      <c r="B18" s="2849" t="s">
        <v>487</v>
      </c>
      <c r="C18" s="2850">
        <f ca="1">SUM(C13:C17)</f>
        <v>57316</v>
      </c>
      <c r="D18" s="2851"/>
      <c r="E18" s="467"/>
      <c r="F18" s="467"/>
      <c r="G18" s="2814" t="s">
        <v>2428</v>
      </c>
      <c r="H18" s="2815"/>
      <c r="I18" s="2815"/>
      <c r="J18" s="2815"/>
      <c r="K18" s="2816"/>
    </row>
    <row r="19" spans="1:14" s="2114" customFormat="1" ht="13.5" customHeight="1">
      <c r="A19" s="2848" t="s">
        <v>1855</v>
      </c>
      <c r="B19" s="2849" t="s">
        <v>488</v>
      </c>
      <c r="C19" s="2806">
        <f ca="1">ROUND(D19*E19/10000,0)</f>
        <v>1698</v>
      </c>
      <c r="D19" s="2852">
        <f ca="1">D16</f>
        <v>169816</v>
      </c>
      <c r="E19" s="2806">
        <f>'数据-取费表'!B32</f>
        <v>100</v>
      </c>
      <c r="F19" s="467"/>
      <c r="G19" s="2810" t="s">
        <v>489</v>
      </c>
      <c r="H19" s="2811"/>
      <c r="I19" s="2815"/>
      <c r="J19" s="2815"/>
      <c r="K19" s="2816"/>
    </row>
    <row r="20" spans="1:14" s="2114" customFormat="1" ht="13.5" customHeight="1">
      <c r="A20" s="2848" t="s">
        <v>1856</v>
      </c>
      <c r="B20" s="2849" t="s">
        <v>490</v>
      </c>
      <c r="C20" s="2806">
        <f ca="1">C21+C22-IF(B1="",'数据-取费表'!B29,IF(G20="已全部缴纳",C21+C22,H20))</f>
        <v>0</v>
      </c>
      <c r="D20" s="2852"/>
      <c r="E20" s="2806"/>
      <c r="F20" s="2853"/>
      <c r="G20" s="3083"/>
      <c r="H20" s="2808"/>
      <c r="I20" s="2809" t="s">
        <v>2648</v>
      </c>
      <c r="J20" s="2815"/>
      <c r="K20" s="2816"/>
    </row>
    <row r="21" spans="1:14" s="2114" customFormat="1" ht="13.5" customHeight="1">
      <c r="A21" s="2840" t="s">
        <v>1857</v>
      </c>
      <c r="B21" s="2841" t="s">
        <v>491</v>
      </c>
      <c r="C21" s="53">
        <f ca="1">ROUND(D21*E21/10000,0)</f>
        <v>0</v>
      </c>
      <c r="D21" s="2842">
        <f ca="1">IF(B1="",'数据-汇总表'!E5,IF(INDIRECT("'数据-取费表'!c"&amp;$K$1)="住宅",INDIRECT("'数据-取费表'!k"&amp;$K$1),0))</f>
        <v>64609.999999999985</v>
      </c>
      <c r="E21" s="53">
        <f>'数据-取费表'!B27</f>
        <v>0</v>
      </c>
      <c r="F21" s="2845"/>
      <c r="G21" s="26"/>
      <c r="H21" s="51"/>
      <c r="I21" s="51"/>
      <c r="J21" s="51"/>
      <c r="K21" s="2817"/>
    </row>
    <row r="22" spans="1:14" s="2114" customFormat="1" ht="13.5" customHeight="1">
      <c r="A22" s="2840" t="s">
        <v>1858</v>
      </c>
      <c r="B22" s="2841" t="s">
        <v>492</v>
      </c>
      <c r="C22" s="53">
        <f ca="1">ROUND(D22*E22/10000,0)</f>
        <v>0</v>
      </c>
      <c r="D22" s="2842">
        <f ca="1">IF(B1="",'数据-汇总表'!E6,IF(INDIRECT("'数据-取费表'!c"&amp;$K$1)="住宅",INDIRECT("'数据-取费表'!s"&amp;$K$1),INDIRECT("'数据-取费表'!k"&amp;$K$1)+INDIRECT("'数据-取费表'!s"&amp;$K$1)))</f>
        <v>105206.00000000001</v>
      </c>
      <c r="E22" s="53">
        <f>'数据-取费表'!B28</f>
        <v>0</v>
      </c>
      <c r="F22" s="2845"/>
      <c r="G22" s="26"/>
      <c r="H22" s="51"/>
      <c r="I22" s="51"/>
      <c r="J22" s="51"/>
      <c r="K22" s="2817"/>
    </row>
    <row r="23" spans="1:14" s="2114" customFormat="1" ht="13.5" customHeight="1">
      <c r="A23" s="2848" t="s">
        <v>1859</v>
      </c>
      <c r="B23" s="3032" t="s">
        <v>2831</v>
      </c>
      <c r="C23" s="2850">
        <f ca="1">ROUND((C18+C19+C20)*F23,0)</f>
        <v>1180</v>
      </c>
      <c r="D23" s="467"/>
      <c r="E23" s="467"/>
      <c r="F23" s="2854">
        <f>'数据-取费表'!B37</f>
        <v>0.02</v>
      </c>
      <c r="G23" s="2810" t="s">
        <v>2429</v>
      </c>
      <c r="H23" s="2811"/>
      <c r="I23" s="2811"/>
      <c r="J23" s="2811"/>
      <c r="K23" s="2812"/>
      <c r="L23" s="2116"/>
      <c r="M23" s="2116"/>
      <c r="N23" s="2116"/>
    </row>
    <row r="24" spans="1:14" s="2114" customFormat="1" ht="13.5" customHeight="1">
      <c r="A24" s="2848" t="s">
        <v>1860</v>
      </c>
      <c r="B24" s="3032" t="s">
        <v>2834</v>
      </c>
      <c r="C24" s="2850">
        <f ca="1">ROUND(C6*F24,0)</f>
        <v>10194</v>
      </c>
      <c r="D24" s="474"/>
      <c r="E24" s="472"/>
      <c r="F24" s="2854">
        <f>'数据-取费表'!B38</f>
        <v>0.02</v>
      </c>
      <c r="G24" s="2819" t="s">
        <v>499</v>
      </c>
      <c r="H24" s="2813"/>
      <c r="I24" s="2813"/>
      <c r="J24" s="2813"/>
      <c r="K24" s="278"/>
      <c r="L24" s="2116"/>
      <c r="M24" s="2116"/>
      <c r="N24" s="2116"/>
    </row>
    <row r="25" spans="1:14" s="2117" customFormat="1" ht="13.5" customHeight="1">
      <c r="A25" s="2848" t="s">
        <v>1861</v>
      </c>
      <c r="B25" s="3032" t="s">
        <v>2832</v>
      </c>
      <c r="C25" s="466">
        <f>ROUND(F25/(1+'数据-取费表'!C42),4)</f>
        <v>2.9000000000000001E-2</v>
      </c>
      <c r="D25" s="461" t="s">
        <v>2826</v>
      </c>
      <c r="E25" s="468"/>
      <c r="F25" s="2854">
        <f>'数据-取费表'!B48+'数据-取费表'!B49</f>
        <v>3.0499999999999999E-2</v>
      </c>
      <c r="G25" s="2818" t="s">
        <v>2289</v>
      </c>
      <c r="H25" s="2811"/>
      <c r="I25" s="2811"/>
      <c r="J25" s="2811"/>
      <c r="K25" s="2812"/>
    </row>
    <row r="26" spans="1:14" s="2116" customFormat="1" ht="13.5" customHeight="1">
      <c r="A26" s="2848" t="s">
        <v>1862</v>
      </c>
      <c r="B26" s="3033" t="s">
        <v>2833</v>
      </c>
      <c r="C26" s="2855">
        <f ca="1">C28</f>
        <v>3343</v>
      </c>
      <c r="D26" s="466">
        <f ca="1">C27</f>
        <v>0.10009999999999999</v>
      </c>
      <c r="E26" s="468" t="s">
        <v>495</v>
      </c>
      <c r="F26" s="470">
        <f ca="1">'数据-取费表'!B40</f>
        <v>4.7500000000000001E-2</v>
      </c>
      <c r="G26" s="2570" t="str">
        <f>IF('数据-取费表'!B22&lt;=1,"单利计息。","复利计息。")&amp;"后续开发成本、管理费用及销售费用产生的利息。"</f>
        <v>复利计息。后续开发成本、管理费用及销售费用产生的利息。</v>
      </c>
      <c r="H26" s="2815"/>
      <c r="I26" s="2815"/>
      <c r="J26" s="2815"/>
      <c r="K26" s="2816"/>
    </row>
    <row r="27" spans="1:14" s="2118" customFormat="1" ht="13.5" customHeight="1">
      <c r="A27" s="802" t="s">
        <v>1857</v>
      </c>
      <c r="B27" s="2856" t="s">
        <v>496</v>
      </c>
      <c r="C27" s="2857">
        <f ca="1">ROUND(IF('数据-取费表'!B22&lt;=1,(1+C25)*F26*'数据-取费表'!B24,(1+C25)*(POWER((1+F26),'数据-取费表'!B24)-1)),4)</f>
        <v>0.10009999999999999</v>
      </c>
      <c r="D27" s="471"/>
      <c r="E27" s="472"/>
      <c r="F27" s="473"/>
      <c r="G27" s="2570" t="str">
        <f>IF('数据-取费表'!B22&lt;=1,"（1+取得税费率/(1+5%)）×年利率×建设期","（1+取得税费率）/(1+5%)×((1+年利率)^建设期-1)")</f>
        <v>（1+取得税费率）/(1+5%)×((1+年利率)^建设期-1)</v>
      </c>
      <c r="H27" s="2813"/>
      <c r="I27" s="2813"/>
      <c r="J27" s="2813"/>
      <c r="K27" s="278"/>
    </row>
    <row r="28" spans="1:14" s="2118" customFormat="1" ht="13.5" customHeight="1">
      <c r="A28" s="802" t="s">
        <v>1858</v>
      </c>
      <c r="B28" s="2856" t="s">
        <v>2835</v>
      </c>
      <c r="C28" s="2858">
        <f ca="1">ROUND(IF('数据-取费表'!B22&lt;=1,(C18+C19+C20+C23+C24)*F26*'数据-取费表'!B24/2,(C18+C19+C20+C23+C24)*(POWER((1+F26),'数据-取费表'!B24/2)-1)),0)</f>
        <v>3343</v>
      </c>
      <c r="D28" s="471"/>
      <c r="E28" s="472"/>
      <c r="F28" s="473"/>
      <c r="G28" s="2570" t="str">
        <f>IF('数据-取费表'!B22&lt;=1,"（1）-（4）项×年利率×建设期÷2","（1）-（4）项×((1+年利率)^(建设期÷2)-1)")</f>
        <v>（1）-（4）项×((1+年利率)^(建设期÷2)-1)</v>
      </c>
      <c r="H28" s="2813"/>
      <c r="I28" s="2813"/>
      <c r="J28" s="2813"/>
      <c r="K28" s="278"/>
    </row>
    <row r="29" spans="1:14" s="2118" customFormat="1" ht="13.5" customHeight="1">
      <c r="A29" s="2859" t="s">
        <v>1863</v>
      </c>
      <c r="B29" s="2849" t="s">
        <v>497</v>
      </c>
      <c r="C29" s="2850">
        <f ca="1">ROUND(C6*F29/(1+'数据-取费表'!C42),0)</f>
        <v>26700</v>
      </c>
      <c r="D29" s="467"/>
      <c r="E29" s="467"/>
      <c r="F29" s="3034">
        <f>'数据-取费表'!B41</f>
        <v>5.5000000000000007E-2</v>
      </c>
      <c r="G29" s="2819" t="s">
        <v>498</v>
      </c>
      <c r="H29" s="2811"/>
      <c r="I29" s="2811"/>
      <c r="J29" s="2811"/>
      <c r="K29" s="2812"/>
    </row>
    <row r="30" spans="1:14" s="2119" customFormat="1" ht="13.5" customHeight="1">
      <c r="A30" s="1634" t="s">
        <v>1864</v>
      </c>
      <c r="B30" s="2860" t="s">
        <v>500</v>
      </c>
      <c r="C30" s="2855">
        <f ca="1">C31</f>
        <v>100431</v>
      </c>
      <c r="D30" s="476">
        <f ca="1">C32</f>
        <v>0.12909999999999999</v>
      </c>
      <c r="E30" s="468" t="s">
        <v>495</v>
      </c>
      <c r="F30" s="470"/>
      <c r="G30" s="2818" t="s">
        <v>2960</v>
      </c>
      <c r="H30" s="2811"/>
      <c r="I30" s="2811"/>
      <c r="J30" s="2811"/>
      <c r="K30" s="2812"/>
    </row>
    <row r="31" spans="1:14" s="2118" customFormat="1" ht="13.5" customHeight="1">
      <c r="A31" s="802" t="s">
        <v>1857</v>
      </c>
      <c r="B31" s="2856"/>
      <c r="C31" s="449">
        <f ca="1">C18+C19+C20+C23+C24+C26+C29</f>
        <v>100431</v>
      </c>
      <c r="D31" s="471"/>
      <c r="E31" s="472"/>
      <c r="F31" s="473"/>
      <c r="G31" s="260"/>
      <c r="H31" s="2813"/>
      <c r="I31" s="2813"/>
      <c r="J31" s="2813"/>
      <c r="K31" s="278"/>
    </row>
    <row r="32" spans="1:14" s="2118" customFormat="1" ht="13.5" customHeight="1">
      <c r="A32" s="802" t="s">
        <v>1858</v>
      </c>
      <c r="B32" s="2856"/>
      <c r="C32" s="53">
        <f ca="1">ROUND(C25+D26,4)</f>
        <v>0.12909999999999999</v>
      </c>
      <c r="D32" s="471"/>
      <c r="E32" s="472"/>
      <c r="F32" s="473"/>
      <c r="G32" s="260"/>
      <c r="H32" s="2813"/>
      <c r="I32" s="2813"/>
      <c r="J32" s="2813"/>
      <c r="K32" s="278"/>
    </row>
    <row r="33" spans="1:11" s="2120" customFormat="1" ht="13.5" customHeight="1">
      <c r="A33" s="3031" t="s">
        <v>2830</v>
      </c>
      <c r="B33" s="3029" t="s">
        <v>2828</v>
      </c>
      <c r="C33" s="477">
        <f ca="1">C35</f>
        <v>5631</v>
      </c>
      <c r="D33" s="466">
        <f ca="1">C34</f>
        <v>8.2299999999999998E-2</v>
      </c>
      <c r="E33" s="468" t="s">
        <v>495</v>
      </c>
      <c r="F33" s="478">
        <f ca="1">IF(B1="",'数据-取费表'!Q16,INDIRECT("'数据-取费表'!q"&amp;$K$1))</f>
        <v>0.08</v>
      </c>
      <c r="G33" s="2814"/>
      <c r="H33" s="2815"/>
      <c r="I33" s="2815"/>
      <c r="J33" s="2815"/>
      <c r="K33" s="2816"/>
    </row>
    <row r="34" spans="1:11" s="2121" customFormat="1" ht="13.5" customHeight="1">
      <c r="A34" s="374" t="s">
        <v>1857</v>
      </c>
      <c r="B34" s="2861" t="s">
        <v>501</v>
      </c>
      <c r="C34" s="471">
        <f ca="1">ROUND((1+C25)*F33,4)</f>
        <v>8.2299999999999998E-2</v>
      </c>
      <c r="D34" s="471"/>
      <c r="E34" s="472"/>
      <c r="F34" s="479"/>
      <c r="G34" s="260" t="s">
        <v>2290</v>
      </c>
      <c r="H34" s="2813"/>
      <c r="I34" s="2813"/>
      <c r="J34" s="2813"/>
      <c r="K34" s="278"/>
    </row>
    <row r="35" spans="1:11" s="2121" customFormat="1" ht="13.5" customHeight="1" thickBot="1">
      <c r="A35" s="1635" t="s">
        <v>1858</v>
      </c>
      <c r="B35" s="3030" t="s">
        <v>2836</v>
      </c>
      <c r="C35" s="1627">
        <f ca="1">ROUND((C18+C19+C20+C23+C24)*F33,0)</f>
        <v>5631</v>
      </c>
      <c r="D35" s="1628"/>
      <c r="E35" s="2862"/>
      <c r="F35" s="1629"/>
      <c r="G35" s="2820"/>
      <c r="H35" s="2821"/>
      <c r="I35" s="2821"/>
      <c r="J35" s="2821"/>
      <c r="K35" s="2822"/>
    </row>
    <row r="36" spans="1:11" s="2083" customFormat="1" ht="13.5" customHeight="1" thickBot="1">
      <c r="A36" s="283" t="s">
        <v>1845</v>
      </c>
      <c r="B36" s="2824"/>
      <c r="C36" s="2863">
        <f ca="1">ROUND((C6-C30-C33)/(1+D30+D33),0)</f>
        <v>333218</v>
      </c>
      <c r="D36" s="2824"/>
      <c r="E36" s="2824"/>
      <c r="F36" s="2824"/>
      <c r="G36" s="2823" t="s">
        <v>2837</v>
      </c>
      <c r="H36" s="2824"/>
      <c r="I36" s="2824"/>
      <c r="J36" s="2824"/>
      <c r="K36" s="2825"/>
    </row>
    <row r="38" spans="1:11" ht="12.75" customHeight="1"/>
    <row r="42" spans="1:11">
      <c r="C42" s="3207">
        <f>70.5+4.9008</f>
        <v>75.400800000000004</v>
      </c>
      <c r="D42" s="3208">
        <f>ROUND(C42*(1+3.05%),4)</f>
        <v>77.700500000000005</v>
      </c>
    </row>
  </sheetData>
  <sheetProtection password="C66D" sheet="1" objects="1" scenarios="1" formatCells="0" formatColumns="0" formatRows="0"/>
  <phoneticPr fontId="16"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280" t="str">
        <f>项目基本情况!B1</f>
        <v>北京市顺义区高丽营镇于庄03-21地块出让国有建设用地使用权抵押价格预评估</v>
      </c>
      <c r="C37" s="3280"/>
      <c r="D37" s="3280"/>
      <c r="E37" s="3280"/>
      <c r="F37" s="3280"/>
      <c r="G37" s="3280"/>
      <c r="H37" s="3280"/>
      <c r="I37" s="3280"/>
    </row>
    <row r="38" spans="1:9">
      <c r="A38" s="1655"/>
      <c r="B38" s="1655"/>
    </row>
    <row r="39" spans="1:9">
      <c r="A39" s="1653" t="s">
        <v>1902</v>
      </c>
      <c r="B39" s="1653" t="s">
        <v>2046</v>
      </c>
    </row>
    <row r="40" spans="1:9">
      <c r="A40" s="1653"/>
      <c r="B40" s="1653" t="str">
        <f>项目基本情况!B5</f>
        <v xml:space="preserve">北京万龙华房地产开发有限公司 </v>
      </c>
    </row>
    <row r="41" spans="1:9">
      <c r="A41" s="1653"/>
      <c r="B41" s="1653"/>
    </row>
    <row r="42" spans="1:9">
      <c r="A42" s="1653" t="s">
        <v>1902</v>
      </c>
      <c r="B42" s="1653" t="s">
        <v>2047</v>
      </c>
    </row>
    <row r="43" spans="1:9">
      <c r="A43" s="1653"/>
      <c r="B43" s="1653" t="s">
        <v>1904</v>
      </c>
    </row>
    <row r="44" spans="1:9">
      <c r="A44" s="1653"/>
      <c r="B44" s="1653"/>
    </row>
    <row r="45" spans="1:9">
      <c r="A45" s="1653" t="s">
        <v>1902</v>
      </c>
      <c r="B45" s="1653" t="s">
        <v>2045</v>
      </c>
    </row>
    <row r="46" spans="1:9" s="1653" customFormat="1" ht="12.75">
      <c r="B46" s="1653" t="str">
        <f>项目基本情况!K4</f>
        <v>吴薇、郑燚</v>
      </c>
    </row>
    <row r="47" spans="1:9">
      <c r="A47" s="1653"/>
      <c r="B47" s="1653"/>
    </row>
    <row r="48" spans="1:9">
      <c r="A48" s="1653" t="s">
        <v>1902</v>
      </c>
      <c r="B48" s="1653" t="s">
        <v>2048</v>
      </c>
    </row>
    <row r="49" spans="2:2">
      <c r="B49" s="1653" t="str">
        <f>"康正预评字"&amp;项目基本情况!B2&amp;"号"</f>
        <v>康正预评字2018-1-0667号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G35"/>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0" t="s">
        <v>466</v>
      </c>
      <c r="B1" s="2807"/>
      <c r="C1" s="2102"/>
      <c r="D1" s="2102"/>
      <c r="E1" s="2102"/>
      <c r="F1" s="2102"/>
      <c r="G1" s="2102"/>
      <c r="H1" s="2102"/>
      <c r="I1" s="2102"/>
      <c r="J1" s="2102"/>
      <c r="K1" s="421">
        <f>MATCH(B1,'数据-取费表'!A6:A16,0)+5</f>
        <v>13</v>
      </c>
    </row>
    <row r="2" spans="1:41" s="2039" customFormat="1" ht="18" customHeight="1">
      <c r="A2" s="422" t="s">
        <v>467</v>
      </c>
      <c r="B2" s="423">
        <f ca="1">C32</f>
        <v>0</v>
      </c>
      <c r="C2" s="2102"/>
      <c r="D2" s="2102"/>
      <c r="E2" s="2102"/>
      <c r="F2" s="2102"/>
      <c r="G2" s="2102"/>
      <c r="H2" s="2102"/>
      <c r="I2" s="2102"/>
      <c r="J2" s="2102"/>
      <c r="K2" s="2102"/>
    </row>
    <row r="3" spans="1:41" s="2039" customFormat="1" ht="18" customHeight="1">
      <c r="A3" s="1378" t="s">
        <v>1685</v>
      </c>
      <c r="B3" s="424">
        <f ca="1">ROUND(B2*10000/IF(B1="",'数据-汇总表'!E3,INDIRECT("'数据-取费表'!K"&amp;$K$1)),0)</f>
        <v>0</v>
      </c>
      <c r="C3" s="2102"/>
      <c r="D3" s="2102"/>
      <c r="E3" s="2102"/>
      <c r="F3" s="2102"/>
      <c r="G3" s="2102"/>
      <c r="H3" s="2102"/>
      <c r="I3" s="2102"/>
      <c r="J3" s="2102"/>
      <c r="K3" s="2102"/>
    </row>
    <row r="4" spans="1:41" s="2039" customFormat="1" ht="18" customHeight="1">
      <c r="A4" s="425" t="s">
        <v>468</v>
      </c>
      <c r="B4" s="426">
        <f ca="1">ROUND(B2*10000/IF(B1="",'数据-汇总表'!D3,INDIRECT("'数据-取费表'!R"&amp;$K$1)),0)</f>
        <v>0</v>
      </c>
      <c r="C4" s="2059"/>
      <c r="D4" s="2102"/>
      <c r="E4" s="2102"/>
      <c r="F4" s="2102"/>
      <c r="G4" s="2102"/>
      <c r="H4" s="2102"/>
      <c r="I4" s="2102"/>
      <c r="J4" s="2102"/>
      <c r="K4" s="2102"/>
    </row>
    <row r="5" spans="1:41" s="2039" customFormat="1" ht="18" customHeight="1" thickBot="1">
      <c r="A5" s="428"/>
      <c r="B5" s="429">
        <f ca="1">ROUND(B2/(IF(B1="",'数据-汇总表'!D3,INDIRECT("'数据-取费表'!R"&amp;$K$1))/666.67),0)</f>
        <v>0</v>
      </c>
      <c r="C5" s="430" t="s">
        <v>469</v>
      </c>
      <c r="D5" s="2102"/>
      <c r="E5" s="2102"/>
      <c r="F5" s="2102"/>
      <c r="G5" s="2102"/>
      <c r="H5" s="2102"/>
      <c r="I5" s="2102"/>
      <c r="J5" s="2102"/>
      <c r="K5" s="2102"/>
    </row>
    <row r="6" spans="1:41" s="2109" customFormat="1" ht="16.5" customHeight="1">
      <c r="A6" s="431" t="s">
        <v>2649</v>
      </c>
      <c r="B6" s="432"/>
      <c r="C6" s="1622">
        <f>SUM(C10:K10)</f>
        <v>0</v>
      </c>
      <c r="D6" s="2107"/>
      <c r="E6" s="2107"/>
      <c r="F6" s="2107"/>
      <c r="G6" s="2107"/>
      <c r="H6" s="2107"/>
      <c r="I6" s="2107"/>
      <c r="J6" s="2107"/>
      <c r="K6" s="2108"/>
    </row>
    <row r="7" spans="1:41" s="2111" customFormat="1" ht="15">
      <c r="A7" s="433" t="s">
        <v>470</v>
      </c>
      <c r="B7" s="434" t="s">
        <v>471</v>
      </c>
      <c r="C7" s="435"/>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30" t="s">
        <v>1846</v>
      </c>
      <c r="B8" s="437" t="s">
        <v>472</v>
      </c>
      <c r="C8" s="438"/>
      <c r="D8" s="438"/>
      <c r="E8" s="438"/>
      <c r="F8" s="438"/>
      <c r="G8" s="438"/>
      <c r="H8" s="438"/>
      <c r="I8" s="438"/>
      <c r="J8" s="438"/>
      <c r="K8" s="439"/>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30"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1" t="s">
        <v>1848</v>
      </c>
      <c r="B10" s="1623" t="s">
        <v>474</v>
      </c>
      <c r="C10" s="1624"/>
      <c r="D10" s="1624"/>
      <c r="E10" s="1624"/>
      <c r="F10" s="1625"/>
      <c r="G10" s="1625"/>
      <c r="H10" s="1625"/>
      <c r="I10" s="1625"/>
      <c r="J10" s="1625"/>
      <c r="K10" s="1626"/>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9" t="s">
        <v>1865</v>
      </c>
      <c r="B11" s="1620"/>
      <c r="C11" s="1620"/>
      <c r="D11" s="1620"/>
      <c r="E11" s="1620"/>
      <c r="F11" s="1620"/>
      <c r="G11" s="1620"/>
      <c r="H11" s="1620"/>
      <c r="I11" s="1620"/>
      <c r="J11" s="1620"/>
      <c r="K11" s="1621"/>
    </row>
    <row r="12" spans="1:41" s="2083" customFormat="1" ht="13.5" customHeight="1">
      <c r="A12" s="433" t="s">
        <v>470</v>
      </c>
      <c r="B12" s="443" t="s">
        <v>471</v>
      </c>
      <c r="C12" s="444" t="s">
        <v>475</v>
      </c>
      <c r="D12" s="445" t="s">
        <v>476</v>
      </c>
      <c r="E12" s="445" t="s">
        <v>477</v>
      </c>
      <c r="F12" s="445" t="s">
        <v>478</v>
      </c>
      <c r="G12" s="443"/>
      <c r="H12" s="446"/>
      <c r="I12" s="446"/>
      <c r="J12" s="446"/>
      <c r="K12" s="447"/>
    </row>
    <row r="13" spans="1:41" s="2114" customFormat="1" ht="13.5" customHeight="1">
      <c r="A13" s="1632" t="s">
        <v>1849</v>
      </c>
      <c r="B13" s="448" t="s">
        <v>479</v>
      </c>
      <c r="C13" s="449">
        <f ca="1">IF(B1="",'数据-取费表'!M16,INDIRECT("'数据-取费表'!M"&amp;$K$1)+INDIRECT("'数据-取费表'!t"&amp;$K$1))</f>
        <v>50856</v>
      </c>
      <c r="D13" s="450"/>
      <c r="E13" s="364"/>
      <c r="F13" s="451"/>
      <c r="G13" s="443"/>
      <c r="H13" s="446"/>
      <c r="I13" s="446"/>
      <c r="J13" s="446"/>
      <c r="K13" s="447"/>
    </row>
    <row r="14" spans="1:41" s="2114" customFormat="1" ht="13.5" customHeight="1">
      <c r="A14" s="1632" t="s">
        <v>1850</v>
      </c>
      <c r="B14" s="448" t="s">
        <v>480</v>
      </c>
      <c r="C14" s="53">
        <f ca="1">ROUND(C13*F14,0)</f>
        <v>1526</v>
      </c>
      <c r="D14" s="450"/>
      <c r="E14" s="364"/>
      <c r="F14" s="452">
        <f>'数据-取费表'!B33</f>
        <v>0.03</v>
      </c>
      <c r="G14" s="443" t="s">
        <v>502</v>
      </c>
      <c r="H14" s="446"/>
      <c r="I14" s="446"/>
      <c r="J14" s="446"/>
      <c r="K14" s="447"/>
    </row>
    <row r="15" spans="1:41" s="2114" customFormat="1" ht="13.5" customHeight="1">
      <c r="A15" s="1632" t="s">
        <v>1851</v>
      </c>
      <c r="B15" s="448" t="s">
        <v>482</v>
      </c>
      <c r="C15" s="53">
        <f ca="1">ROUND(IF(B1="",SUMIF('数据-取费表'!C:C,"住宅",'数据-取费表'!M:M)*F15,IF(INDIRECT("'数据-取费表'!c"&amp;$K$1)="住宅",INDIRECT("'数据-取费表'!M"&amp;$K$1)*F15,0)),0)</f>
        <v>775</v>
      </c>
      <c r="D15" s="450"/>
      <c r="E15" s="364"/>
      <c r="F15" s="452">
        <f>'数据-取费表'!B34</f>
        <v>0.03</v>
      </c>
      <c r="G15" s="443" t="s">
        <v>502</v>
      </c>
      <c r="H15" s="446"/>
      <c r="I15" s="446"/>
      <c r="J15" s="446"/>
      <c r="K15" s="447"/>
    </row>
    <row r="16" spans="1:41" s="2115" customFormat="1" ht="13.5" customHeight="1">
      <c r="A16" s="1632" t="s">
        <v>1852</v>
      </c>
      <c r="B16" s="448" t="s">
        <v>484</v>
      </c>
      <c r="C16" s="53">
        <f ca="1">ROUND(D16*E16/10000,0)</f>
        <v>3396</v>
      </c>
      <c r="D16" s="450">
        <f ca="1">IF(B1="",'数据-汇总表'!E3,INDIRECT("'数据-取费表'!K"&amp;$K$1)+INDIRECT("'数据-取费表'!S"&amp;$K$1))</f>
        <v>169816</v>
      </c>
      <c r="E16" s="53">
        <f>'数据-取费表'!B35</f>
        <v>200</v>
      </c>
      <c r="F16" s="452"/>
      <c r="G16" s="443"/>
      <c r="H16" s="446"/>
      <c r="I16" s="446"/>
      <c r="J16" s="446"/>
      <c r="K16" s="44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2" t="s">
        <v>1853</v>
      </c>
      <c r="B17" s="448" t="s">
        <v>485</v>
      </c>
      <c r="C17" s="453">
        <f ca="1">ROUND(C13*F17,0)</f>
        <v>763</v>
      </c>
      <c r="D17" s="454"/>
      <c r="E17" s="453"/>
      <c r="F17" s="455">
        <f>'数据-取费表'!B36</f>
        <v>1.4999999999999999E-2</v>
      </c>
      <c r="G17" s="443" t="s">
        <v>502</v>
      </c>
      <c r="H17" s="456"/>
      <c r="I17" s="456"/>
      <c r="J17" s="456"/>
      <c r="K17" s="457"/>
    </row>
    <row r="18" spans="1:14" s="2117" customFormat="1" ht="13.5" customHeight="1">
      <c r="A18" s="1633" t="s">
        <v>1854</v>
      </c>
      <c r="B18" s="458" t="s">
        <v>487</v>
      </c>
      <c r="C18" s="459">
        <f ca="1">SUM(C13:C17)</f>
        <v>57316</v>
      </c>
      <c r="D18" s="460"/>
      <c r="E18" s="461"/>
      <c r="F18" s="461"/>
      <c r="G18" s="1326" t="s">
        <v>2430</v>
      </c>
      <c r="H18" s="446"/>
      <c r="I18" s="446"/>
      <c r="J18" s="446"/>
      <c r="K18" s="447"/>
    </row>
    <row r="19" spans="1:14" s="2117" customFormat="1" ht="13.5" customHeight="1">
      <c r="A19" s="1633" t="s">
        <v>1855</v>
      </c>
      <c r="B19" s="458" t="s">
        <v>493</v>
      </c>
      <c r="C19" s="459">
        <f ca="1">ROUND(C18*F19,0)</f>
        <v>1146</v>
      </c>
      <c r="D19" s="461"/>
      <c r="E19" s="461"/>
      <c r="F19" s="465">
        <f>'数据-取费表'!B37</f>
        <v>0.02</v>
      </c>
      <c r="G19" s="443" t="s">
        <v>503</v>
      </c>
      <c r="H19" s="446"/>
      <c r="I19" s="446"/>
      <c r="J19" s="446"/>
      <c r="K19" s="447"/>
      <c r="L19" s="2119"/>
      <c r="M19" s="2119"/>
      <c r="N19" s="2119"/>
    </row>
    <row r="20" spans="1:14" s="2117" customFormat="1" ht="13.5" customHeight="1">
      <c r="A20" s="1633" t="s">
        <v>1856</v>
      </c>
      <c r="B20" s="458" t="s">
        <v>504</v>
      </c>
      <c r="C20" s="3027">
        <f>F20</f>
        <v>0.02</v>
      </c>
      <c r="D20" s="468" t="s">
        <v>505</v>
      </c>
      <c r="E20" s="468"/>
      <c r="F20" s="485">
        <f>'数据-取费表'!B38</f>
        <v>0.02</v>
      </c>
      <c r="G20" s="1326" t="s">
        <v>506</v>
      </c>
      <c r="H20" s="446"/>
      <c r="I20" s="446"/>
      <c r="J20" s="446"/>
      <c r="K20" s="447"/>
      <c r="L20" s="2119"/>
      <c r="M20" s="2119"/>
      <c r="N20" s="2119"/>
    </row>
    <row r="21" spans="1:14" s="2119" customFormat="1" ht="13.5" customHeight="1">
      <c r="A21" s="1633" t="s">
        <v>1859</v>
      </c>
      <c r="B21" s="460" t="s">
        <v>494</v>
      </c>
      <c r="C21" s="469">
        <f ca="1">C22</f>
        <v>2777</v>
      </c>
      <c r="D21" s="466">
        <f ca="1">C23</f>
        <v>1E-3</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6" t="s">
        <v>2452</v>
      </c>
    </row>
    <row r="22" spans="1:14" s="2118" customFormat="1" ht="13.5" customHeight="1">
      <c r="A22" s="1632" t="s">
        <v>1849</v>
      </c>
      <c r="B22" s="1327" t="s">
        <v>2433</v>
      </c>
      <c r="C22" s="486">
        <f ca="1">ROUND(IF('数据-取费表'!B22&lt;=1,(C18+C19)*F21*'数据-取费表'!B20/2,(C18+C19)*(POWER((1+F21),'数据-取费表'!B20/2)-1)),0)</f>
        <v>2777</v>
      </c>
      <c r="D22" s="471"/>
      <c r="E22" s="472"/>
      <c r="F22" s="473"/>
      <c r="G22" s="2565" t="str">
        <f>IF('数据-取费表'!B22&lt;=1,"((1)+(2))×年利率×建设期÷2","((1)+(2))×((1+年利率)^(建设期÷2)-1)")</f>
        <v>((1)+(2))×((1+年利率)^(建设期÷2)-1)</v>
      </c>
      <c r="H22" s="456"/>
      <c r="I22" s="456"/>
      <c r="J22" s="456"/>
      <c r="K22" s="457"/>
    </row>
    <row r="23" spans="1:14" s="2118" customFormat="1" ht="13.5" customHeight="1">
      <c r="A23" s="1632" t="s">
        <v>1850</v>
      </c>
      <c r="B23" s="1327" t="s">
        <v>508</v>
      </c>
      <c r="C23" s="487">
        <f ca="1">ROUND(IF('数据-取费表'!B22&lt;=1,F20*F21*'数据-取费表'!B20/2,F20*(POWER((1+F21),'数据-取费表'!B20/2)-1)),4)</f>
        <v>1E-3</v>
      </c>
      <c r="D23" s="471"/>
      <c r="E23" s="472"/>
      <c r="F23" s="473"/>
      <c r="G23" s="2565" t="str">
        <f>IF('数据-取费表'!B22&lt;=1,"销售费用率×年利率×建设期÷2","销售费用率×((1+年利率)^(建设期÷2)-1)")</f>
        <v>销售费用率×((1+年利率)^(建设期÷2)-1)</v>
      </c>
      <c r="H23" s="456"/>
      <c r="I23" s="456"/>
      <c r="J23" s="456"/>
      <c r="K23" s="457"/>
    </row>
    <row r="24" spans="1:14" s="2118" customFormat="1" ht="13.5" customHeight="1">
      <c r="A24" s="1633" t="s">
        <v>1860</v>
      </c>
      <c r="B24" s="3029" t="s">
        <v>2829</v>
      </c>
      <c r="C24" s="477">
        <f ca="1">C25</f>
        <v>4677</v>
      </c>
      <c r="D24" s="488">
        <f ca="1">C26</f>
        <v>1.6000000000000001E-3</v>
      </c>
      <c r="E24" s="468" t="s">
        <v>507</v>
      </c>
      <c r="F24" s="478">
        <f ca="1">IF(B1="",'数据-取费表'!Q16,INDIRECT("'数据-取费表'!q"&amp;$K$1))</f>
        <v>0.08</v>
      </c>
      <c r="G24" s="443"/>
      <c r="H24" s="446"/>
      <c r="I24" s="446"/>
      <c r="J24" s="446"/>
      <c r="K24" s="447"/>
    </row>
    <row r="25" spans="1:14" s="2118" customFormat="1" ht="13.5" customHeight="1">
      <c r="A25" s="1632" t="s">
        <v>1849</v>
      </c>
      <c r="B25" s="1327" t="s">
        <v>2434</v>
      </c>
      <c r="C25" s="489">
        <f ca="1">ROUND((C18+C19)*F24,0)</f>
        <v>4677</v>
      </c>
      <c r="D25" s="471"/>
      <c r="E25" s="472"/>
      <c r="F25" s="479"/>
      <c r="G25" s="1325" t="s">
        <v>2431</v>
      </c>
      <c r="H25" s="456"/>
      <c r="I25" s="456"/>
      <c r="J25" s="456"/>
      <c r="K25" s="457"/>
    </row>
    <row r="26" spans="1:14" s="2118" customFormat="1" ht="13.5" customHeight="1">
      <c r="A26" s="1632" t="s">
        <v>1850</v>
      </c>
      <c r="B26" s="1327" t="s">
        <v>509</v>
      </c>
      <c r="C26" s="490">
        <f ca="1">ROUND(F20*F24,4)</f>
        <v>1.6000000000000001E-3</v>
      </c>
      <c r="D26" s="471"/>
      <c r="E26" s="480"/>
      <c r="F26" s="479"/>
      <c r="G26" s="1325" t="s">
        <v>510</v>
      </c>
      <c r="H26" s="456"/>
      <c r="I26" s="456"/>
      <c r="J26" s="456"/>
      <c r="K26" s="457"/>
    </row>
    <row r="27" spans="1:14" s="2118" customFormat="1" ht="13.5" customHeight="1">
      <c r="A27" s="1636" t="s">
        <v>1868</v>
      </c>
      <c r="B27" s="458" t="s">
        <v>511</v>
      </c>
      <c r="C27" s="3028">
        <f>ROUND(F27/(1+'数据-取费表'!C42),4)</f>
        <v>5.2400000000000002E-2</v>
      </c>
      <c r="D27" s="461" t="s">
        <v>2827</v>
      </c>
      <c r="E27" s="461"/>
      <c r="F27" s="465">
        <f>'数据-取费表'!B41</f>
        <v>5.5000000000000007E-2</v>
      </c>
      <c r="G27" s="1958" t="s">
        <v>2291</v>
      </c>
      <c r="H27" s="446"/>
      <c r="I27" s="446"/>
      <c r="J27" s="446"/>
      <c r="K27" s="447"/>
    </row>
    <row r="28" spans="1:14" s="2119" customFormat="1" ht="13.5" customHeight="1">
      <c r="A28" s="1636" t="s">
        <v>1869</v>
      </c>
      <c r="B28" s="475" t="s">
        <v>512</v>
      </c>
      <c r="C28" s="469">
        <f ca="1">ROUND((C18+C19+C21+C24)/(1-C20-D21-D24-C27),0)</f>
        <v>71261</v>
      </c>
      <c r="D28" s="476"/>
      <c r="E28" s="468"/>
      <c r="F28" s="470"/>
      <c r="G28" s="1326" t="s">
        <v>2432</v>
      </c>
      <c r="H28" s="446"/>
      <c r="I28" s="446"/>
      <c r="J28" s="446"/>
      <c r="K28" s="447"/>
    </row>
    <row r="29" spans="1:14" s="2119" customFormat="1" ht="13.5" customHeight="1">
      <c r="A29" s="1636" t="s">
        <v>1870</v>
      </c>
      <c r="B29" s="475" t="s">
        <v>513</v>
      </c>
      <c r="C29" s="491">
        <f ca="1">IF(B1="",'数据-取费表'!N16,INDIRECT("'数据-取费表'!N"&amp;$K$1))</f>
        <v>0</v>
      </c>
      <c r="D29" s="492"/>
      <c r="E29" s="493"/>
      <c r="F29" s="494"/>
      <c r="G29" s="443"/>
      <c r="H29" s="446"/>
      <c r="I29" s="446"/>
      <c r="J29" s="446"/>
      <c r="K29" s="447"/>
    </row>
    <row r="30" spans="1:14" s="2119" customFormat="1" ht="13.5" customHeight="1">
      <c r="A30" s="442">
        <v>2</v>
      </c>
      <c r="B30" s="475" t="s">
        <v>514</v>
      </c>
      <c r="C30" s="496">
        <f ca="1">ROUND(C28*C29,0)</f>
        <v>0</v>
      </c>
      <c r="D30" s="492"/>
      <c r="E30" s="497"/>
      <c r="F30" s="498"/>
      <c r="G30" s="1328" t="s">
        <v>515</v>
      </c>
      <c r="H30" s="495"/>
      <c r="I30" s="495"/>
      <c r="J30" s="446"/>
      <c r="K30" s="447"/>
    </row>
    <row r="31" spans="1:14" s="2124" customFormat="1" ht="13.5" customHeight="1">
      <c r="A31" s="2480" t="s">
        <v>1866</v>
      </c>
      <c r="B31" s="1329"/>
      <c r="C31" s="499">
        <f>ROUND(C6*F31/(1+'数据-取费表'!C42),0)</f>
        <v>0</v>
      </c>
      <c r="D31" s="1330"/>
      <c r="E31" s="1330"/>
      <c r="F31" s="500">
        <f>'数据-取费表'!B41</f>
        <v>5.5000000000000007E-2</v>
      </c>
      <c r="G31" s="1331"/>
      <c r="H31" s="1331"/>
      <c r="I31" s="1331"/>
      <c r="J31" s="1332"/>
      <c r="K31" s="1333"/>
    </row>
    <row r="32" spans="1:14" s="2083"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481" t="s">
        <v>2961</v>
      </c>
      <c r="H32" s="482"/>
      <c r="I32" s="482"/>
      <c r="J32" s="482"/>
      <c r="K32" s="484"/>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G35"/>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507" t="e">
        <f>F63</f>
        <v>#DIV/0!</v>
      </c>
      <c r="C2" s="2126"/>
      <c r="D2" s="2126"/>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5" customFormat="1" ht="28.5" customHeight="1">
      <c r="A3" s="1379" t="s">
        <v>1686</v>
      </c>
      <c r="B3" s="509" t="e">
        <f>ROUND(B2*10000/'数据-汇总表'!E3,0)</f>
        <v>#DIV/0!</v>
      </c>
      <c r="C3" s="2059"/>
      <c r="D3" s="2059"/>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427"/>
      <c r="AC3" s="427"/>
    </row>
    <row r="4" spans="1:29" s="1335" customFormat="1" ht="28.5" customHeight="1">
      <c r="A4" s="510" t="s">
        <v>520</v>
      </c>
      <c r="B4" s="426" t="e">
        <f>IF(B43="单位面积地价",C45,ROUND(B2*10000/'数据-汇总表'!D3,0))</f>
        <v>#DIV/0!</v>
      </c>
      <c r="C4" s="2059"/>
      <c r="D4" s="2059"/>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7"/>
    </row>
    <row r="5" spans="1:29" s="1335" customFormat="1" ht="28.5" customHeight="1" thickBot="1">
      <c r="A5" s="428"/>
      <c r="B5" s="429" t="e">
        <f>ROUND(B2/('数据-汇总表'!D3/666.67),0)</f>
        <v>#DIV/0!</v>
      </c>
      <c r="C5" s="430" t="s">
        <v>469</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5"/>
      <c r="AC5" s="427"/>
    </row>
    <row r="6" spans="1:29" ht="15">
      <c r="A6" s="511" t="s">
        <v>521</v>
      </c>
      <c r="B6" s="512"/>
      <c r="C6" s="3513" t="s">
        <v>522</v>
      </c>
      <c r="D6" s="3514"/>
      <c r="E6" s="3537" t="s">
        <v>523</v>
      </c>
      <c r="F6" s="3538"/>
      <c r="G6" s="3513" t="s">
        <v>524</v>
      </c>
      <c r="H6" s="3514"/>
      <c r="I6" s="3513" t="s">
        <v>525</v>
      </c>
      <c r="J6" s="3514"/>
      <c r="K6" s="513" t="s">
        <v>526</v>
      </c>
      <c r="L6" s="2131"/>
      <c r="M6" s="2132"/>
      <c r="N6" s="2132"/>
      <c r="O6" s="2132"/>
      <c r="P6" s="3515" t="s">
        <v>527</v>
      </c>
      <c r="Q6" s="3516"/>
      <c r="R6" s="3501" t="s">
        <v>523</v>
      </c>
      <c r="S6" s="3502"/>
      <c r="T6" s="3501" t="s">
        <v>524</v>
      </c>
      <c r="U6" s="3502"/>
      <c r="V6" s="3521" t="s">
        <v>525</v>
      </c>
      <c r="W6" s="3521"/>
      <c r="X6" s="1566"/>
      <c r="Y6" s="3501" t="s">
        <v>527</v>
      </c>
      <c r="Z6" s="3502"/>
      <c r="AA6" s="3496" t="s">
        <v>523</v>
      </c>
      <c r="AB6" s="3497" t="s">
        <v>524</v>
      </c>
      <c r="AC6" s="3496" t="s">
        <v>525</v>
      </c>
    </row>
    <row r="7" spans="1:29" ht="15">
      <c r="A7" s="514"/>
      <c r="B7" s="515"/>
      <c r="C7" s="3541" t="s">
        <v>2915</v>
      </c>
      <c r="D7" s="3542"/>
      <c r="E7" s="3539" t="s">
        <v>2916</v>
      </c>
      <c r="F7" s="3540"/>
      <c r="G7" s="3541" t="s">
        <v>2917</v>
      </c>
      <c r="H7" s="3542"/>
      <c r="I7" s="3541" t="s">
        <v>2918</v>
      </c>
      <c r="J7" s="3542"/>
      <c r="K7" s="513"/>
      <c r="L7" s="2131"/>
      <c r="M7" s="2132"/>
      <c r="N7" s="2132"/>
      <c r="O7" s="2132"/>
      <c r="P7" s="3517"/>
      <c r="Q7" s="3518"/>
      <c r="R7" s="3503"/>
      <c r="S7" s="3504"/>
      <c r="T7" s="3503"/>
      <c r="U7" s="3504"/>
      <c r="V7" s="3521"/>
      <c r="W7" s="3521"/>
      <c r="X7" s="1566"/>
      <c r="Y7" s="3503"/>
      <c r="Z7" s="3504"/>
      <c r="AA7" s="3497"/>
      <c r="AB7" s="3497"/>
      <c r="AC7" s="3497"/>
    </row>
    <row r="8" spans="1:29" ht="15.75" thickBot="1">
      <c r="A8" s="516"/>
      <c r="B8" s="517"/>
      <c r="C8" s="3543" t="s">
        <v>2919</v>
      </c>
      <c r="D8" s="3544"/>
      <c r="E8" s="3545" t="s">
        <v>2919</v>
      </c>
      <c r="F8" s="3546"/>
      <c r="G8" s="3543" t="s">
        <v>2919</v>
      </c>
      <c r="H8" s="3544"/>
      <c r="I8" s="3543" t="s">
        <v>2919</v>
      </c>
      <c r="J8" s="3544"/>
      <c r="K8" s="513" t="s">
        <v>528</v>
      </c>
      <c r="L8" s="2131"/>
      <c r="M8" s="2132"/>
      <c r="N8" s="2132"/>
      <c r="O8" s="2132"/>
      <c r="P8" s="3519"/>
      <c r="Q8" s="3520"/>
      <c r="R8" s="3503"/>
      <c r="S8" s="3504"/>
      <c r="T8" s="3505"/>
      <c r="U8" s="3506"/>
      <c r="V8" s="3521"/>
      <c r="W8" s="3521"/>
      <c r="X8" s="1566"/>
      <c r="Y8" s="3505"/>
      <c r="Z8" s="3506"/>
      <c r="AA8" s="3498"/>
      <c r="AB8" s="3498"/>
      <c r="AC8" s="3498"/>
    </row>
    <row r="9" spans="1:29" s="1219" customFormat="1" ht="15.75" thickBot="1">
      <c r="A9" s="2909"/>
      <c r="B9" s="2916" t="s">
        <v>529</v>
      </c>
      <c r="C9" s="518">
        <f>'数据-取费表'!B2</f>
        <v>43444</v>
      </c>
      <c r="D9" s="519">
        <v>100</v>
      </c>
      <c r="E9" s="520"/>
      <c r="F9" s="521">
        <f>SUMIF(67:67,YEAR(E9)&amp;"-"&amp;INT((MONTH(E9)+2)/3),68:68)</f>
        <v>0</v>
      </c>
      <c r="G9" s="522"/>
      <c r="H9" s="519">
        <f>SUMIF(67:67,YEAR(G9)&amp;"-"&amp;INT((MONTH(G9)+2)/3),68:68)</f>
        <v>0</v>
      </c>
      <c r="I9" s="522"/>
      <c r="J9" s="519">
        <f>SUMIF(67:67,YEAR(I9)&amp;"-"&amp;INT((MONTH(I9)+2)/3),68:68)</f>
        <v>0</v>
      </c>
      <c r="K9" s="523"/>
      <c r="L9" s="2133"/>
      <c r="M9" s="2134"/>
      <c r="N9" s="2134"/>
      <c r="O9" s="2134"/>
      <c r="P9" s="3499" t="s">
        <v>530</v>
      </c>
      <c r="Q9" s="3508"/>
      <c r="R9" s="1567" t="s">
        <v>8</v>
      </c>
      <c r="S9" s="1568">
        <f t="shared" ref="S9:S17" si="0">F9</f>
        <v>0</v>
      </c>
      <c r="T9" s="1567" t="s">
        <v>8</v>
      </c>
      <c r="U9" s="1568">
        <f t="shared" ref="U9:U17" si="1">H9</f>
        <v>0</v>
      </c>
      <c r="V9" s="1567" t="s">
        <v>8</v>
      </c>
      <c r="W9" s="1568">
        <f t="shared" ref="W9:W17" si="2">J9</f>
        <v>0</v>
      </c>
      <c r="X9" s="1569"/>
      <c r="Y9" s="3499" t="s">
        <v>530</v>
      </c>
      <c r="Z9" s="3500"/>
      <c r="AA9" s="1570" t="e">
        <f>D9/F9</f>
        <v>#DIV/0!</v>
      </c>
      <c r="AB9" s="1570" t="e">
        <f>D9/H9</f>
        <v>#DIV/0!</v>
      </c>
      <c r="AC9" s="1570" t="e">
        <f>D9/J9</f>
        <v>#DIV/0!</v>
      </c>
    </row>
    <row r="10" spans="1:29" s="1219" customFormat="1" ht="15.75" thickBot="1">
      <c r="A10" s="2910"/>
      <c r="B10" s="2917"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3"/>
      <c r="M10" s="2134"/>
      <c r="N10" s="2134"/>
      <c r="O10" s="2134"/>
      <c r="P10" s="3499" t="s">
        <v>533</v>
      </c>
      <c r="Q10" s="3500"/>
      <c r="R10" s="1567" t="s">
        <v>8</v>
      </c>
      <c r="S10" s="1568">
        <f t="shared" si="0"/>
        <v>0</v>
      </c>
      <c r="T10" s="1567" t="s">
        <v>8</v>
      </c>
      <c r="U10" s="1568">
        <f t="shared" si="1"/>
        <v>0</v>
      </c>
      <c r="V10" s="1567" t="s">
        <v>8</v>
      </c>
      <c r="W10" s="1568">
        <f t="shared" si="2"/>
        <v>0</v>
      </c>
      <c r="X10" s="1569"/>
      <c r="Y10" s="3499" t="s">
        <v>533</v>
      </c>
      <c r="Z10" s="3500"/>
      <c r="AA10" s="1570" t="e">
        <f t="shared" ref="AA10:AA42" si="3">D10/F10</f>
        <v>#DIV/0!</v>
      </c>
      <c r="AB10" s="1570" t="e">
        <f t="shared" ref="AB10:AB42" si="4">D10/H10</f>
        <v>#DIV/0!</v>
      </c>
      <c r="AC10" s="1570" t="e">
        <f t="shared" ref="AC10:AC42" si="5">D10/J10</f>
        <v>#DIV/0!</v>
      </c>
    </row>
    <row r="11" spans="1:29" s="1219" customFormat="1" ht="15">
      <c r="A11" s="2911"/>
      <c r="B11" s="2918" t="s">
        <v>2753</v>
      </c>
      <c r="C11" s="525"/>
      <c r="D11" s="253">
        <v>100</v>
      </c>
      <c r="E11" s="525"/>
      <c r="F11" s="253">
        <f>SUMIF(72:72,E11,73:73)-SUMIF(72:72,C11,73:73)+100</f>
        <v>100</v>
      </c>
      <c r="G11" s="525"/>
      <c r="H11" s="253">
        <f>SUMIF(72:72,G11,73:73)-SUMIF(72:72,C11,73:73)+100</f>
        <v>100</v>
      </c>
      <c r="I11" s="525"/>
      <c r="J11" s="253">
        <f>SUMIF(72:72,I11,73:73)-SUMIF(72:72,C11,73:73)+100</f>
        <v>100</v>
      </c>
      <c r="K11" s="523"/>
      <c r="L11" s="2133"/>
      <c r="M11" s="2134"/>
      <c r="N11" s="2134"/>
      <c r="O11" s="2135"/>
      <c r="P11" s="3507" t="s">
        <v>535</v>
      </c>
      <c r="Q11" s="1150" t="str">
        <f t="shared" ref="Q11:Q17" si="6">B11</f>
        <v>用途</v>
      </c>
      <c r="R11" s="1567" t="s">
        <v>8</v>
      </c>
      <c r="S11" s="1568">
        <f t="shared" si="0"/>
        <v>100</v>
      </c>
      <c r="T11" s="1567" t="s">
        <v>8</v>
      </c>
      <c r="U11" s="1568">
        <f t="shared" si="1"/>
        <v>100</v>
      </c>
      <c r="V11" s="1567" t="s">
        <v>8</v>
      </c>
      <c r="W11" s="1568">
        <f t="shared" si="2"/>
        <v>100</v>
      </c>
      <c r="X11" s="1569"/>
      <c r="Y11" s="3464" t="s">
        <v>536</v>
      </c>
      <c r="Z11" s="1149" t="str">
        <f t="shared" ref="Z11:Z17" si="7">Q11</f>
        <v>用途</v>
      </c>
      <c r="AA11" s="1570">
        <f t="shared" si="3"/>
        <v>1</v>
      </c>
      <c r="AB11" s="1570">
        <f t="shared" si="4"/>
        <v>1</v>
      </c>
      <c r="AC11" s="1570">
        <f t="shared" si="5"/>
        <v>1</v>
      </c>
    </row>
    <row r="12" spans="1:29" s="1337" customFormat="1" ht="27">
      <c r="A12" s="2912"/>
      <c r="B12" s="2917" t="s">
        <v>2754</v>
      </c>
      <c r="C12" s="527"/>
      <c r="D12" s="254">
        <v>100</v>
      </c>
      <c r="E12" s="527"/>
      <c r="F12" s="254">
        <f>ROUND(100/'数据-取费表'!G16,0)</f>
        <v>101</v>
      </c>
      <c r="G12" s="527"/>
      <c r="H12" s="254">
        <f>ROUND(100/'数据-取费表'!G16,0)</f>
        <v>101</v>
      </c>
      <c r="I12" s="527"/>
      <c r="J12" s="254">
        <f>ROUND(100/'数据-取费表'!G16,0)</f>
        <v>101</v>
      </c>
      <c r="K12" s="530"/>
      <c r="L12" s="2136"/>
      <c r="M12" s="2176"/>
      <c r="N12" s="2176"/>
      <c r="O12" s="2137"/>
      <c r="P12" s="3507"/>
      <c r="Q12" s="1150" t="str">
        <f t="shared" si="6"/>
        <v>土地使用年限（年）</v>
      </c>
      <c r="R12" s="1567" t="s">
        <v>8</v>
      </c>
      <c r="S12" s="1568">
        <f t="shared" si="0"/>
        <v>101</v>
      </c>
      <c r="T12" s="1567" t="s">
        <v>8</v>
      </c>
      <c r="U12" s="1568">
        <f t="shared" si="1"/>
        <v>101</v>
      </c>
      <c r="V12" s="1567" t="s">
        <v>8</v>
      </c>
      <c r="W12" s="1568">
        <f t="shared" si="2"/>
        <v>101</v>
      </c>
      <c r="X12" s="1569"/>
      <c r="Y12" s="3464"/>
      <c r="Z12" s="1149" t="str">
        <f t="shared" si="7"/>
        <v>土地使用年限（年）</v>
      </c>
      <c r="AA12" s="1570">
        <f t="shared" si="3"/>
        <v>0.99009900990099009</v>
      </c>
      <c r="AB12" s="1570">
        <f t="shared" si="4"/>
        <v>0.99009900990099009</v>
      </c>
      <c r="AC12" s="1570">
        <f t="shared" si="5"/>
        <v>0.99009900990099009</v>
      </c>
    </row>
    <row r="13" spans="1:29" ht="15">
      <c r="A13" s="2913"/>
      <c r="B13" s="2917" t="s">
        <v>2755</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8"/>
      <c r="M13" s="2132"/>
      <c r="N13" s="2132"/>
      <c r="O13" s="2139"/>
      <c r="P13" s="3507"/>
      <c r="Q13" s="1150" t="str">
        <f t="shared" si="6"/>
        <v>容积率</v>
      </c>
      <c r="R13" s="1567" t="s">
        <v>8</v>
      </c>
      <c r="S13" s="1568" t="e">
        <f t="shared" si="0"/>
        <v>#N/A</v>
      </c>
      <c r="T13" s="1567" t="s">
        <v>8</v>
      </c>
      <c r="U13" s="1568" t="e">
        <f t="shared" si="1"/>
        <v>#N/A</v>
      </c>
      <c r="V13" s="1567" t="s">
        <v>8</v>
      </c>
      <c r="W13" s="1568" t="e">
        <f t="shared" si="2"/>
        <v>#N/A</v>
      </c>
      <c r="X13" s="1569"/>
      <c r="Y13" s="3464"/>
      <c r="Z13" s="1149" t="str">
        <f t="shared" si="7"/>
        <v>容积率</v>
      </c>
      <c r="AA13" s="1570" t="e">
        <f t="shared" si="3"/>
        <v>#N/A</v>
      </c>
      <c r="AB13" s="1570" t="e">
        <f t="shared" si="4"/>
        <v>#N/A</v>
      </c>
      <c r="AC13" s="1570" t="e">
        <f t="shared" si="5"/>
        <v>#N/A</v>
      </c>
    </row>
    <row r="14" spans="1:29" s="1219" customFormat="1" ht="15">
      <c r="A14" s="2914"/>
      <c r="B14" s="2920">
        <v>111</v>
      </c>
      <c r="C14" s="527"/>
      <c r="D14" s="537">
        <v>100</v>
      </c>
      <c r="E14" s="540"/>
      <c r="F14" s="254">
        <f>SUMIF(79:79,E14,80:80)-SUMIF(79:79,C14,80:80)+100</f>
        <v>100</v>
      </c>
      <c r="G14" s="541"/>
      <c r="H14" s="254">
        <f>SUMIF(79:79,G14,80:80)-SUMIF(79:79,C14,80:80)+100</f>
        <v>100</v>
      </c>
      <c r="I14" s="540"/>
      <c r="J14" s="254">
        <f>SUMIF(79:79,I14,80:80)-SUMIF(79:79,C14,80:80)+100</f>
        <v>100</v>
      </c>
      <c r="K14" s="530"/>
      <c r="L14" s="2133"/>
      <c r="M14" s="2134"/>
      <c r="N14" s="2134"/>
      <c r="O14" s="2135"/>
      <c r="P14" s="3507"/>
      <c r="Q14" s="1150">
        <f t="shared" si="6"/>
        <v>111</v>
      </c>
      <c r="R14" s="1567" t="s">
        <v>8</v>
      </c>
      <c r="S14" s="1568">
        <f t="shared" si="0"/>
        <v>100</v>
      </c>
      <c r="T14" s="1567" t="s">
        <v>8</v>
      </c>
      <c r="U14" s="1568">
        <f t="shared" si="1"/>
        <v>100</v>
      </c>
      <c r="V14" s="1567" t="s">
        <v>8</v>
      </c>
      <c r="W14" s="1568">
        <f t="shared" si="2"/>
        <v>100</v>
      </c>
      <c r="X14" s="1569"/>
      <c r="Y14" s="3464"/>
      <c r="Z14" s="1149">
        <f t="shared" si="7"/>
        <v>111</v>
      </c>
      <c r="AA14" s="1570">
        <f>D14/F14</f>
        <v>1</v>
      </c>
      <c r="AB14" s="1570">
        <f>D14/H14</f>
        <v>1</v>
      </c>
      <c r="AC14" s="1570">
        <f>D14/J14</f>
        <v>1</v>
      </c>
    </row>
    <row r="15" spans="1:29" ht="15">
      <c r="A15" s="2914"/>
      <c r="B15" s="2920">
        <v>111</v>
      </c>
      <c r="C15" s="538"/>
      <c r="D15" s="539">
        <v>100</v>
      </c>
      <c r="E15" s="540"/>
      <c r="F15" s="254">
        <f>SUMIF(81:81,E15,82:82)-SUMIF(81:81,C15,82:82)+100</f>
        <v>100</v>
      </c>
      <c r="G15" s="541"/>
      <c r="H15" s="539">
        <f>SUMIF(81:81,G15,82:82)-SUMIF(81:81,C15,82:82)+100</f>
        <v>100</v>
      </c>
      <c r="I15" s="540"/>
      <c r="J15" s="539">
        <f>SUMIF(81:81,I15,82:82)-SUMIF(81:81,C15,82:82)+100</f>
        <v>100</v>
      </c>
      <c r="K15" s="530"/>
      <c r="L15" s="2140"/>
      <c r="M15" s="2132"/>
      <c r="N15" s="2132"/>
      <c r="O15" s="2139"/>
      <c r="P15" s="3507"/>
      <c r="Q15" s="1150">
        <f t="shared" si="6"/>
        <v>111</v>
      </c>
      <c r="R15" s="1567" t="s">
        <v>8</v>
      </c>
      <c r="S15" s="1568">
        <f t="shared" si="0"/>
        <v>100</v>
      </c>
      <c r="T15" s="1567" t="s">
        <v>8</v>
      </c>
      <c r="U15" s="1568">
        <f t="shared" si="1"/>
        <v>100</v>
      </c>
      <c r="V15" s="1567" t="s">
        <v>8</v>
      </c>
      <c r="W15" s="1568">
        <f t="shared" si="2"/>
        <v>100</v>
      </c>
      <c r="X15" s="1569"/>
      <c r="Y15" s="3464"/>
      <c r="Z15" s="1149">
        <f t="shared" si="7"/>
        <v>111</v>
      </c>
      <c r="AA15" s="1570">
        <f t="shared" si="3"/>
        <v>1</v>
      </c>
      <c r="AB15" s="1570">
        <f t="shared" si="4"/>
        <v>1</v>
      </c>
      <c r="AC15" s="1570">
        <f t="shared" si="5"/>
        <v>1</v>
      </c>
    </row>
    <row r="16" spans="1:29" ht="15.75" thickBot="1">
      <c r="A16" s="2915"/>
      <c r="B16" s="2921">
        <v>111</v>
      </c>
      <c r="C16" s="544"/>
      <c r="D16" s="545">
        <v>100</v>
      </c>
      <c r="E16" s="540"/>
      <c r="F16" s="545">
        <f>SUMIF(83:83,E16,84:84)-SUMIF(83:83,C16,84:84)+100</f>
        <v>100</v>
      </c>
      <c r="G16" s="541"/>
      <c r="H16" s="545">
        <f>SUMIF(83:83,G16,84:84)-SUMIF(83:83,C16,84:84)+100</f>
        <v>100</v>
      </c>
      <c r="I16" s="540"/>
      <c r="J16" s="545">
        <f>SUMIF(83:83,I16,84:84)-SUMIF(83:83,C16,84:84)+100</f>
        <v>100</v>
      </c>
      <c r="K16" s="530"/>
      <c r="L16" s="2140"/>
      <c r="M16" s="2132"/>
      <c r="N16" s="2132"/>
      <c r="O16" s="2139"/>
      <c r="P16" s="3507"/>
      <c r="Q16" s="1150">
        <f t="shared" si="6"/>
        <v>111</v>
      </c>
      <c r="R16" s="1567" t="s">
        <v>8</v>
      </c>
      <c r="S16" s="1568">
        <f t="shared" si="0"/>
        <v>100</v>
      </c>
      <c r="T16" s="1567" t="s">
        <v>8</v>
      </c>
      <c r="U16" s="1568">
        <f t="shared" si="1"/>
        <v>100</v>
      </c>
      <c r="V16" s="1567" t="s">
        <v>8</v>
      </c>
      <c r="W16" s="1568">
        <f t="shared" si="2"/>
        <v>100</v>
      </c>
      <c r="X16" s="1569"/>
      <c r="Y16" s="3464"/>
      <c r="Z16" s="1149">
        <f t="shared" si="7"/>
        <v>111</v>
      </c>
      <c r="AA16" s="1570">
        <f t="shared" si="3"/>
        <v>1</v>
      </c>
      <c r="AB16" s="1570">
        <f t="shared" si="4"/>
        <v>1</v>
      </c>
      <c r="AC16" s="1570">
        <f t="shared" si="5"/>
        <v>1</v>
      </c>
    </row>
    <row r="17" spans="1:29" ht="15">
      <c r="A17" s="2907" t="s">
        <v>2751</v>
      </c>
      <c r="B17" s="165" t="s">
        <v>598</v>
      </c>
      <c r="C17" s="920">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40"/>
      <c r="M17" s="2132"/>
      <c r="N17" s="2132"/>
      <c r="O17" s="2139"/>
      <c r="P17" s="3509" t="s">
        <v>540</v>
      </c>
      <c r="Q17" s="1571" t="str">
        <f t="shared" si="6"/>
        <v>产业集聚程度</v>
      </c>
      <c r="R17" s="1572" t="s">
        <v>8</v>
      </c>
      <c r="S17" s="1573">
        <f t="shared" si="0"/>
        <v>100</v>
      </c>
      <c r="T17" s="1572" t="s">
        <v>8</v>
      </c>
      <c r="U17" s="1573">
        <f t="shared" si="1"/>
        <v>100</v>
      </c>
      <c r="V17" s="1572" t="s">
        <v>8</v>
      </c>
      <c r="W17" s="1573">
        <f t="shared" si="2"/>
        <v>100</v>
      </c>
      <c r="X17" s="1566"/>
      <c r="Y17" s="3509" t="s">
        <v>540</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0"/>
      <c r="M18" s="2132"/>
      <c r="N18" s="2132"/>
      <c r="O18" s="2139"/>
      <c r="P18" s="3510"/>
      <c r="Q18" s="1571"/>
      <c r="R18" s="1572"/>
      <c r="S18" s="1573"/>
      <c r="T18" s="1572"/>
      <c r="U18" s="1573"/>
      <c r="V18" s="1572"/>
      <c r="W18" s="1573"/>
      <c r="X18" s="1566"/>
      <c r="Y18" s="3510"/>
      <c r="Z18" s="1574"/>
      <c r="AA18" s="1575">
        <v>1</v>
      </c>
      <c r="AB18" s="1575">
        <v>1</v>
      </c>
      <c r="AC18" s="1575">
        <v>1</v>
      </c>
    </row>
    <row r="19" spans="1:29" ht="15">
      <c r="A19" s="531"/>
      <c r="B19" s="870" t="s">
        <v>543</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40"/>
      <c r="M19" s="2132"/>
      <c r="N19" s="2132"/>
      <c r="O19" s="2139"/>
      <c r="P19" s="3510"/>
      <c r="Q19" s="1571" t="str">
        <f>B19</f>
        <v>交通便捷度</v>
      </c>
      <c r="R19" s="1572" t="s">
        <v>8</v>
      </c>
      <c r="S19" s="1573">
        <f>F19</f>
        <v>100</v>
      </c>
      <c r="T19" s="1572" t="s">
        <v>8</v>
      </c>
      <c r="U19" s="1573">
        <f>H19</f>
        <v>100</v>
      </c>
      <c r="V19" s="1572" t="s">
        <v>8</v>
      </c>
      <c r="W19" s="1573">
        <f>J19</f>
        <v>100</v>
      </c>
      <c r="X19" s="1566"/>
      <c r="Y19" s="3510"/>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140"/>
      <c r="M20" s="2132"/>
      <c r="N20" s="2132"/>
      <c r="O20" s="2139"/>
      <c r="P20" s="3510"/>
      <c r="Q20" s="1571"/>
      <c r="R20" s="1572"/>
      <c r="S20" s="1573"/>
      <c r="T20" s="1572"/>
      <c r="U20" s="1573"/>
      <c r="V20" s="1572"/>
      <c r="W20" s="1573"/>
      <c r="X20" s="1566"/>
      <c r="Y20" s="3510"/>
      <c r="Z20" s="1574"/>
      <c r="AA20" s="1575">
        <v>1</v>
      </c>
      <c r="AB20" s="1575">
        <v>1</v>
      </c>
      <c r="AC20" s="1575">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0"/>
      <c r="M21" s="2132"/>
      <c r="N21" s="2132"/>
      <c r="O21" s="2139"/>
      <c r="P21" s="3510"/>
      <c r="Q21" s="1571" t="str">
        <f t="shared" ref="Q21:Q35" si="8">B21</f>
        <v>区域土地利用方向</v>
      </c>
      <c r="R21" s="1572" t="s">
        <v>8</v>
      </c>
      <c r="S21" s="1573">
        <f>F21</f>
        <v>100</v>
      </c>
      <c r="T21" s="1572" t="s">
        <v>8</v>
      </c>
      <c r="U21" s="1573">
        <f>H21</f>
        <v>100</v>
      </c>
      <c r="V21" s="1572" t="s">
        <v>8</v>
      </c>
      <c r="W21" s="1573">
        <f>J21</f>
        <v>100</v>
      </c>
      <c r="X21" s="1566"/>
      <c r="Y21" s="3510"/>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7"/>
      <c r="L22" s="2140"/>
      <c r="M22" s="2132"/>
      <c r="N22" s="2132"/>
      <c r="O22" s="2139"/>
      <c r="P22" s="3510"/>
      <c r="Q22" s="1571"/>
      <c r="R22" s="1572"/>
      <c r="S22" s="1573"/>
      <c r="T22" s="1572"/>
      <c r="U22" s="1573"/>
      <c r="V22" s="1572"/>
      <c r="W22" s="1573"/>
      <c r="X22" s="1566"/>
      <c r="Y22" s="3510"/>
      <c r="Z22" s="1574"/>
      <c r="AA22" s="1575"/>
      <c r="AB22" s="1575"/>
      <c r="AC22" s="1575"/>
    </row>
    <row r="23" spans="1:29" ht="15">
      <c r="A23" s="514"/>
      <c r="B23" s="921" t="s">
        <v>599</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40"/>
      <c r="M23" s="2132"/>
      <c r="N23" s="2132"/>
      <c r="O23" s="2139"/>
      <c r="P23" s="3510"/>
      <c r="Q23" s="1571" t="str">
        <f t="shared" si="8"/>
        <v>环境状况</v>
      </c>
      <c r="R23" s="1572" t="s">
        <v>8</v>
      </c>
      <c r="S23" s="1573">
        <f>F23</f>
        <v>100</v>
      </c>
      <c r="T23" s="1572" t="s">
        <v>8</v>
      </c>
      <c r="U23" s="1573">
        <f>H23</f>
        <v>100</v>
      </c>
      <c r="V23" s="1572" t="s">
        <v>8</v>
      </c>
      <c r="W23" s="1573">
        <f>J23</f>
        <v>100</v>
      </c>
      <c r="X23" s="1566"/>
      <c r="Y23" s="3510"/>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0"/>
      <c r="M24" s="2132"/>
      <c r="N24" s="2132"/>
      <c r="O24" s="2139"/>
      <c r="P24" s="3510"/>
      <c r="Q24" s="1571"/>
      <c r="R24" s="1572"/>
      <c r="S24" s="1573"/>
      <c r="T24" s="1572"/>
      <c r="U24" s="1573"/>
      <c r="V24" s="1572"/>
      <c r="W24" s="1573"/>
      <c r="X24" s="1566"/>
      <c r="Y24" s="3510"/>
      <c r="Z24" s="1574"/>
      <c r="AA24" s="1575">
        <v>1</v>
      </c>
      <c r="AB24" s="1575">
        <v>1</v>
      </c>
      <c r="AC24" s="1575">
        <v>1</v>
      </c>
    </row>
    <row r="25" spans="1:29" s="1219" customFormat="1" ht="15">
      <c r="A25" s="576"/>
      <c r="B25" s="2591" t="s">
        <v>2546</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33"/>
      <c r="M25" s="2134"/>
      <c r="N25" s="2134"/>
      <c r="O25" s="2135"/>
      <c r="P25" s="3510"/>
      <c r="Q25" s="1150" t="str">
        <f t="shared" si="8"/>
        <v>公共配套设施</v>
      </c>
      <c r="R25" s="1567" t="s">
        <v>8</v>
      </c>
      <c r="S25" s="1568">
        <f>F25</f>
        <v>100</v>
      </c>
      <c r="T25" s="1567" t="s">
        <v>8</v>
      </c>
      <c r="U25" s="1568">
        <f>H25</f>
        <v>100</v>
      </c>
      <c r="V25" s="1567" t="s">
        <v>8</v>
      </c>
      <c r="W25" s="1568">
        <f>J25</f>
        <v>100</v>
      </c>
      <c r="X25" s="1569"/>
      <c r="Y25" s="3510"/>
      <c r="Z25" s="1149" t="str">
        <f>Q25</f>
        <v>公共配套设施</v>
      </c>
      <c r="AA25" s="1575">
        <f>D25/F25</f>
        <v>1</v>
      </c>
      <c r="AB25" s="1575">
        <f>D25/H25</f>
        <v>1</v>
      </c>
      <c r="AC25" s="1575">
        <f>D25/J25</f>
        <v>1</v>
      </c>
    </row>
    <row r="26" spans="1:29" s="1219" customFormat="1" ht="15">
      <c r="A26" s="576"/>
      <c r="B26" s="594"/>
      <c r="C26" s="2590"/>
      <c r="D26" s="554"/>
      <c r="E26" s="553"/>
      <c r="F26" s="554"/>
      <c r="G26" s="553"/>
      <c r="H26" s="554"/>
      <c r="I26" s="575"/>
      <c r="J26" s="554"/>
      <c r="K26" s="530"/>
      <c r="L26" s="2133"/>
      <c r="M26" s="2134"/>
      <c r="N26" s="2134"/>
      <c r="O26" s="2135"/>
      <c r="P26" s="3510"/>
      <c r="Q26" s="1150"/>
      <c r="R26" s="1567"/>
      <c r="S26" s="1568"/>
      <c r="T26" s="1567"/>
      <c r="U26" s="1568"/>
      <c r="V26" s="1567"/>
      <c r="W26" s="1568"/>
      <c r="X26" s="1569"/>
      <c r="Y26" s="3510"/>
      <c r="Z26" s="1149"/>
      <c r="AA26" s="1570">
        <v>1</v>
      </c>
      <c r="AB26" s="1570">
        <v>1</v>
      </c>
      <c r="AC26" s="1570">
        <v>1</v>
      </c>
    </row>
    <row r="27" spans="1:29" s="1219" customFormat="1" ht="15">
      <c r="A27" s="576"/>
      <c r="B27" s="2591" t="s">
        <v>2547</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33"/>
      <c r="M27" s="2134"/>
      <c r="N27" s="2134"/>
      <c r="O27" s="2135"/>
      <c r="P27" s="3510"/>
      <c r="Q27" s="2576" t="str">
        <f>B27</f>
        <v>基础设施水平</v>
      </c>
      <c r="R27" s="1567" t="s">
        <v>8</v>
      </c>
      <c r="S27" s="1568">
        <f>F27</f>
        <v>100</v>
      </c>
      <c r="T27" s="1567" t="s">
        <v>8</v>
      </c>
      <c r="U27" s="1568">
        <f>H27</f>
        <v>100</v>
      </c>
      <c r="V27" s="1567" t="s">
        <v>8</v>
      </c>
      <c r="W27" s="1568">
        <f>J27</f>
        <v>100</v>
      </c>
      <c r="X27" s="1569"/>
      <c r="Y27" s="3510"/>
      <c r="Z27" s="2573" t="str">
        <f>Q27</f>
        <v>基础设施水平</v>
      </c>
      <c r="AA27" s="1575">
        <f>D27/F27</f>
        <v>1</v>
      </c>
      <c r="AB27" s="1575">
        <f>D27/H27</f>
        <v>1</v>
      </c>
      <c r="AC27" s="1575">
        <f>D27/J27</f>
        <v>1</v>
      </c>
    </row>
    <row r="28" spans="1:29" s="1219" customFormat="1" ht="15">
      <c r="A28" s="576"/>
      <c r="B28" s="594"/>
      <c r="C28" s="2590"/>
      <c r="D28" s="554"/>
      <c r="E28" s="578"/>
      <c r="F28" s="554"/>
      <c r="G28" s="578"/>
      <c r="H28" s="554"/>
      <c r="I28" s="578"/>
      <c r="J28" s="554"/>
      <c r="K28" s="530"/>
      <c r="L28" s="2133"/>
      <c r="M28" s="2134"/>
      <c r="N28" s="2134"/>
      <c r="O28" s="2135"/>
      <c r="P28" s="3510"/>
      <c r="Q28" s="2576"/>
      <c r="R28" s="1567"/>
      <c r="S28" s="1568"/>
      <c r="T28" s="1567"/>
      <c r="U28" s="1568"/>
      <c r="V28" s="1567"/>
      <c r="W28" s="1568"/>
      <c r="X28" s="1569"/>
      <c r="Y28" s="3510"/>
      <c r="Z28" s="2573"/>
      <c r="AA28" s="1570">
        <v>1</v>
      </c>
      <c r="AB28" s="1570">
        <v>1</v>
      </c>
      <c r="AC28" s="1570">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0"/>
      <c r="M29" s="2132"/>
      <c r="N29" s="2132"/>
      <c r="O29" s="2139"/>
      <c r="P29" s="3510"/>
      <c r="Q29" s="1571" t="str">
        <f t="shared" si="8"/>
        <v>临街状况</v>
      </c>
      <c r="R29" s="1572" t="s">
        <v>8</v>
      </c>
      <c r="S29" s="1573">
        <f t="shared" ref="S29:S42" si="9">F29</f>
        <v>100</v>
      </c>
      <c r="T29" s="1572" t="s">
        <v>8</v>
      </c>
      <c r="U29" s="1573">
        <f t="shared" ref="U29:U42" si="10">H29</f>
        <v>100</v>
      </c>
      <c r="V29" s="1572" t="s">
        <v>8</v>
      </c>
      <c r="W29" s="1573">
        <f t="shared" ref="W29:W42" si="11">J29</f>
        <v>100</v>
      </c>
      <c r="X29" s="1566"/>
      <c r="Y29" s="3510"/>
      <c r="Z29" s="1574" t="str">
        <f t="shared" ref="Z29:Z42" si="12">Q29</f>
        <v>临街状况</v>
      </c>
      <c r="AA29" s="1575">
        <f t="shared" si="3"/>
        <v>1</v>
      </c>
      <c r="AB29" s="1575">
        <f t="shared" si="4"/>
        <v>1</v>
      </c>
      <c r="AC29" s="1575">
        <f t="shared" si="5"/>
        <v>1</v>
      </c>
    </row>
    <row r="30" spans="1:29" ht="27">
      <c r="A30" s="531"/>
      <c r="B30" s="921" t="s">
        <v>548</v>
      </c>
      <c r="C30" s="2593">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0"/>
      <c r="M30" s="2132"/>
      <c r="N30" s="2132"/>
      <c r="O30" s="2139"/>
      <c r="P30" s="3510"/>
      <c r="Q30" s="1571" t="str">
        <f t="shared" si="8"/>
        <v>毗邻道路的类型与等级</v>
      </c>
      <c r="R30" s="1572" t="s">
        <v>8</v>
      </c>
      <c r="S30" s="1573">
        <f t="shared" si="9"/>
        <v>100</v>
      </c>
      <c r="T30" s="1572" t="s">
        <v>8</v>
      </c>
      <c r="U30" s="1573">
        <f t="shared" si="10"/>
        <v>100</v>
      </c>
      <c r="V30" s="1572" t="s">
        <v>8</v>
      </c>
      <c r="W30" s="1573">
        <f t="shared" si="11"/>
        <v>100</v>
      </c>
      <c r="X30" s="1566"/>
      <c r="Y30" s="3510"/>
      <c r="Z30" s="1574" t="str">
        <f t="shared" si="12"/>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0"/>
      <c r="M31" s="2132"/>
      <c r="N31" s="2132"/>
      <c r="O31" s="2139"/>
      <c r="P31" s="3510"/>
      <c r="Q31" s="1571"/>
      <c r="R31" s="1572"/>
      <c r="S31" s="1573"/>
      <c r="T31" s="1572"/>
      <c r="U31" s="1573"/>
      <c r="V31" s="1572"/>
      <c r="W31" s="1573"/>
      <c r="X31" s="1566"/>
      <c r="Y31" s="3510"/>
      <c r="Z31" s="1574"/>
      <c r="AA31" s="1575">
        <v>1</v>
      </c>
      <c r="AB31" s="1575">
        <v>1</v>
      </c>
      <c r="AC31" s="1575">
        <v>1</v>
      </c>
    </row>
    <row r="32" spans="1:29" ht="15">
      <c r="A32" s="531"/>
      <c r="B32" s="526" t="s">
        <v>549</v>
      </c>
      <c r="C32" s="2594">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0"/>
      <c r="M32" s="2132"/>
      <c r="N32" s="2132"/>
      <c r="O32" s="2139"/>
      <c r="P32" s="3510"/>
      <c r="Q32" s="1571" t="str">
        <f t="shared" si="8"/>
        <v>土地级别</v>
      </c>
      <c r="R32" s="1572" t="s">
        <v>8</v>
      </c>
      <c r="S32" s="1573">
        <f t="shared" si="9"/>
        <v>100</v>
      </c>
      <c r="T32" s="1572" t="s">
        <v>8</v>
      </c>
      <c r="U32" s="1573">
        <f t="shared" si="10"/>
        <v>100</v>
      </c>
      <c r="V32" s="1572" t="s">
        <v>8</v>
      </c>
      <c r="W32" s="1573">
        <f t="shared" si="11"/>
        <v>100</v>
      </c>
      <c r="X32" s="1566"/>
      <c r="Y32" s="3510"/>
      <c r="Z32" s="1574" t="str">
        <f t="shared" si="12"/>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0"/>
      <c r="M33" s="2132"/>
      <c r="N33" s="2132"/>
      <c r="O33" s="2139"/>
      <c r="P33" s="3510"/>
      <c r="Q33" s="1571">
        <f t="shared" si="8"/>
        <v>111</v>
      </c>
      <c r="R33" s="1572" t="s">
        <v>8</v>
      </c>
      <c r="S33" s="1573">
        <f t="shared" si="9"/>
        <v>100</v>
      </c>
      <c r="T33" s="1572" t="s">
        <v>8</v>
      </c>
      <c r="U33" s="1573">
        <f t="shared" si="10"/>
        <v>100</v>
      </c>
      <c r="V33" s="1572" t="s">
        <v>8</v>
      </c>
      <c r="W33" s="1573">
        <f t="shared" si="11"/>
        <v>100</v>
      </c>
      <c r="X33" s="1566"/>
      <c r="Y33" s="3510"/>
      <c r="Z33" s="1574">
        <f t="shared" si="12"/>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0"/>
      <c r="M34" s="2132"/>
      <c r="N34" s="2132"/>
      <c r="O34" s="2139"/>
      <c r="P34" s="3511" t="s">
        <v>550</v>
      </c>
      <c r="Q34" s="1571">
        <f t="shared" si="8"/>
        <v>111</v>
      </c>
      <c r="R34" s="1572" t="s">
        <v>8</v>
      </c>
      <c r="S34" s="1573">
        <f t="shared" si="9"/>
        <v>100</v>
      </c>
      <c r="T34" s="1572" t="s">
        <v>8</v>
      </c>
      <c r="U34" s="1573">
        <f t="shared" si="10"/>
        <v>100</v>
      </c>
      <c r="V34" s="1572" t="s">
        <v>8</v>
      </c>
      <c r="W34" s="1573">
        <f t="shared" si="11"/>
        <v>100</v>
      </c>
      <c r="X34" s="1566"/>
      <c r="Y34" s="3512" t="s">
        <v>550</v>
      </c>
      <c r="Z34" s="1574">
        <f t="shared" si="12"/>
        <v>111</v>
      </c>
      <c r="AA34" s="1575">
        <f t="shared" si="3"/>
        <v>1</v>
      </c>
      <c r="AB34" s="1575">
        <f t="shared" si="4"/>
        <v>1</v>
      </c>
      <c r="AC34" s="1575">
        <f t="shared" si="5"/>
        <v>1</v>
      </c>
    </row>
    <row r="35" spans="1:29" s="1338" customFormat="1" ht="15.75" thickBot="1">
      <c r="A35" s="588"/>
      <c r="B35" s="2592">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8"/>
      <c r="M35" s="2169"/>
      <c r="N35" s="2169"/>
      <c r="O35" s="2141"/>
      <c r="P35" s="3512"/>
      <c r="Q35" s="1571">
        <f t="shared" si="8"/>
        <v>111</v>
      </c>
      <c r="R35" s="1576" t="s">
        <v>8</v>
      </c>
      <c r="S35" s="1577">
        <f t="shared" si="9"/>
        <v>100</v>
      </c>
      <c r="T35" s="1576" t="s">
        <v>8</v>
      </c>
      <c r="U35" s="1577">
        <f t="shared" si="10"/>
        <v>100</v>
      </c>
      <c r="V35" s="1576" t="s">
        <v>8</v>
      </c>
      <c r="W35" s="1577">
        <f t="shared" si="11"/>
        <v>100</v>
      </c>
      <c r="X35" s="1578"/>
      <c r="Y35" s="3512"/>
      <c r="Z35" s="1579">
        <f t="shared" si="12"/>
        <v>111</v>
      </c>
      <c r="AA35" s="1575">
        <f t="shared" si="3"/>
        <v>1</v>
      </c>
      <c r="AB35" s="1575">
        <f t="shared" si="4"/>
        <v>1</v>
      </c>
      <c r="AC35" s="1575">
        <f t="shared" si="5"/>
        <v>1</v>
      </c>
    </row>
    <row r="36" spans="1:29" ht="15">
      <c r="A36" s="2905" t="s">
        <v>2752</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512"/>
      <c r="Q36" s="1571" t="str">
        <f>B36</f>
        <v>宗地面积</v>
      </c>
      <c r="R36" s="1572" t="s">
        <v>8</v>
      </c>
      <c r="S36" s="1573" t="e">
        <f t="shared" si="9"/>
        <v>#N/A</v>
      </c>
      <c r="T36" s="1572" t="s">
        <v>8</v>
      </c>
      <c r="U36" s="1573" t="e">
        <f t="shared" si="10"/>
        <v>#N/A</v>
      </c>
      <c r="V36" s="1572" t="s">
        <v>8</v>
      </c>
      <c r="W36" s="1573" t="e">
        <f t="shared" si="11"/>
        <v>#N/A</v>
      </c>
      <c r="X36" s="1566"/>
      <c r="Y36" s="3512"/>
      <c r="Z36" s="1574" t="str">
        <f t="shared" si="12"/>
        <v>宗地面积</v>
      </c>
      <c r="AA36" s="1575" t="e">
        <f t="shared" si="3"/>
        <v>#N/A</v>
      </c>
      <c r="AB36" s="1575" t="e">
        <f t="shared" si="4"/>
        <v>#N/A</v>
      </c>
      <c r="AC36" s="1575"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0"/>
      <c r="M37" s="2132"/>
      <c r="N37" s="2132"/>
      <c r="O37" s="2139"/>
      <c r="P37" s="3512"/>
      <c r="Q37" s="1571" t="str">
        <f t="shared" ref="Q37:Q42" si="13">B37</f>
        <v>宗地形状</v>
      </c>
      <c r="R37" s="1572" t="s">
        <v>8</v>
      </c>
      <c r="S37" s="1573">
        <f t="shared" si="9"/>
        <v>100</v>
      </c>
      <c r="T37" s="1572" t="s">
        <v>8</v>
      </c>
      <c r="U37" s="1573">
        <f t="shared" si="10"/>
        <v>100</v>
      </c>
      <c r="V37" s="1572" t="s">
        <v>8</v>
      </c>
      <c r="W37" s="1573">
        <f t="shared" si="11"/>
        <v>100</v>
      </c>
      <c r="X37" s="1566"/>
      <c r="Y37" s="3512"/>
      <c r="Z37" s="1574" t="str">
        <f t="shared" si="12"/>
        <v>宗地形状</v>
      </c>
      <c r="AA37" s="1575">
        <f t="shared" si="3"/>
        <v>1</v>
      </c>
      <c r="AB37" s="1575">
        <f t="shared" si="4"/>
        <v>1</v>
      </c>
      <c r="AC37" s="1575">
        <f t="shared" si="5"/>
        <v>1</v>
      </c>
    </row>
    <row r="38" spans="1:29" s="1219" customFormat="1" ht="15">
      <c r="A38" s="599"/>
      <c r="B38" s="1893" t="s">
        <v>2422</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3"/>
      <c r="M38" s="2134"/>
      <c r="N38" s="2134"/>
      <c r="O38" s="2135"/>
      <c r="P38" s="3512"/>
      <c r="Q38" s="1571" t="str">
        <f t="shared" si="13"/>
        <v>宗地开发程度</v>
      </c>
      <c r="R38" s="1567" t="s">
        <v>8</v>
      </c>
      <c r="S38" s="1568">
        <f t="shared" si="9"/>
        <v>100</v>
      </c>
      <c r="T38" s="1567" t="s">
        <v>8</v>
      </c>
      <c r="U38" s="1568">
        <f t="shared" si="10"/>
        <v>100</v>
      </c>
      <c r="V38" s="1567" t="s">
        <v>8</v>
      </c>
      <c r="W38" s="1568">
        <f t="shared" si="11"/>
        <v>100</v>
      </c>
      <c r="X38" s="1569"/>
      <c r="Y38" s="3512"/>
      <c r="Z38" s="1149" t="str">
        <f t="shared" si="12"/>
        <v>宗地开发程度</v>
      </c>
      <c r="AA38" s="1570">
        <f t="shared" si="3"/>
        <v>1</v>
      </c>
      <c r="AB38" s="1570">
        <f t="shared" si="4"/>
        <v>1</v>
      </c>
      <c r="AC38" s="1570">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512" t="s">
        <v>601</v>
      </c>
      <c r="Q39" s="1571" t="str">
        <f t="shared" si="13"/>
        <v>工程地质条件</v>
      </c>
      <c r="R39" s="1572" t="s">
        <v>8</v>
      </c>
      <c r="S39" s="1573">
        <f t="shared" si="9"/>
        <v>100</v>
      </c>
      <c r="T39" s="1572" t="s">
        <v>8</v>
      </c>
      <c r="U39" s="1573">
        <f t="shared" si="10"/>
        <v>100</v>
      </c>
      <c r="V39" s="1572" t="s">
        <v>8</v>
      </c>
      <c r="W39" s="1573">
        <f t="shared" si="11"/>
        <v>100</v>
      </c>
      <c r="X39" s="1566"/>
      <c r="Y39" s="3512" t="s">
        <v>601</v>
      </c>
      <c r="Z39" s="1574" t="str">
        <f t="shared" si="12"/>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0"/>
      <c r="M40" s="2132"/>
      <c r="N40" s="2132"/>
      <c r="O40" s="2139"/>
      <c r="P40" s="3512"/>
      <c r="Q40" s="1571">
        <f t="shared" si="13"/>
        <v>111</v>
      </c>
      <c r="R40" s="1572" t="s">
        <v>8</v>
      </c>
      <c r="S40" s="1573">
        <f t="shared" si="9"/>
        <v>100</v>
      </c>
      <c r="T40" s="1572" t="s">
        <v>8</v>
      </c>
      <c r="U40" s="1573">
        <f t="shared" si="10"/>
        <v>100</v>
      </c>
      <c r="V40" s="1572" t="s">
        <v>8</v>
      </c>
      <c r="W40" s="1573">
        <f t="shared" si="11"/>
        <v>100</v>
      </c>
      <c r="X40" s="1566"/>
      <c r="Y40" s="3512"/>
      <c r="Z40" s="1574">
        <f t="shared" si="12"/>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0"/>
      <c r="M41" s="2132"/>
      <c r="N41" s="2132"/>
      <c r="O41" s="2139"/>
      <c r="P41" s="3512"/>
      <c r="Q41" s="1571">
        <f t="shared" si="13"/>
        <v>111</v>
      </c>
      <c r="R41" s="1572" t="s">
        <v>8</v>
      </c>
      <c r="S41" s="1573">
        <f t="shared" si="9"/>
        <v>100</v>
      </c>
      <c r="T41" s="1572" t="s">
        <v>8</v>
      </c>
      <c r="U41" s="1573">
        <f t="shared" si="10"/>
        <v>100</v>
      </c>
      <c r="V41" s="1572" t="s">
        <v>8</v>
      </c>
      <c r="W41" s="1573">
        <f t="shared" si="11"/>
        <v>100</v>
      </c>
      <c r="X41" s="1566"/>
      <c r="Y41" s="3512"/>
      <c r="Z41" s="1574">
        <f t="shared" si="12"/>
        <v>111</v>
      </c>
      <c r="AA41" s="1575">
        <f t="shared" si="3"/>
        <v>1</v>
      </c>
      <c r="AB41" s="1575">
        <f t="shared" si="4"/>
        <v>1</v>
      </c>
      <c r="AC41" s="1575">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8"/>
      <c r="M42" s="2169"/>
      <c r="N42" s="2169"/>
      <c r="O42" s="2141"/>
      <c r="P42" s="3512"/>
      <c r="Q42" s="1571">
        <f t="shared" si="13"/>
        <v>111</v>
      </c>
      <c r="R42" s="1576" t="s">
        <v>8</v>
      </c>
      <c r="S42" s="1577">
        <f t="shared" si="9"/>
        <v>100</v>
      </c>
      <c r="T42" s="1576" t="s">
        <v>8</v>
      </c>
      <c r="U42" s="1577">
        <f t="shared" si="10"/>
        <v>100</v>
      </c>
      <c r="V42" s="1576" t="s">
        <v>8</v>
      </c>
      <c r="W42" s="1577">
        <f t="shared" si="11"/>
        <v>100</v>
      </c>
      <c r="X42" s="1578"/>
      <c r="Y42" s="3512"/>
      <c r="Z42" s="1579">
        <f t="shared" si="12"/>
        <v>111</v>
      </c>
      <c r="AA42" s="1575">
        <f t="shared" si="3"/>
        <v>1</v>
      </c>
      <c r="AB42" s="1575">
        <f t="shared" si="4"/>
        <v>1</v>
      </c>
      <c r="AC42" s="1575">
        <f t="shared" si="5"/>
        <v>1</v>
      </c>
    </row>
    <row r="43" spans="1:29" ht="15">
      <c r="A43" s="606" t="s">
        <v>556</v>
      </c>
      <c r="B43" s="607" t="s">
        <v>2920</v>
      </c>
      <c r="C43" s="608" t="s">
        <v>1</v>
      </c>
      <c r="D43" s="609"/>
      <c r="E43" s="610"/>
      <c r="F43" s="611"/>
      <c r="G43" s="612"/>
      <c r="H43" s="613"/>
      <c r="I43" s="610"/>
      <c r="J43" s="613"/>
      <c r="K43" s="1339"/>
      <c r="L43" s="2142"/>
      <c r="M43" s="2132"/>
      <c r="N43" s="2132"/>
      <c r="O43" s="2143"/>
      <c r="P43" s="3507" t="str">
        <f>A43</f>
        <v>成交单价</v>
      </c>
      <c r="Q43" s="3507"/>
      <c r="R43" s="3521">
        <f>E43</f>
        <v>0</v>
      </c>
      <c r="S43" s="3521"/>
      <c r="T43" s="3521">
        <f>G43</f>
        <v>0</v>
      </c>
      <c r="U43" s="3521"/>
      <c r="V43" s="3521">
        <f>I43</f>
        <v>0</v>
      </c>
      <c r="W43" s="3521"/>
      <c r="X43" s="1558"/>
      <c r="Y43" s="1580"/>
      <c r="Z43" s="1558"/>
      <c r="AA43" s="1558"/>
      <c r="AB43" s="1558"/>
      <c r="AC43" s="1558"/>
    </row>
    <row r="44" spans="1:29" ht="15.75" thickBot="1">
      <c r="A44" s="614" t="s">
        <v>2690</v>
      </c>
      <c r="B44" s="615"/>
      <c r="C44" s="616" t="e">
        <f>R45</f>
        <v>#DIV/0!</v>
      </c>
      <c r="D44" s="617"/>
      <c r="E44" s="616" t="e">
        <f>R44</f>
        <v>#DIV/0!</v>
      </c>
      <c r="F44" s="618"/>
      <c r="G44" s="619" t="e">
        <f>T44</f>
        <v>#DIV/0!</v>
      </c>
      <c r="H44" s="617"/>
      <c r="I44" s="616" t="e">
        <f>V44</f>
        <v>#DIV/0!</v>
      </c>
      <c r="J44" s="617"/>
      <c r="K44" s="1340"/>
      <c r="L44" s="2142"/>
      <c r="M44" s="2132"/>
      <c r="N44" s="2132"/>
      <c r="O44" s="2143"/>
      <c r="P44" s="3507" t="str">
        <f>A44</f>
        <v>比较价格（元/平方米）</v>
      </c>
      <c r="Q44" s="3507"/>
      <c r="R44" s="3531" t="e">
        <f>ROUND(PRODUCT(R43,AA9:AA42),0)</f>
        <v>#DIV/0!</v>
      </c>
      <c r="S44" s="3531"/>
      <c r="T44" s="3531" t="e">
        <f>ROUND(PRODUCT(T43,AB9:AB42),0)</f>
        <v>#DIV/0!</v>
      </c>
      <c r="U44" s="3531"/>
      <c r="V44" s="3531" t="e">
        <f>ROUND(PRODUCT(V43,AC9:AC42),0)</f>
        <v>#DIV/0!</v>
      </c>
      <c r="W44" s="3531"/>
      <c r="X44" s="1558"/>
      <c r="Y44" s="1558"/>
      <c r="Z44" s="1558"/>
      <c r="AA44" s="1558"/>
      <c r="AB44" s="1558"/>
      <c r="AC44" s="1558"/>
    </row>
    <row r="45" spans="1:29" ht="15.75" thickBot="1">
      <c r="A45" s="620" t="s">
        <v>2921</v>
      </c>
      <c r="B45" s="621"/>
      <c r="C45" s="622" t="e">
        <f>R45</f>
        <v>#DIV/0!</v>
      </c>
      <c r="D45" s="622"/>
      <c r="E45" s="622"/>
      <c r="F45" s="622"/>
      <c r="G45" s="622"/>
      <c r="H45" s="622"/>
      <c r="I45" s="622"/>
      <c r="J45" s="622"/>
      <c r="K45" s="1341"/>
      <c r="L45" s="2142"/>
      <c r="M45" s="2132"/>
      <c r="N45" s="2132"/>
      <c r="O45" s="2143"/>
      <c r="P45" s="3528" t="str">
        <f>A45</f>
        <v>估价对象XX用房的比较价格（楼面单价，元/平方米）</v>
      </c>
      <c r="Q45" s="3529"/>
      <c r="R45" s="3530" t="e">
        <f>ROUND(AVERAGE(R44:V44),0)</f>
        <v>#DIV/0!</v>
      </c>
      <c r="S45" s="3530"/>
      <c r="T45" s="3530"/>
      <c r="U45" s="3530"/>
      <c r="V45" s="3530"/>
      <c r="W45" s="3530"/>
      <c r="X45" s="1558"/>
      <c r="Y45" s="1558"/>
      <c r="Z45" s="1558"/>
      <c r="AA45" s="1558"/>
      <c r="AB45" s="1558"/>
      <c r="AC45" s="1558"/>
    </row>
    <row r="46" spans="1:29">
      <c r="A46" s="2143"/>
      <c r="B46" s="2143"/>
      <c r="C46" s="2143"/>
      <c r="D46" s="2143"/>
      <c r="E46" s="2143"/>
      <c r="F46" s="2143"/>
      <c r="G46" s="2146"/>
      <c r="H46" s="2143"/>
      <c r="I46" s="2143"/>
      <c r="J46" s="2143"/>
      <c r="K46" s="2147"/>
      <c r="L46" s="2148"/>
      <c r="M46" s="2132"/>
      <c r="N46" s="2132"/>
      <c r="O46" s="2143"/>
      <c r="P46" s="1558"/>
      <c r="Q46" s="1558"/>
      <c r="R46" s="1558"/>
      <c r="S46" s="1558"/>
      <c r="T46" s="1558"/>
      <c r="U46" s="1558"/>
      <c r="V46" s="1558"/>
      <c r="W46" s="1558"/>
      <c r="X46" s="1558"/>
      <c r="Y46" s="1558"/>
      <c r="Z46" s="1558"/>
      <c r="AA46" s="1558"/>
      <c r="AB46" s="1558"/>
      <c r="AC46" s="1558"/>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4" customFormat="1" ht="13.5" customHeight="1">
      <c r="A50" s="2144"/>
      <c r="B50" s="2144"/>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4"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8" t="s">
        <v>560</v>
      </c>
      <c r="B52" s="629" t="s">
        <v>561</v>
      </c>
      <c r="C52" s="1559" t="s">
        <v>1725</v>
      </c>
      <c r="D52" s="2225" t="s">
        <v>2293</v>
      </c>
      <c r="E52" s="630" t="s">
        <v>562</v>
      </c>
      <c r="F52" s="1949" t="s">
        <v>563</v>
      </c>
      <c r="G52" s="3532" t="s">
        <v>2284</v>
      </c>
      <c r="H52" s="3533"/>
      <c r="I52" s="1950" t="s">
        <v>1948</v>
      </c>
      <c r="J52" s="1554">
        <f>项目基本情况!F41</f>
        <v>0</v>
      </c>
      <c r="K52" s="2152" t="s">
        <v>1724</v>
      </c>
      <c r="L52" s="2148"/>
      <c r="M52" s="2143"/>
      <c r="N52" s="2143"/>
      <c r="O52" s="2143"/>
      <c r="P52" s="2143"/>
      <c r="Q52" s="2143"/>
      <c r="R52" s="2143"/>
      <c r="S52" s="2143"/>
      <c r="T52" s="2143"/>
      <c r="U52" s="2143"/>
      <c r="V52" s="2143"/>
      <c r="W52" s="2143"/>
      <c r="X52" s="2143"/>
      <c r="Y52" s="2143"/>
      <c r="Z52" s="2143"/>
      <c r="AA52" s="2143"/>
      <c r="AB52" s="2143"/>
      <c r="AC52" s="2143"/>
    </row>
    <row r="53" spans="1:29" s="1345" customFormat="1" ht="12.75">
      <c r="A53" s="632" t="s">
        <v>564</v>
      </c>
      <c r="B53" s="633" t="e">
        <f>C45</f>
        <v>#DIV/0!</v>
      </c>
      <c r="C53" s="634">
        <v>1</v>
      </c>
      <c r="D53" s="2226">
        <v>1</v>
      </c>
      <c r="E53" s="634">
        <f>'数据-汇总表'!E8+'数据-汇总表'!E9</f>
        <v>64609.999999999985</v>
      </c>
      <c r="F53" s="1948" t="e">
        <f t="shared" ref="F53:F62" si="14">ROUND(B53*E53/10000,0)</f>
        <v>#DIV/0!</v>
      </c>
      <c r="G53" s="3534"/>
      <c r="H53" s="3535"/>
      <c r="I53" s="1951">
        <v>1</v>
      </c>
      <c r="J53" s="1555">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5" customFormat="1" ht="12.75">
      <c r="A54" s="636" t="s">
        <v>565</v>
      </c>
      <c r="B54" s="637" t="e">
        <f>ROUND($C$45*C54*D54,0)</f>
        <v>#DIV/0!</v>
      </c>
      <c r="C54" s="377">
        <f t="shared" ref="C54:C62" si="15">IF($C$52="北京市系数",I54,J54)</f>
        <v>0.6</v>
      </c>
      <c r="D54" s="2227">
        <v>0.25</v>
      </c>
      <c r="E54" s="638"/>
      <c r="F54" s="1948" t="e">
        <f t="shared" si="14"/>
        <v>#DIV/0!</v>
      </c>
      <c r="G54" s="3536" t="s">
        <v>2285</v>
      </c>
      <c r="H54" s="1952" t="str">
        <f>项目基本情况!B43</f>
        <v>八级</v>
      </c>
      <c r="I54" s="1951">
        <f>SUMIF(修正!$A$45:$A$56,H54,修正!B45:B56)</f>
        <v>0.6</v>
      </c>
      <c r="J54" s="1557"/>
      <c r="K54" s="2153"/>
      <c r="L54" s="2153"/>
      <c r="M54" s="2153"/>
      <c r="N54" s="2153"/>
      <c r="O54" s="2153"/>
      <c r="P54" s="2153"/>
      <c r="Q54" s="2153"/>
      <c r="R54" s="2153"/>
      <c r="S54" s="2153"/>
      <c r="T54" s="2153"/>
      <c r="U54" s="2153"/>
      <c r="V54" s="2153"/>
      <c r="W54" s="2153"/>
      <c r="X54" s="2153"/>
      <c r="Y54" s="2153"/>
      <c r="Z54" s="2153"/>
      <c r="AA54" s="2153"/>
      <c r="AB54" s="2153"/>
      <c r="AC54" s="2153"/>
    </row>
    <row r="55" spans="1:29" s="1345" customFormat="1" ht="12.75">
      <c r="A55" s="636" t="s">
        <v>566</v>
      </c>
      <c r="B55" s="637" t="e">
        <f t="shared" ref="B55:B62" si="16">ROUND($C$45*C55*D55,0)</f>
        <v>#DIV/0!</v>
      </c>
      <c r="C55" s="377">
        <f t="shared" si="15"/>
        <v>0.3</v>
      </c>
      <c r="D55" s="2227">
        <v>0.25</v>
      </c>
      <c r="E55" s="638"/>
      <c r="F55" s="1948" t="e">
        <f t="shared" si="14"/>
        <v>#DIV/0!</v>
      </c>
      <c r="G55" s="3536"/>
      <c r="H55" s="1953" t="str">
        <f>项目基本情况!B43</f>
        <v>八级</v>
      </c>
      <c r="I55" s="1951">
        <f>SUMIF(修正!$A$45:$A$56,H55,修正!C45:C56)</f>
        <v>0.3</v>
      </c>
      <c r="J55" s="1557"/>
      <c r="K55" s="2153"/>
      <c r="L55" s="2153"/>
      <c r="M55" s="2153"/>
      <c r="N55" s="2153"/>
      <c r="O55" s="2153"/>
      <c r="P55" s="2153"/>
      <c r="Q55" s="2153"/>
      <c r="R55" s="2153"/>
      <c r="S55" s="2153"/>
      <c r="T55" s="2153"/>
      <c r="U55" s="2153"/>
      <c r="V55" s="2153"/>
      <c r="W55" s="2153"/>
      <c r="X55" s="2153"/>
      <c r="Y55" s="2153"/>
      <c r="Z55" s="2153"/>
      <c r="AA55" s="2153"/>
      <c r="AB55" s="2153"/>
      <c r="AC55" s="2153"/>
    </row>
    <row r="56" spans="1:29" s="1345" customFormat="1" ht="12.75">
      <c r="A56" s="636" t="s">
        <v>567</v>
      </c>
      <c r="B56" s="637" t="e">
        <f t="shared" si="16"/>
        <v>#DIV/0!</v>
      </c>
      <c r="C56" s="377">
        <f t="shared" si="15"/>
        <v>0.2</v>
      </c>
      <c r="D56" s="2227">
        <v>0.25</v>
      </c>
      <c r="E56" s="638"/>
      <c r="F56" s="1948" t="e">
        <f t="shared" si="14"/>
        <v>#DIV/0!</v>
      </c>
      <c r="G56" s="3536"/>
      <c r="H56" s="1953" t="str">
        <f>项目基本情况!B43</f>
        <v>八级</v>
      </c>
      <c r="I56" s="1951">
        <f>SUMIF(修正!$A$45:$A$56,H56,修正!D45:D56)</f>
        <v>0.2</v>
      </c>
      <c r="J56" s="1557"/>
      <c r="K56" s="2153"/>
      <c r="L56" s="2153"/>
      <c r="M56" s="2153"/>
      <c r="N56" s="2153"/>
      <c r="O56" s="2153"/>
      <c r="P56" s="2153"/>
      <c r="Q56" s="2153"/>
      <c r="R56" s="2153"/>
      <c r="S56" s="2153"/>
      <c r="T56" s="2153"/>
      <c r="U56" s="2153"/>
      <c r="V56" s="2153"/>
      <c r="W56" s="2153"/>
      <c r="X56" s="2153"/>
      <c r="Y56" s="2153"/>
      <c r="Z56" s="2153"/>
      <c r="AA56" s="2153"/>
      <c r="AB56" s="2153"/>
      <c r="AC56" s="2153"/>
    </row>
    <row r="57" spans="1:29" s="1345" customFormat="1" ht="12.75">
      <c r="A57" s="636" t="s">
        <v>568</v>
      </c>
      <c r="B57" s="637" t="e">
        <f t="shared" si="16"/>
        <v>#DIV/0!</v>
      </c>
      <c r="C57" s="377">
        <f t="shared" si="15"/>
        <v>0.2</v>
      </c>
      <c r="D57" s="2227">
        <v>0.25</v>
      </c>
      <c r="E57" s="638"/>
      <c r="F57" s="1948" t="e">
        <f t="shared" si="14"/>
        <v>#DIV/0!</v>
      </c>
      <c r="G57" s="3536"/>
      <c r="H57" s="1953" t="str">
        <f>项目基本情况!B43</f>
        <v>八级</v>
      </c>
      <c r="I57" s="1951">
        <f>SUMIF(修正!$A$45:$A$56,H57,修正!E45:E56)</f>
        <v>0.2</v>
      </c>
      <c r="J57" s="1557"/>
      <c r="K57" s="2153"/>
      <c r="L57" s="2153"/>
      <c r="M57" s="2153"/>
      <c r="N57" s="2153"/>
      <c r="O57" s="2153"/>
      <c r="P57" s="2153"/>
      <c r="Q57" s="2153"/>
      <c r="R57" s="2153"/>
      <c r="S57" s="2153"/>
      <c r="T57" s="2153"/>
      <c r="U57" s="2153"/>
      <c r="V57" s="2153"/>
      <c r="W57" s="2153"/>
      <c r="X57" s="2153"/>
      <c r="Y57" s="2153"/>
      <c r="Z57" s="2153"/>
      <c r="AA57" s="2153"/>
      <c r="AB57" s="2153"/>
      <c r="AC57" s="2153"/>
    </row>
    <row r="58" spans="1:29" s="1345" customFormat="1" ht="12.75">
      <c r="A58" s="2329" t="s">
        <v>2326</v>
      </c>
      <c r="B58" s="637" t="e">
        <f t="shared" si="16"/>
        <v>#DIV/0!</v>
      </c>
      <c r="C58" s="377">
        <f t="shared" si="15"/>
        <v>0.2</v>
      </c>
      <c r="D58" s="2227">
        <v>0.25</v>
      </c>
      <c r="E58" s="640">
        <f>'数据-汇总表'!E11</f>
        <v>0</v>
      </c>
      <c r="F58" s="1948" t="e">
        <f t="shared" si="14"/>
        <v>#DIV/0!</v>
      </c>
      <c r="G58" s="1954" t="s">
        <v>2286</v>
      </c>
      <c r="H58" s="1953" t="str">
        <f>项目基本情况!C43</f>
        <v>八级</v>
      </c>
      <c r="I58" s="1951">
        <f>SUMIF(修正!$A$45:$A$56,H58,修正!F45:F56)</f>
        <v>0.2</v>
      </c>
      <c r="J58" s="1557"/>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569</v>
      </c>
      <c r="B59" s="637" t="e">
        <f t="shared" si="16"/>
        <v>#DIV/0!</v>
      </c>
      <c r="C59" s="377">
        <f t="shared" si="15"/>
        <v>0.2</v>
      </c>
      <c r="D59" s="2227">
        <v>0.25</v>
      </c>
      <c r="E59" s="640">
        <f>'数据-汇总表'!E12</f>
        <v>65328.5</v>
      </c>
      <c r="F59" s="1948" t="e">
        <f t="shared" si="14"/>
        <v>#DIV/0!</v>
      </c>
      <c r="G59" s="1944" t="s">
        <v>1678</v>
      </c>
      <c r="H59" s="1952" t="str">
        <f>IF(G59="商业",项目基本情况!B43,IF(G59="办公",项目基本情况!C43,IF(G59="住宅",项目基本情况!D43,项目基本情况!E43)))</f>
        <v>八级</v>
      </c>
      <c r="I59" s="1951">
        <f>SUMIF(修正!$A$45:$A$56,H59,修正!G45:G56)</f>
        <v>0.2</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570</v>
      </c>
      <c r="B60" s="637" t="e">
        <f t="shared" si="16"/>
        <v>#DIV/0!</v>
      </c>
      <c r="C60" s="377">
        <f t="shared" si="15"/>
        <v>0.15</v>
      </c>
      <c r="D60" s="2227">
        <v>0.25</v>
      </c>
      <c r="E60" s="640">
        <f>'数据-汇总表'!E13</f>
        <v>26123.5</v>
      </c>
      <c r="F60" s="1948" t="e">
        <f t="shared" si="14"/>
        <v>#DIV/0!</v>
      </c>
      <c r="G60" s="1944" t="s">
        <v>923</v>
      </c>
      <c r="H60" s="1952" t="str">
        <f>IF(G60="商业",项目基本情况!B43,IF(G60="办公",项目基本情况!C43,IF(G60="住宅",项目基本情况!D43,项目基本情况!E43)))</f>
        <v>八级</v>
      </c>
      <c r="I60" s="1951">
        <f>SUMIF(修正!$A$45:$A$56,H60,修正!H45:H56)</f>
        <v>0.15</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571</v>
      </c>
      <c r="B61" s="637" t="e">
        <f t="shared" si="16"/>
        <v>#DIV/0!</v>
      </c>
      <c r="C61" s="377">
        <f t="shared" si="15"/>
        <v>0.15</v>
      </c>
      <c r="D61" s="2227">
        <v>0.25</v>
      </c>
      <c r="E61" s="640">
        <f>'数据-汇总表'!E14</f>
        <v>0</v>
      </c>
      <c r="F61" s="1948" t="e">
        <f t="shared" si="14"/>
        <v>#DIV/0!</v>
      </c>
      <c r="G61" s="1954" t="s">
        <v>2285</v>
      </c>
      <c r="H61" s="1953" t="str">
        <f>项目基本情况!B43</f>
        <v>八级</v>
      </c>
      <c r="I61" s="1951">
        <f>SUMIF(修正!$A$45:$A$56,H61,修正!H45:H56)</f>
        <v>0.15</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3.5" thickBot="1">
      <c r="A62" s="636" t="s">
        <v>572</v>
      </c>
      <c r="B62" s="637" t="e">
        <f t="shared" si="16"/>
        <v>#DIV/0!</v>
      </c>
      <c r="C62" s="377">
        <f t="shared" si="15"/>
        <v>0.15</v>
      </c>
      <c r="D62" s="2227">
        <v>0.25</v>
      </c>
      <c r="E62" s="640">
        <f>'数据-汇总表'!E15</f>
        <v>0</v>
      </c>
      <c r="F62" s="1948" t="e">
        <f t="shared" si="14"/>
        <v>#DIV/0!</v>
      </c>
      <c r="G62" s="1955" t="s">
        <v>2286</v>
      </c>
      <c r="H62" s="1956" t="str">
        <f>项目基本情况!C43</f>
        <v>八级</v>
      </c>
      <c r="I62" s="1951">
        <f>SUMIF(修正!$A$45:$A$56,H62,修正!H45:H56)</f>
        <v>0.15</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3.5" thickBot="1">
      <c r="A63" s="641" t="s">
        <v>573</v>
      </c>
      <c r="B63" s="642" t="s">
        <v>17</v>
      </c>
      <c r="C63" s="642" t="s">
        <v>18</v>
      </c>
      <c r="D63" s="642" t="s">
        <v>2294</v>
      </c>
      <c r="E63" s="642">
        <f>IF(B43="楼面地价",SUM(E53:E62),'数据-汇总表'!D3)</f>
        <v>64089.62</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98" t="str">
        <f>YEAR(C9)&amp;"-"&amp;MONTH(C9)&amp;"-1"</f>
        <v>2018-12-1</v>
      </c>
      <c r="D65" s="2797">
        <f>EDATE(C65,-3)</f>
        <v>43344</v>
      </c>
      <c r="E65" s="2797">
        <f t="shared" ref="E65:N65" si="17">EDATE(D65,-3)</f>
        <v>43252</v>
      </c>
      <c r="F65" s="2797">
        <f t="shared" si="17"/>
        <v>43160</v>
      </c>
      <c r="G65" s="2797">
        <f t="shared" si="17"/>
        <v>43070</v>
      </c>
      <c r="H65" s="2797">
        <f t="shared" si="17"/>
        <v>42979</v>
      </c>
      <c r="I65" s="2797">
        <f t="shared" si="17"/>
        <v>42887</v>
      </c>
      <c r="J65" s="2797">
        <f t="shared" si="17"/>
        <v>42795</v>
      </c>
      <c r="K65" s="2797">
        <f t="shared" si="17"/>
        <v>42705</v>
      </c>
      <c r="L65" s="2797">
        <f t="shared" si="17"/>
        <v>42614</v>
      </c>
      <c r="M65" s="2797">
        <f t="shared" si="17"/>
        <v>42522</v>
      </c>
      <c r="N65" s="2797">
        <f t="shared" si="17"/>
        <v>42430</v>
      </c>
      <c r="O65" s="2143"/>
      <c r="P65" s="2143"/>
      <c r="Q65" s="2143"/>
      <c r="R65" s="2143"/>
      <c r="S65" s="2143"/>
      <c r="T65" s="2143"/>
      <c r="U65" s="2143"/>
      <c r="V65" s="2143"/>
      <c r="W65" s="2143"/>
      <c r="X65" s="2143"/>
      <c r="Y65" s="2143"/>
      <c r="Z65" s="2143"/>
      <c r="AA65" s="2143"/>
      <c r="AB65" s="2143"/>
      <c r="AC65" s="2143"/>
    </row>
    <row r="66" spans="1:29" ht="21.75" thickBot="1">
      <c r="A66" s="1583" t="s">
        <v>574</v>
      </c>
      <c r="B66" s="1558"/>
      <c r="C66" s="1582"/>
      <c r="D66" s="1582"/>
      <c r="E66" s="1582"/>
      <c r="F66" s="1584"/>
      <c r="G66" s="1584"/>
      <c r="H66" s="1582"/>
      <c r="I66" s="1582"/>
      <c r="J66" s="1582"/>
      <c r="K66" s="1585"/>
      <c r="L66" s="1581"/>
      <c r="M66" s="1582"/>
      <c r="N66" s="1582"/>
      <c r="O66" s="2155"/>
      <c r="P66" s="2155"/>
      <c r="Q66" s="2156"/>
      <c r="R66" s="2143"/>
      <c r="S66" s="2143"/>
      <c r="T66" s="2143"/>
      <c r="U66" s="2143"/>
      <c r="V66" s="2143"/>
      <c r="W66" s="2143"/>
      <c r="X66" s="2143"/>
      <c r="Y66" s="2143"/>
      <c r="Z66" s="2143"/>
      <c r="AA66" s="2143"/>
      <c r="AB66" s="2143"/>
      <c r="AC66" s="2143"/>
    </row>
    <row r="67" spans="1:29" s="1346" customFormat="1" ht="15">
      <c r="A67" s="2566" t="s">
        <v>2531</v>
      </c>
      <c r="B67" s="645"/>
      <c r="C67" s="2792" t="str">
        <f>YEAR(C65)&amp;"-"&amp;ROUNDUP(MONTH(C65)/3,0)</f>
        <v>2018-4</v>
      </c>
      <c r="D67" s="2799" t="str">
        <f t="shared" ref="D67:N67" si="18">YEAR(D65)&amp;"-"&amp;ROUNDUP(MONTH(D65)/3,0)</f>
        <v>2018-3</v>
      </c>
      <c r="E67" s="2799" t="str">
        <f t="shared" si="18"/>
        <v>2018-2</v>
      </c>
      <c r="F67" s="2799" t="str">
        <f t="shared" si="18"/>
        <v>2018-1</v>
      </c>
      <c r="G67" s="2799" t="str">
        <f t="shared" si="18"/>
        <v>2017-4</v>
      </c>
      <c r="H67" s="2799" t="str">
        <f t="shared" si="18"/>
        <v>2017-3</v>
      </c>
      <c r="I67" s="2799" t="str">
        <f t="shared" si="18"/>
        <v>2017-2</v>
      </c>
      <c r="J67" s="2799" t="str">
        <f t="shared" si="18"/>
        <v>2017-1</v>
      </c>
      <c r="K67" s="2799" t="str">
        <f t="shared" si="18"/>
        <v>2016-4</v>
      </c>
      <c r="L67" s="2799" t="str">
        <f t="shared" si="18"/>
        <v>2016-3</v>
      </c>
      <c r="M67" s="2799" t="str">
        <f t="shared" si="18"/>
        <v>2016-2</v>
      </c>
      <c r="N67" s="2799" t="str">
        <f t="shared" si="18"/>
        <v>2016-1</v>
      </c>
      <c r="O67" s="2157"/>
      <c r="P67" s="2158"/>
      <c r="Q67" s="2159"/>
      <c r="R67" s="2159"/>
      <c r="S67" s="2159"/>
      <c r="T67" s="2159"/>
      <c r="U67" s="2159"/>
      <c r="V67" s="2159"/>
      <c r="W67" s="2159"/>
      <c r="X67" s="2159"/>
      <c r="Y67" s="2159"/>
      <c r="Z67" s="2159"/>
      <c r="AA67" s="2159"/>
      <c r="AB67" s="2159"/>
      <c r="AC67" s="2159"/>
    </row>
    <row r="68" spans="1:29" s="1219" customFormat="1" ht="27.75" customHeight="1">
      <c r="A68" s="2796" t="s">
        <v>2646</v>
      </c>
      <c r="B68" s="478" t="str">
        <f>"北京市平均增长率"&amp;TEXT(基准地价!P24,"0.00%")</f>
        <v>北京市平均增长率0.00%</v>
      </c>
      <c r="C68" s="893">
        <v>100</v>
      </c>
      <c r="D68" s="729"/>
      <c r="E68" s="729"/>
      <c r="F68" s="729"/>
      <c r="G68" s="729"/>
      <c r="H68" s="729"/>
      <c r="I68" s="729"/>
      <c r="J68" s="729"/>
      <c r="K68" s="729"/>
      <c r="L68" s="729"/>
      <c r="M68" s="2790"/>
      <c r="N68" s="2791"/>
      <c r="O68" s="2160"/>
      <c r="P68" s="2156"/>
      <c r="Q68" s="1991"/>
      <c r="R68" s="1991"/>
      <c r="S68" s="1991"/>
      <c r="T68" s="1991"/>
      <c r="U68" s="1991"/>
      <c r="V68" s="1991"/>
      <c r="W68" s="1991"/>
      <c r="X68" s="1991"/>
      <c r="Y68" s="1991"/>
      <c r="Z68" s="1991"/>
      <c r="AA68" s="1991"/>
      <c r="AB68" s="1991"/>
      <c r="AC68" s="1991"/>
    </row>
    <row r="69" spans="1:29" s="1219" customFormat="1" ht="15.75" thickBot="1">
      <c r="A69" s="652" t="s">
        <v>575</v>
      </c>
      <c r="B69" s="653"/>
      <c r="C69" s="2788"/>
      <c r="D69" s="2789"/>
      <c r="E69" s="2789"/>
      <c r="F69" s="2789"/>
      <c r="G69" s="2789"/>
      <c r="H69" s="2789"/>
      <c r="I69" s="2789"/>
      <c r="J69" s="2789"/>
      <c r="K69" s="2789"/>
      <c r="L69" s="2789"/>
      <c r="M69" s="2789"/>
      <c r="N69" s="2789"/>
      <c r="O69" s="2160"/>
      <c r="P69" s="2156"/>
      <c r="Q69" s="2156"/>
      <c r="R69" s="1991"/>
      <c r="S69" s="1991"/>
      <c r="T69" s="1991"/>
      <c r="U69" s="1991"/>
      <c r="V69" s="1991"/>
      <c r="W69" s="1991"/>
      <c r="X69" s="1991"/>
      <c r="Y69" s="1991"/>
      <c r="Z69" s="1991"/>
      <c r="AA69" s="1991"/>
      <c r="AB69" s="1991"/>
      <c r="AC69" s="1991"/>
    </row>
    <row r="70" spans="1:29" s="1219" customFormat="1" ht="15">
      <c r="A70" s="658" t="s">
        <v>531</v>
      </c>
      <c r="B70" s="647"/>
      <c r="C70" s="659" t="s">
        <v>576</v>
      </c>
      <c r="D70" s="660"/>
      <c r="E70" s="660"/>
      <c r="F70" s="660"/>
      <c r="G70" s="660"/>
      <c r="H70" s="660"/>
      <c r="I70" s="660"/>
      <c r="J70" s="660"/>
      <c r="K70" s="660"/>
      <c r="L70" s="661"/>
      <c r="M70" s="662"/>
      <c r="N70" s="2160"/>
      <c r="O70" s="2160"/>
      <c r="P70" s="2161"/>
      <c r="Q70" s="2156"/>
      <c r="R70" s="1991"/>
      <c r="S70" s="1991"/>
      <c r="T70" s="1991"/>
      <c r="U70" s="1991"/>
      <c r="V70" s="1991"/>
      <c r="W70" s="1991"/>
      <c r="X70" s="1991"/>
      <c r="Y70" s="1991"/>
      <c r="Z70" s="1991"/>
      <c r="AA70" s="1991"/>
      <c r="AB70" s="1991"/>
      <c r="AC70" s="1991"/>
    </row>
    <row r="71" spans="1:29" s="1219" customFormat="1" ht="15.75" thickBot="1">
      <c r="A71" s="658"/>
      <c r="B71" s="647"/>
      <c r="C71" s="648">
        <v>100</v>
      </c>
      <c r="D71" s="649"/>
      <c r="E71" s="649"/>
      <c r="F71" s="649"/>
      <c r="G71" s="649"/>
      <c r="H71" s="649"/>
      <c r="I71" s="649"/>
      <c r="J71" s="649"/>
      <c r="K71" s="649"/>
      <c r="L71" s="649"/>
      <c r="M71" s="651"/>
      <c r="N71" s="2160"/>
      <c r="O71" s="2160"/>
      <c r="P71" s="2156"/>
      <c r="Q71" s="2156"/>
      <c r="R71" s="1991"/>
      <c r="S71" s="1991"/>
      <c r="T71" s="1991"/>
      <c r="U71" s="1991"/>
      <c r="V71" s="1991"/>
      <c r="W71" s="1991"/>
      <c r="X71" s="1991"/>
      <c r="Y71" s="1991"/>
      <c r="Z71" s="1991"/>
      <c r="AA71" s="1991"/>
      <c r="AB71" s="1991"/>
      <c r="AC71" s="1991"/>
    </row>
    <row r="72" spans="1:29">
      <c r="A72" s="663" t="s">
        <v>577</v>
      </c>
      <c r="B72" s="664" t="s">
        <v>534</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5.75"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7.75" thickTop="1">
      <c r="A74" s="668"/>
      <c r="B74" s="672" t="s">
        <v>537</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680" t="s">
        <v>538</v>
      </c>
      <c r="C76" s="681" t="str">
        <f>C77&amp;"（含）"&amp;"-"&amp;D77</f>
        <v>（含）-</v>
      </c>
      <c r="D76" s="681" t="str">
        <f t="shared" ref="D76:L76" si="19">D77&amp;"（含）"&amp;"-"&amp;E77</f>
        <v>（含）-</v>
      </c>
      <c r="E76" s="681" t="str">
        <f t="shared" si="19"/>
        <v>（含）-</v>
      </c>
      <c r="F76" s="681" t="str">
        <f t="shared" si="19"/>
        <v>（含）-</v>
      </c>
      <c r="G76" s="681" t="str">
        <f t="shared" si="19"/>
        <v>（含）-</v>
      </c>
      <c r="H76" s="681" t="str">
        <f t="shared" si="19"/>
        <v>（含）-</v>
      </c>
      <c r="I76" s="681" t="str">
        <f t="shared" si="19"/>
        <v>（含）-</v>
      </c>
      <c r="J76" s="681" t="str">
        <f t="shared" si="19"/>
        <v>（含）-</v>
      </c>
      <c r="K76" s="681" t="str">
        <f t="shared" si="19"/>
        <v>（含）-</v>
      </c>
      <c r="L76" s="681" t="str">
        <f t="shared" si="19"/>
        <v>（含）-</v>
      </c>
      <c r="M76" s="554"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8"/>
      <c r="B77" s="682"/>
      <c r="C77" s="540"/>
      <c r="D77" s="540"/>
      <c r="E77" s="540"/>
      <c r="F77" s="540"/>
      <c r="G77" s="540"/>
      <c r="H77" s="540"/>
      <c r="I77" s="540"/>
      <c r="J77" s="540"/>
      <c r="K77" s="683"/>
      <c r="L77" s="684"/>
      <c r="M77" s="685"/>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8">
        <v>100</v>
      </c>
      <c r="D78" s="678">
        <f>IF($B$43="单位面积地价",C78+$K13,C78-$K13)</f>
        <v>100</v>
      </c>
      <c r="E78" s="678">
        <f t="shared" ref="E78:M78" si="20">IF($B$43="单位面积地价",D78+$K13,D78-$K13)</f>
        <v>100</v>
      </c>
      <c r="F78" s="678">
        <f t="shared" si="20"/>
        <v>100</v>
      </c>
      <c r="G78" s="678">
        <f t="shared" si="20"/>
        <v>100</v>
      </c>
      <c r="H78" s="678">
        <f t="shared" si="20"/>
        <v>100</v>
      </c>
      <c r="I78" s="678">
        <f t="shared" si="20"/>
        <v>100</v>
      </c>
      <c r="J78" s="678">
        <f t="shared" si="20"/>
        <v>100</v>
      </c>
      <c r="K78" s="678">
        <f t="shared" si="20"/>
        <v>100</v>
      </c>
      <c r="L78" s="678">
        <f t="shared" si="20"/>
        <v>100</v>
      </c>
      <c r="M78" s="678">
        <f t="shared" si="20"/>
        <v>100</v>
      </c>
      <c r="N78" s="2164"/>
      <c r="O78" s="2164"/>
      <c r="P78" s="2163"/>
      <c r="Q78" s="2156"/>
      <c r="R78" s="2143"/>
      <c r="S78" s="2143"/>
      <c r="T78" s="2143"/>
      <c r="U78" s="2143"/>
      <c r="V78" s="2143"/>
      <c r="W78" s="2143"/>
      <c r="X78" s="2143"/>
      <c r="Y78" s="2143"/>
      <c r="Z78" s="2143"/>
      <c r="AA78" s="2143"/>
      <c r="AB78" s="2143"/>
      <c r="AC78" s="2143"/>
    </row>
    <row r="79" spans="1:29" s="1338" customFormat="1" ht="15.75"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8" customFormat="1" ht="15.75"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8" customFormat="1" ht="15.75"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8" customFormat="1" ht="15.75"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8" customFormat="1" ht="15.75"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8" customFormat="1" ht="15.75"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c r="A85" s="663" t="s">
        <v>539</v>
      </c>
      <c r="B85" s="664" t="s">
        <v>602</v>
      </c>
      <c r="C85" s="702" t="s">
        <v>579</v>
      </c>
      <c r="D85" s="702" t="s">
        <v>580</v>
      </c>
      <c r="E85" s="702" t="s">
        <v>581</v>
      </c>
      <c r="F85" s="702" t="s">
        <v>582</v>
      </c>
      <c r="G85" s="702" t="s">
        <v>583</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75" thickTop="1">
      <c r="A87" s="668"/>
      <c r="B87" s="672" t="s">
        <v>586</v>
      </c>
      <c r="C87" s="707" t="s">
        <v>579</v>
      </c>
      <c r="D87" s="707" t="s">
        <v>580</v>
      </c>
      <c r="E87" s="707" t="s">
        <v>581</v>
      </c>
      <c r="F87" s="707" t="s">
        <v>582</v>
      </c>
      <c r="G87" s="707" t="s">
        <v>583</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60"/>
      <c r="O89" s="2160"/>
      <c r="P89" s="2163"/>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1"/>
      <c r="S90" s="1991"/>
      <c r="T90" s="1991"/>
      <c r="U90" s="1991"/>
      <c r="V90" s="1991"/>
      <c r="W90" s="1991"/>
      <c r="X90" s="1991"/>
      <c r="Y90" s="1991"/>
      <c r="Z90" s="1991"/>
      <c r="AA90" s="1991"/>
      <c r="AB90" s="1991"/>
      <c r="AC90" s="1991"/>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60"/>
      <c r="O91" s="2160"/>
      <c r="P91" s="2163"/>
      <c r="Q91" s="2156"/>
      <c r="R91" s="1991"/>
      <c r="S91" s="1991"/>
      <c r="T91" s="1991"/>
      <c r="U91" s="1991"/>
      <c r="V91" s="1991"/>
      <c r="W91" s="1991"/>
      <c r="X91" s="1991"/>
      <c r="Y91" s="1991"/>
      <c r="Z91" s="1991"/>
      <c r="AA91" s="1991"/>
      <c r="AB91" s="1991"/>
      <c r="AC91" s="1991"/>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1"/>
      <c r="S92" s="1991"/>
      <c r="T92" s="1991"/>
      <c r="U92" s="1991"/>
      <c r="V92" s="1991"/>
      <c r="W92" s="1991"/>
      <c r="X92" s="1991"/>
      <c r="Y92" s="1991"/>
      <c r="Z92" s="1991"/>
      <c r="AA92" s="1991"/>
      <c r="AB92" s="1991"/>
      <c r="AC92" s="1991"/>
    </row>
    <row r="93" spans="1:29" s="1338" customFormat="1" ht="15.75" thickTop="1">
      <c r="A93" s="686"/>
      <c r="B93" s="1894" t="s">
        <v>2546</v>
      </c>
      <c r="C93" s="702" t="s">
        <v>579</v>
      </c>
      <c r="D93" s="702" t="s">
        <v>580</v>
      </c>
      <c r="E93" s="702" t="s">
        <v>581</v>
      </c>
      <c r="F93" s="702" t="s">
        <v>582</v>
      </c>
      <c r="G93" s="702" t="s">
        <v>583</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8" customFormat="1" ht="15.75" thickTop="1">
      <c r="A95" s="686"/>
      <c r="B95" s="2595" t="s">
        <v>2548</v>
      </c>
      <c r="C95" s="2596" t="s">
        <v>2549</v>
      </c>
      <c r="D95" s="2596" t="s">
        <v>2550</v>
      </c>
      <c r="E95" s="2596" t="s">
        <v>2551</v>
      </c>
      <c r="F95" s="2596" t="s">
        <v>2552</v>
      </c>
      <c r="G95" s="2596" t="s">
        <v>2553</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588"/>
      <c r="N96" s="2165"/>
      <c r="O96" s="2165"/>
      <c r="P96" s="2166"/>
      <c r="Q96" s="2167"/>
      <c r="R96" s="2168"/>
      <c r="S96" s="2168"/>
      <c r="T96" s="2168"/>
      <c r="U96" s="2168"/>
      <c r="V96" s="2168"/>
      <c r="W96" s="2168"/>
      <c r="X96" s="2168"/>
      <c r="Y96" s="2168"/>
      <c r="Z96" s="2168"/>
      <c r="AA96" s="2168"/>
      <c r="AB96" s="2168"/>
      <c r="AC96" s="2168"/>
    </row>
    <row r="97" spans="1:29" ht="15.75" thickTop="1">
      <c r="A97" s="668"/>
      <c r="B97" s="672" t="str">
        <f>B29</f>
        <v>临街状况</v>
      </c>
      <c r="C97" s="673" t="s">
        <v>589</v>
      </c>
      <c r="D97" s="673" t="s">
        <v>590</v>
      </c>
      <c r="E97" s="673" t="s">
        <v>591</v>
      </c>
      <c r="F97" s="673" t="s">
        <v>592</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5.75" thickBot="1">
      <c r="A98" s="668"/>
      <c r="B98" s="677"/>
      <c r="C98" s="678">
        <v>100</v>
      </c>
      <c r="D98" s="678">
        <f t="shared" ref="D98:M98" si="21">C98-$K29</f>
        <v>100</v>
      </c>
      <c r="E98" s="678">
        <f t="shared" si="21"/>
        <v>100</v>
      </c>
      <c r="F98" s="678">
        <f t="shared" si="21"/>
        <v>100</v>
      </c>
      <c r="G98" s="678">
        <f t="shared" si="21"/>
        <v>100</v>
      </c>
      <c r="H98" s="678">
        <f t="shared" si="21"/>
        <v>100</v>
      </c>
      <c r="I98" s="678">
        <f t="shared" si="21"/>
        <v>100</v>
      </c>
      <c r="J98" s="678">
        <f t="shared" si="21"/>
        <v>100</v>
      </c>
      <c r="K98" s="678">
        <f t="shared" si="21"/>
        <v>100</v>
      </c>
      <c r="L98" s="678">
        <f t="shared" si="21"/>
        <v>100</v>
      </c>
      <c r="M98" s="678">
        <f t="shared" si="21"/>
        <v>100</v>
      </c>
      <c r="N98" s="2164"/>
      <c r="O98" s="2164"/>
      <c r="P98" s="2163"/>
      <c r="Q98" s="2156"/>
      <c r="R98" s="2143"/>
      <c r="S98" s="2143"/>
      <c r="T98" s="2143"/>
      <c r="U98" s="2143"/>
      <c r="V98" s="2143"/>
      <c r="W98" s="2143"/>
      <c r="X98" s="2143"/>
      <c r="Y98" s="2143"/>
      <c r="Z98" s="2143"/>
      <c r="AA98" s="2143"/>
      <c r="AB98" s="2143"/>
      <c r="AC98" s="2143"/>
    </row>
    <row r="99" spans="1:29" ht="27.75" thickTop="1">
      <c r="A99" s="668"/>
      <c r="B99" s="672" t="s">
        <v>548</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5.75" thickBot="1">
      <c r="A100" s="668"/>
      <c r="B100" s="677"/>
      <c r="C100" s="678">
        <v>100</v>
      </c>
      <c r="D100" s="678">
        <f t="shared" ref="D100:M100" si="22">C100-$K30</f>
        <v>100</v>
      </c>
      <c r="E100" s="678">
        <f t="shared" si="22"/>
        <v>100</v>
      </c>
      <c r="F100" s="678">
        <f t="shared" si="22"/>
        <v>100</v>
      </c>
      <c r="G100" s="678">
        <f t="shared" si="22"/>
        <v>100</v>
      </c>
      <c r="H100" s="678">
        <f t="shared" si="22"/>
        <v>100</v>
      </c>
      <c r="I100" s="678">
        <f t="shared" si="22"/>
        <v>100</v>
      </c>
      <c r="J100" s="678">
        <f t="shared" si="22"/>
        <v>100</v>
      </c>
      <c r="K100" s="678">
        <f t="shared" si="22"/>
        <v>100</v>
      </c>
      <c r="L100" s="678">
        <f t="shared" si="22"/>
        <v>100</v>
      </c>
      <c r="M100" s="678">
        <f t="shared" si="22"/>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8"/>
      <c r="B101" s="672" t="s">
        <v>549</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3">C102-$K32</f>
        <v>100</v>
      </c>
      <c r="E102" s="678">
        <f t="shared" si="23"/>
        <v>100</v>
      </c>
      <c r="F102" s="678">
        <f t="shared" si="23"/>
        <v>100</v>
      </c>
      <c r="G102" s="678">
        <f t="shared" si="23"/>
        <v>100</v>
      </c>
      <c r="H102" s="678">
        <f t="shared" si="23"/>
        <v>100</v>
      </c>
      <c r="I102" s="678">
        <f t="shared" si="23"/>
        <v>100</v>
      </c>
      <c r="J102" s="678">
        <f t="shared" si="23"/>
        <v>100</v>
      </c>
      <c r="K102" s="678">
        <f t="shared" si="23"/>
        <v>100</v>
      </c>
      <c r="L102" s="678">
        <f t="shared" si="23"/>
        <v>100</v>
      </c>
      <c r="M102" s="678">
        <f t="shared" si="23"/>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5.75"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5"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8" customFormat="1" ht="15"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8" customFormat="1" ht="15.75"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c r="A109" s="663" t="s">
        <v>551</v>
      </c>
      <c r="B109" s="664" t="s">
        <v>593</v>
      </c>
      <c r="C109" s="703" t="str">
        <f t="shared" ref="C109:L109" si="24">C110&amp;"(含)"&amp;"-"&amp;D110</f>
        <v>(含)-</v>
      </c>
      <c r="D109" s="703" t="str">
        <f t="shared" si="24"/>
        <v>(含)-</v>
      </c>
      <c r="E109" s="703" t="str">
        <f t="shared" si="24"/>
        <v>(含)-</v>
      </c>
      <c r="F109" s="703" t="str">
        <f t="shared" si="24"/>
        <v>(含)-</v>
      </c>
      <c r="G109" s="703" t="str">
        <f t="shared" si="24"/>
        <v>(含)-</v>
      </c>
      <c r="H109" s="703" t="str">
        <f t="shared" si="24"/>
        <v>(含)-</v>
      </c>
      <c r="I109" s="703" t="str">
        <f t="shared" si="24"/>
        <v>(含)-</v>
      </c>
      <c r="J109" s="703" t="str">
        <f t="shared" si="24"/>
        <v>(含)-</v>
      </c>
      <c r="K109" s="3087" t="str">
        <f t="shared" si="24"/>
        <v>(含)-</v>
      </c>
      <c r="L109" s="3088" t="str">
        <f t="shared" si="24"/>
        <v>(含)-</v>
      </c>
      <c r="M109" s="3089"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594</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77"/>
      <c r="C113" s="678">
        <v>100</v>
      </c>
      <c r="D113" s="678">
        <f t="shared" ref="D113:M113" si="25">C113-$K37</f>
        <v>100</v>
      </c>
      <c r="E113" s="678">
        <f t="shared" si="25"/>
        <v>100</v>
      </c>
      <c r="F113" s="678">
        <f t="shared" si="25"/>
        <v>100</v>
      </c>
      <c r="G113" s="678">
        <f t="shared" si="25"/>
        <v>100</v>
      </c>
      <c r="H113" s="678">
        <f t="shared" si="25"/>
        <v>100</v>
      </c>
      <c r="I113" s="678">
        <f t="shared" si="25"/>
        <v>100</v>
      </c>
      <c r="J113" s="678">
        <f t="shared" si="25"/>
        <v>100</v>
      </c>
      <c r="K113" s="678">
        <f t="shared" si="25"/>
        <v>100</v>
      </c>
      <c r="L113" s="678">
        <f t="shared" si="25"/>
        <v>100</v>
      </c>
      <c r="M113" s="679">
        <f t="shared" si="25"/>
        <v>100</v>
      </c>
      <c r="N113" s="2164"/>
      <c r="O113" s="2164"/>
      <c r="P113" s="2163"/>
      <c r="Q113" s="2156"/>
      <c r="R113" s="2143"/>
      <c r="S113" s="2143"/>
      <c r="T113" s="2143"/>
      <c r="U113" s="2143"/>
      <c r="V113" s="2143"/>
      <c r="W113" s="2143"/>
      <c r="X113" s="2143"/>
      <c r="Y113" s="2143"/>
      <c r="Z113" s="2143"/>
      <c r="AA113" s="2143"/>
      <c r="AB113" s="2143"/>
      <c r="AC113" s="2143"/>
    </row>
    <row r="114" spans="1:29" s="1338" customFormat="1" ht="15" thickTop="1">
      <c r="A114" s="727"/>
      <c r="B114" s="1894" t="s">
        <v>2423</v>
      </c>
      <c r="C114" s="1374"/>
      <c r="D114" s="1374"/>
      <c r="E114" s="1374"/>
      <c r="F114" s="1374"/>
      <c r="G114" s="1374"/>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8" customFormat="1" ht="15.75" thickBot="1">
      <c r="A115" s="686"/>
      <c r="B115" s="677"/>
      <c r="C115" s="678">
        <v>100</v>
      </c>
      <c r="D115" s="678">
        <f t="shared" ref="D115:M115" si="26">C115-$K38</f>
        <v>100</v>
      </c>
      <c r="E115" s="678">
        <f t="shared" si="26"/>
        <v>100</v>
      </c>
      <c r="F115" s="678">
        <f t="shared" si="26"/>
        <v>100</v>
      </c>
      <c r="G115" s="678">
        <f t="shared" si="26"/>
        <v>100</v>
      </c>
      <c r="H115" s="678">
        <f t="shared" si="26"/>
        <v>100</v>
      </c>
      <c r="I115" s="678">
        <f t="shared" si="26"/>
        <v>100</v>
      </c>
      <c r="J115" s="678">
        <f t="shared" si="26"/>
        <v>100</v>
      </c>
      <c r="K115" s="678">
        <f t="shared" si="26"/>
        <v>100</v>
      </c>
      <c r="L115" s="678">
        <f t="shared" si="26"/>
        <v>100</v>
      </c>
      <c r="M115" s="679">
        <f t="shared" si="26"/>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596</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 t="shared" ref="D117:M117" si="27">C117-$K39</f>
        <v>100</v>
      </c>
      <c r="E117" s="678">
        <f t="shared" si="27"/>
        <v>100</v>
      </c>
      <c r="F117" s="678">
        <f t="shared" si="27"/>
        <v>100</v>
      </c>
      <c r="G117" s="678">
        <f t="shared" si="27"/>
        <v>100</v>
      </c>
      <c r="H117" s="678">
        <f t="shared" si="27"/>
        <v>100</v>
      </c>
      <c r="I117" s="678">
        <f t="shared" si="27"/>
        <v>100</v>
      </c>
      <c r="J117" s="678">
        <f t="shared" si="27"/>
        <v>100</v>
      </c>
      <c r="K117" s="678">
        <f t="shared" si="27"/>
        <v>100</v>
      </c>
      <c r="L117" s="678">
        <f t="shared" si="27"/>
        <v>100</v>
      </c>
      <c r="M117" s="679">
        <f t="shared" si="27"/>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5"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5.75"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8" customFormat="1" ht="15"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8" customFormat="1" ht="15.75"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34" priority="14" stopIfTrue="1" operator="containsText" text="超过">
      <formula>NOT(ISERROR(SEARCH("超过",F48)))</formula>
    </cfRule>
  </conditionalFormatting>
  <conditionalFormatting sqref="J50">
    <cfRule type="containsText" dxfId="133" priority="13" stopIfTrue="1" operator="containsText" text="超过">
      <formula>NOT(ISERROR(SEARCH("超过",J50)))</formula>
    </cfRule>
  </conditionalFormatting>
  <conditionalFormatting sqref="H50">
    <cfRule type="containsText" dxfId="132" priority="12" stopIfTrue="1" operator="containsText" text="超过">
      <formula>NOT(ISERROR(SEARCH("超过",H50)))</formula>
    </cfRule>
  </conditionalFormatting>
  <conditionalFormatting sqref="F50">
    <cfRule type="containsText" dxfId="131" priority="11" stopIfTrue="1" operator="containsText" text="超过">
      <formula>NOT(ISERROR(SEARCH("超过",F50)))</formula>
    </cfRule>
  </conditionalFormatting>
  <conditionalFormatting sqref="F49 H49 J49">
    <cfRule type="containsText" dxfId="130" priority="10" stopIfTrue="1" operator="containsText" text="超过">
      <formula>NOT(ISERROR(SEARCH("超过",F49)))</formula>
    </cfRule>
  </conditionalFormatting>
  <conditionalFormatting sqref="E48">
    <cfRule type="expression" dxfId="129" priority="9" stopIfTrue="1">
      <formula>$F$48="超过30%"</formula>
    </cfRule>
  </conditionalFormatting>
  <conditionalFormatting sqref="G50">
    <cfRule type="expression" dxfId="128" priority="8" stopIfTrue="1">
      <formula>$H$50="超过30%"</formula>
    </cfRule>
  </conditionalFormatting>
  <conditionalFormatting sqref="E50">
    <cfRule type="expression" dxfId="127" priority="6" stopIfTrue="1">
      <formula>$F$50="超过30%"</formula>
    </cfRule>
  </conditionalFormatting>
  <conditionalFormatting sqref="G48">
    <cfRule type="expression" dxfId="126" priority="5" stopIfTrue="1">
      <formula>$H$48="超过30%"</formula>
    </cfRule>
  </conditionalFormatting>
  <conditionalFormatting sqref="G49">
    <cfRule type="expression" dxfId="125" priority="4" stopIfTrue="1">
      <formula>$H$49="超过20%"</formula>
    </cfRule>
  </conditionalFormatting>
  <conditionalFormatting sqref="I48">
    <cfRule type="expression" dxfId="124" priority="3" stopIfTrue="1">
      <formula>$J$48="超过30%"</formula>
    </cfRule>
  </conditionalFormatting>
  <conditionalFormatting sqref="I49">
    <cfRule type="expression" dxfId="123" priority="2" stopIfTrue="1">
      <formula>$J$49="超过20%"</formula>
    </cfRule>
  </conditionalFormatting>
  <conditionalFormatting sqref="I50">
    <cfRule type="expression" dxfId="122" priority="1" stopIfTrue="1">
      <formula>$J$50="超过30%"</formula>
    </cfRule>
  </conditionalFormatting>
  <conditionalFormatting sqref="E49">
    <cfRule type="expression" dxfId="12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32" sqref="G32:G35"/>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2424</v>
      </c>
      <c r="D1" s="1520">
        <f>SUM(D29:D30,D33:D39)</f>
        <v>0</v>
      </c>
      <c r="E1" s="1405" t="s">
        <v>2425</v>
      </c>
      <c r="F1" s="2450"/>
      <c r="G1" s="1400"/>
      <c r="H1" s="1400"/>
      <c r="I1" s="1400"/>
      <c r="J1" s="1400"/>
      <c r="K1" s="1400"/>
      <c r="L1" s="1880" t="s">
        <v>2238</v>
      </c>
      <c r="M1" s="1881">
        <f>SUMPRODUCT((区片价!B5:B9=I2)*(区片价!C3:F3=E2)*(区片价!C5:F9))</f>
        <v>0</v>
      </c>
      <c r="N1" s="1882">
        <f>SUMPRODUCT((因素修正幅度!B5:B9=I2)*(因素修正幅度!C3:F3=E2)*(因素修正幅度!C5:F9))</f>
        <v>0</v>
      </c>
      <c r="O1" s="2187"/>
      <c r="P1" s="2187"/>
      <c r="Q1" s="2187"/>
      <c r="R1" s="2933" t="s">
        <v>2759</v>
      </c>
      <c r="S1" s="2933" t="s">
        <v>2760</v>
      </c>
      <c r="T1" s="2933" t="s">
        <v>2781</v>
      </c>
      <c r="U1" s="2933" t="s">
        <v>2782</v>
      </c>
      <c r="V1" s="2933" t="s">
        <v>2783</v>
      </c>
      <c r="W1" s="2187"/>
      <c r="X1" s="2187"/>
      <c r="Y1" s="2187"/>
      <c r="Z1" s="2187"/>
      <c r="AA1" s="2187"/>
      <c r="AB1" s="2187"/>
      <c r="AC1" s="2188"/>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3" t="s">
        <v>2239</v>
      </c>
      <c r="M2" s="1884">
        <f>SUMPRODUCT((区片价!B10:B28=I2)*(区片价!C3:F3=E2)*(区片价!C10:F28))</f>
        <v>0</v>
      </c>
      <c r="N2" s="1885">
        <f>SUMPRODUCT((因素修正幅度!B10:B28=I2)*(因素修正幅度!C3:F3=E2)*(因素修正幅度!C10:F28))</f>
        <v>0</v>
      </c>
      <c r="O2" s="2187"/>
      <c r="P2" s="2187"/>
      <c r="Q2" s="2187"/>
      <c r="R2" s="2934">
        <v>1</v>
      </c>
      <c r="S2" s="2934">
        <f>ROUND(IF(G3&gt;1,IF(R2&lt;7,SUMPRODUCT((B93:B98=R2)*(C92:N92=G2)*(C93:N98)),SUMIF(C92:N92,G2,C100:N100)),IF(R2&lt;7,SUMPRODUCT((B102:B107=R2)*(C92:N92=G2)*(C102:N107)),SUMIF(C92:N92,G2,C109:N109))),4)</f>
        <v>0</v>
      </c>
      <c r="T2" s="2934" t="e">
        <f>ROUND($C$5*$C$18*$C$19*$C$20*S2*$C$24,0)</f>
        <v>#DIV/0!</v>
      </c>
      <c r="U2" s="2923"/>
      <c r="V2" s="2934" t="e">
        <f>ROUND(T2*U2/10000,0)</f>
        <v>#DIV/0!</v>
      </c>
      <c r="W2" s="2187"/>
      <c r="X2" s="2187"/>
      <c r="Y2" s="2187"/>
      <c r="Z2" s="2187"/>
      <c r="AA2" s="2187"/>
      <c r="AB2" s="2187"/>
      <c r="AC2" s="2188"/>
    </row>
    <row r="3" spans="1:39" ht="15.75">
      <c r="A3" s="1410" t="s">
        <v>1688</v>
      </c>
      <c r="B3" s="1037" t="e">
        <f>ROUND(B2*10000/D1,0)</f>
        <v>#DIV/0!</v>
      </c>
      <c r="C3" s="1406" t="s">
        <v>927</v>
      </c>
      <c r="D3" s="1407" t="s">
        <v>928</v>
      </c>
      <c r="E3" s="1411"/>
      <c r="F3" s="1412" t="s">
        <v>2922</v>
      </c>
      <c r="G3" s="1038">
        <f>IF(F3="宗地容积率",'数据-汇总表'!I4,IF(F3="估价对象容积率",'数据-汇总表'!I6,'数据-汇总表'!I7))</f>
        <v>1.01</v>
      </c>
      <c r="H3" s="1413" t="s">
        <v>929</v>
      </c>
      <c r="I3" s="1039">
        <v>8</v>
      </c>
      <c r="J3" s="1409" t="s">
        <v>930</v>
      </c>
      <c r="K3" s="1400"/>
      <c r="L3" s="1883" t="s">
        <v>2240</v>
      </c>
      <c r="M3" s="1884">
        <f>SUMPRODUCT((区片价!B29:B48=I2)*(区片价!C3:F3=E2)*(区片价!C29:F48))</f>
        <v>0</v>
      </c>
      <c r="N3" s="1885">
        <f>SUMPRODUCT((因素修正幅度!B29:B48=I2)*(因素修正幅度!C3:F3=E2)*(因素修正幅度!C29:F48))</f>
        <v>0</v>
      </c>
      <c r="O3" s="2187"/>
      <c r="P3" s="2187"/>
      <c r="Q3" s="2187"/>
      <c r="R3" s="2934">
        <v>2</v>
      </c>
      <c r="S3" s="2934">
        <f>ROUND(IF(G3&gt;1,IF(R3&lt;7,SUMPRODUCT((B93:B98=R3)*(C92:N92=G2)*(C93:N98)),SUMIF(C92:N92,G2,C100:N100)),IF(R3&lt;7,SUMPRODUCT((B102:B107=R3)*(C92:N92=G2)*(C102:N107)),SUMIF(C92:N92,G2,C109:N109))),4)</f>
        <v>0</v>
      </c>
      <c r="T3" s="2934" t="e">
        <f t="shared" ref="T3:T16" si="0">ROUND($C$5*$C$18*$C$19*$C$20*S3*$C$24,0)</f>
        <v>#DIV/0!</v>
      </c>
      <c r="U3" s="2923"/>
      <c r="V3" s="2934" t="e">
        <f t="shared" ref="V3:V16" si="1">ROUND(T3*U3/10000,0)</f>
        <v>#DIV/0!</v>
      </c>
      <c r="W3" s="2187"/>
      <c r="X3" s="2187"/>
      <c r="Y3" s="2187"/>
      <c r="Z3" s="2187"/>
      <c r="AA3" s="2187"/>
      <c r="AB3" s="2187"/>
      <c r="AC3" s="2188"/>
    </row>
    <row r="4" spans="1:39" ht="28.5">
      <c r="A4" s="1889" t="s">
        <v>2280</v>
      </c>
      <c r="B4" s="2451" t="e">
        <f>ROUND(B2*10000/F1,0)</f>
        <v>#DIV/0!</v>
      </c>
      <c r="C4" s="1892" t="s">
        <v>2254</v>
      </c>
      <c r="D4" s="1892" t="e">
        <f>ROUND(B2/(F1/666.67),0)</f>
        <v>#DIV/0!</v>
      </c>
      <c r="E4" s="1892" t="s">
        <v>2255</v>
      </c>
      <c r="F4" s="1890"/>
      <c r="G4" s="1890"/>
      <c r="H4" s="1890"/>
      <c r="I4" s="1890"/>
      <c r="J4" s="1891"/>
      <c r="K4" s="1400"/>
      <c r="L4" s="1883" t="s">
        <v>2241</v>
      </c>
      <c r="M4" s="1884">
        <f>SUMPRODUCT((区片价!B49:B75=I2)*(区片价!C3:F3=E2)*(区片价!C49:F75))</f>
        <v>0</v>
      </c>
      <c r="N4" s="1885">
        <f>SUMPRODUCT((因素修正幅度!B49:B75=I2)*(因素修正幅度!C3:F3=E2)*(因素修正幅度!C49:F75))</f>
        <v>0</v>
      </c>
      <c r="O4" s="2187"/>
      <c r="P4" s="2187"/>
      <c r="Q4" s="2187"/>
      <c r="R4" s="2934">
        <v>3</v>
      </c>
      <c r="S4" s="2934">
        <f>ROUND(IF(G3&gt;1,IF(R4&lt;7,SUMPRODUCT((B93:B98=R4)*(C92:N92=G2)*(C93:N98)),SUMIF(C92:N92,G2,C100:N100)),IF(R4&lt;7,SUMPRODUCT((B102:B107=R4)*(C92:N92=G2)*(C102:N107)),SUMIF(C92:N92,G2,C109:N109))),4)</f>
        <v>0</v>
      </c>
      <c r="T4" s="2934" t="e">
        <f t="shared" si="0"/>
        <v>#DIV/0!</v>
      </c>
      <c r="U4" s="2923"/>
      <c r="V4" s="2934" t="e">
        <f t="shared" si="1"/>
        <v>#DIV/0!</v>
      </c>
      <c r="W4" s="2187"/>
      <c r="X4" s="2187"/>
      <c r="Y4" s="2187"/>
      <c r="Z4" s="2187"/>
      <c r="AA4" s="2187"/>
      <c r="AB4" s="2187"/>
      <c r="AC4" s="2188"/>
    </row>
    <row r="5" spans="1:39" s="1420" customFormat="1" ht="15.75" thickBot="1">
      <c r="A5" s="1637" t="s">
        <v>1824</v>
      </c>
      <c r="B5" s="1414" t="s">
        <v>931</v>
      </c>
      <c r="C5" s="1040" t="e">
        <f>ROUND(IF(E2="商业",IF(F16="增加",C6*C7+C16,C6*C7-C16),IF(E2="住宅",IF(F16="增加",C6*C12+C16,C6*C12-C16),IF(F16="增加",C6+C16,C6-C16))),0)</f>
        <v>#DIV/0!</v>
      </c>
      <c r="D5" s="3115">
        <f>ROUND(IF(E2="商业",IF(F16="增加",C6+C16,C6-C16)),0)</f>
        <v>0</v>
      </c>
      <c r="E5" s="1415"/>
      <c r="F5" s="1415"/>
      <c r="G5" s="1416"/>
      <c r="H5" s="1416"/>
      <c r="I5" s="1416"/>
      <c r="J5" s="1417"/>
      <c r="K5" s="1593"/>
      <c r="L5" s="1883" t="s">
        <v>2242</v>
      </c>
      <c r="M5" s="1884">
        <f>SUMPRODUCT((区片价!B76:B109=I2)*(区片价!C3:F3=E2)*(区片价!C76:F109))</f>
        <v>0</v>
      </c>
      <c r="N5" s="1885">
        <f>SUMPRODUCT((因素修正幅度!B76:B109=I2)*(因素修正幅度!C3:F3=E2)*(因素修正幅度!C76:F109))</f>
        <v>0</v>
      </c>
      <c r="O5" s="2187"/>
      <c r="P5" s="2187"/>
      <c r="Q5" s="2187"/>
      <c r="R5" s="2934">
        <v>4</v>
      </c>
      <c r="S5" s="2934">
        <f>ROUND(IF(G3&gt;1,IF(R5&lt;7,SUMPRODUCT((B93:B98=R5)*(C92:N92=G2)*(C93:N98)),SUMIF(C92:N92,G2,C100:N100)),IF(R5&lt;7,SUMPRODUCT((B102:B107=R5)*(C92:N92=G2)*(C102:N107)),SUMIF(C92:N92,G2,C109:N109))),4)</f>
        <v>0</v>
      </c>
      <c r="T5" s="2934" t="e">
        <f t="shared" si="0"/>
        <v>#DIV/0!</v>
      </c>
      <c r="U5" s="2923"/>
      <c r="V5" s="2934" t="e">
        <f t="shared" si="1"/>
        <v>#DIV/0!</v>
      </c>
      <c r="W5" s="2187"/>
      <c r="X5" s="2187"/>
      <c r="Y5" s="2187"/>
      <c r="Z5" s="2187"/>
      <c r="AA5" s="2187"/>
      <c r="AB5" s="2187"/>
      <c r="AC5" s="2189"/>
      <c r="AD5" s="1418"/>
      <c r="AE5" s="1418"/>
      <c r="AF5" s="1418"/>
      <c r="AG5" s="1418"/>
      <c r="AH5" s="1418"/>
      <c r="AI5" s="1418"/>
      <c r="AJ5" s="1419"/>
      <c r="AK5" s="1419"/>
      <c r="AL5" s="1419"/>
      <c r="AM5" s="1419"/>
    </row>
    <row r="6" spans="1:39" ht="15.75" thickBot="1">
      <c r="A6" s="1638" t="s">
        <v>1871</v>
      </c>
      <c r="B6" s="1421" t="s">
        <v>931</v>
      </c>
      <c r="C6" s="1041">
        <f>SUMIF(L1:L12,基准地价!G2,M1:M12)</f>
        <v>0</v>
      </c>
      <c r="D6" s="1422" t="s">
        <v>1696</v>
      </c>
      <c r="E6" s="1423"/>
      <c r="F6" s="1423"/>
      <c r="G6" s="1424"/>
      <c r="H6" s="1424"/>
      <c r="I6" s="1424"/>
      <c r="J6" s="1425"/>
      <c r="K6" s="1594"/>
      <c r="L6" s="1883" t="s">
        <v>2243</v>
      </c>
      <c r="M6" s="1884">
        <f>SUMPRODUCT((区片价!B110:B157=I2)*(区片价!C3:F3=E2)*(区片价!C110:F157))</f>
        <v>0</v>
      </c>
      <c r="N6" s="1885">
        <f>SUMPRODUCT((因素修正幅度!B110:B157=I2)*(因素修正幅度!C3:F3=E2)*(因素修正幅度!C110:F157))</f>
        <v>0</v>
      </c>
      <c r="O6" s="2187"/>
      <c r="P6" s="2187"/>
      <c r="Q6" s="2187"/>
      <c r="R6" s="2934">
        <v>5</v>
      </c>
      <c r="S6" s="2934">
        <f>ROUND(IF(G3&gt;1,IF(R6&lt;7,SUMPRODUCT((B93:B98=R6)*(C92:N92=G2)*(C93:N98)),SUMIF(C92:N92,G2,C100:N100)),IF(R6&lt;7,SUMPRODUCT((B102:B107=R6)*(C92:N92=G2)*(C102:N107)),SUMIF(C92:N92,G2,C109:N109))),4)</f>
        <v>0</v>
      </c>
      <c r="T6" s="2934" t="e">
        <f t="shared" si="0"/>
        <v>#DIV/0!</v>
      </c>
      <c r="U6" s="2923"/>
      <c r="V6" s="2934" t="e">
        <f t="shared" si="1"/>
        <v>#DIV/0!</v>
      </c>
      <c r="W6" s="2187"/>
      <c r="X6" s="2187"/>
      <c r="Y6" s="2187"/>
      <c r="Z6" s="2187"/>
      <c r="AA6" s="2187"/>
      <c r="AB6" s="2187"/>
      <c r="AC6" s="2189"/>
      <c r="AD6" s="1418"/>
      <c r="AE6" s="1418"/>
      <c r="AF6" s="1418"/>
      <c r="AG6" s="1418"/>
      <c r="AH6" s="1418"/>
      <c r="AI6" s="1418"/>
      <c r="AJ6" s="1419"/>
    </row>
    <row r="7" spans="1:39" ht="24">
      <c r="A7" s="3548" t="str">
        <f>IF(E2="商业",IF(C8="不临58条商业街","",2),"")</f>
        <v/>
      </c>
      <c r="B7" s="1426" t="s">
        <v>932</v>
      </c>
      <c r="C7" s="1042" t="e">
        <f>IF(C8="不临58条商业街",1,ROUND(1+(1.6*E8+1.2*E9+0.8*E10+0.4*E11)*C9,4))</f>
        <v>#DIV/0!</v>
      </c>
      <c r="D7" s="1427" t="s">
        <v>933</v>
      </c>
      <c r="E7" s="1043"/>
      <c r="F7" s="1428"/>
      <c r="G7" s="1429"/>
      <c r="H7" s="1429"/>
      <c r="I7" s="1429"/>
      <c r="J7" s="1430"/>
      <c r="K7" s="1594"/>
      <c r="L7" s="1883" t="s">
        <v>2244</v>
      </c>
      <c r="M7" s="1884">
        <f>SUMPRODUCT((区片价!B158:B205=I2)*(区片价!C3:F3=E2)*(区片价!C158:F205))</f>
        <v>0</v>
      </c>
      <c r="N7" s="1885">
        <f>SUMPRODUCT((因素修正幅度!B158:B205=I2)*(因素修正幅度!C3:F3=E2)*(因素修正幅度!C158:F205))</f>
        <v>0</v>
      </c>
      <c r="O7" s="2187"/>
      <c r="P7" s="2187"/>
      <c r="Q7" s="2187"/>
      <c r="R7" s="2934">
        <v>6</v>
      </c>
      <c r="S7" s="2934">
        <f>ROUND(IF(G3&gt;1,IF(R7&lt;7,SUMPRODUCT((B93:B98=R7)*(C92:N92=G2)*(C93:N98)),SUMIF(C92:N92,G2,C100:N100)),IF(R7&lt;7,SUMPRODUCT((B102:B107=R7)*(C92:N92=G2)*(C102:N107)),SUMIF(C92:N92,G2,C109:N109))),4)</f>
        <v>0</v>
      </c>
      <c r="T7" s="2934" t="e">
        <f t="shared" si="0"/>
        <v>#DIV/0!</v>
      </c>
      <c r="U7" s="2923"/>
      <c r="V7" s="2934" t="e">
        <f t="shared" si="1"/>
        <v>#DIV/0!</v>
      </c>
      <c r="W7" s="2932" t="s">
        <v>2762</v>
      </c>
      <c r="X7" s="2924">
        <f>G2</f>
        <v>0</v>
      </c>
      <c r="Y7" s="2924" t="s">
        <v>2763</v>
      </c>
      <c r="Z7" s="2925">
        <f>G3</f>
        <v>1.01</v>
      </c>
      <c r="AA7" s="2190"/>
      <c r="AB7" s="2190"/>
      <c r="AC7" s="2191"/>
      <c r="AD7" s="2926"/>
      <c r="AE7" s="2926"/>
      <c r="AF7" s="2926"/>
      <c r="AG7" s="2926"/>
      <c r="AH7" s="2926"/>
      <c r="AI7" s="2926"/>
      <c r="AJ7" s="2927"/>
    </row>
    <row r="8" spans="1:39" ht="15">
      <c r="A8" s="3549"/>
      <c r="B8" s="1413" t="s">
        <v>934</v>
      </c>
      <c r="C8" s="1528"/>
      <c r="D8" s="1044" t="s">
        <v>935</v>
      </c>
      <c r="E8" s="1045" t="e">
        <f>ROUND(C11/E7,4)</f>
        <v>#DIV/0!</v>
      </c>
      <c r="F8" s="1431" t="s">
        <v>936</v>
      </c>
      <c r="G8" s="1432"/>
      <c r="H8" s="1432"/>
      <c r="I8" s="1432"/>
      <c r="J8" s="1433"/>
      <c r="K8" s="1400"/>
      <c r="L8" s="1883" t="s">
        <v>2245</v>
      </c>
      <c r="M8" s="1884">
        <f>SUMPRODUCT((区片价!B206:B244=I2)*(区片价!C3:F3=E2)*(区片价!C206:F244))</f>
        <v>0</v>
      </c>
      <c r="N8" s="1885">
        <f>SUMPRODUCT((因素修正幅度!B206:B244=I2)*(因素修正幅度!C3:F3=E2)*(因素修正幅度!C206:F244))</f>
        <v>0</v>
      </c>
      <c r="O8" s="2187"/>
      <c r="P8" s="2187"/>
      <c r="Q8" s="2187"/>
      <c r="R8" s="2934">
        <v>7</v>
      </c>
      <c r="S8" s="2923"/>
      <c r="T8" s="2934" t="e">
        <f t="shared" si="0"/>
        <v>#DIV/0!</v>
      </c>
      <c r="U8" s="2923"/>
      <c r="V8" s="2934" t="e">
        <f t="shared" si="1"/>
        <v>#DIV/0!</v>
      </c>
      <c r="W8" s="3558" t="s">
        <v>2780</v>
      </c>
      <c r="X8" s="3559"/>
      <c r="Y8" s="1847" t="s">
        <v>2764</v>
      </c>
      <c r="Z8" s="1847" t="s">
        <v>2765</v>
      </c>
      <c r="AA8" s="1847" t="s">
        <v>2766</v>
      </c>
      <c r="AB8" s="1847" t="s">
        <v>2767</v>
      </c>
      <c r="AC8" s="1847" t="s">
        <v>2768</v>
      </c>
      <c r="AD8" s="1847" t="s">
        <v>2769</v>
      </c>
      <c r="AE8" s="1847" t="s">
        <v>2770</v>
      </c>
      <c r="AF8" s="1847" t="s">
        <v>2771</v>
      </c>
      <c r="AG8" s="1847" t="s">
        <v>2772</v>
      </c>
      <c r="AH8" s="1847" t="s">
        <v>2773</v>
      </c>
      <c r="AI8" s="1847" t="s">
        <v>2774</v>
      </c>
      <c r="AJ8" s="1847" t="s">
        <v>2775</v>
      </c>
    </row>
    <row r="9" spans="1:39" ht="15">
      <c r="A9" s="3549"/>
      <c r="B9" s="1413" t="s">
        <v>937</v>
      </c>
      <c r="C9" s="1046">
        <f>SUMIF(修正!C59:C119,C8,修正!E59:E119)</f>
        <v>0</v>
      </c>
      <c r="D9" s="1047" t="s">
        <v>938</v>
      </c>
      <c r="E9" s="1047" t="e">
        <f>ROUND(C11/E7,4)</f>
        <v>#DIV/0!</v>
      </c>
      <c r="F9" s="1431" t="s">
        <v>939</v>
      </c>
      <c r="G9" s="1432"/>
      <c r="H9" s="1432"/>
      <c r="I9" s="1432"/>
      <c r="J9" s="1433"/>
      <c r="K9" s="1400"/>
      <c r="L9" s="1883" t="s">
        <v>2246</v>
      </c>
      <c r="M9" s="1884">
        <f>SUMPRODUCT((区片价!B245:B289=I2)*(区片价!C3:F3=E2)*(区片价!C245:F289))</f>
        <v>0</v>
      </c>
      <c r="N9" s="1885">
        <f>SUMPRODUCT((因素修正幅度!B245:B289=I2)*(因素修正幅度!C3:F3=E2)*(因素修正幅度!C245:F289))</f>
        <v>0</v>
      </c>
      <c r="O9" s="2187"/>
      <c r="P9" s="2187"/>
      <c r="Q9" s="2187"/>
      <c r="R9" s="2934">
        <v>8</v>
      </c>
      <c r="S9" s="2923"/>
      <c r="T9" s="2934" t="e">
        <f t="shared" si="0"/>
        <v>#DIV/0!</v>
      </c>
      <c r="U9" s="2923"/>
      <c r="V9" s="2934" t="e">
        <f t="shared" si="1"/>
        <v>#DIV/0!</v>
      </c>
      <c r="W9" s="3557" t="s">
        <v>2776</v>
      </c>
      <c r="X9" s="2928" t="s">
        <v>2777</v>
      </c>
      <c r="Y9" s="3093"/>
      <c r="Z9" s="2929">
        <f>$Y$9</f>
        <v>0</v>
      </c>
      <c r="AA9" s="2929">
        <f t="shared" ref="AA9:AJ9" si="2">$Y$9</f>
        <v>0</v>
      </c>
      <c r="AB9" s="2929">
        <f t="shared" si="2"/>
        <v>0</v>
      </c>
      <c r="AC9" s="2929">
        <f t="shared" si="2"/>
        <v>0</v>
      </c>
      <c r="AD9" s="2929">
        <f t="shared" si="2"/>
        <v>0</v>
      </c>
      <c r="AE9" s="2929">
        <f t="shared" si="2"/>
        <v>0</v>
      </c>
      <c r="AF9" s="2929">
        <f t="shared" si="2"/>
        <v>0</v>
      </c>
      <c r="AG9" s="2929">
        <f t="shared" si="2"/>
        <v>0</v>
      </c>
      <c r="AH9" s="2929">
        <f t="shared" si="2"/>
        <v>0</v>
      </c>
      <c r="AI9" s="2929">
        <f t="shared" si="2"/>
        <v>0</v>
      </c>
      <c r="AJ9" s="2929">
        <f t="shared" si="2"/>
        <v>0</v>
      </c>
    </row>
    <row r="10" spans="1:39" ht="15">
      <c r="A10" s="3549"/>
      <c r="B10" s="1413" t="s">
        <v>940</v>
      </c>
      <c r="C10" s="1047">
        <f>SUMIF(修正!C59:C119,C8,修正!F59:F119)</f>
        <v>0</v>
      </c>
      <c r="D10" s="1047" t="s">
        <v>941</v>
      </c>
      <c r="E10" s="1047" t="e">
        <f>ROUND(C11/E7,4)</f>
        <v>#DIV/0!</v>
      </c>
      <c r="F10" s="1431" t="s">
        <v>942</v>
      </c>
      <c r="G10" s="1432"/>
      <c r="H10" s="1432"/>
      <c r="I10" s="1432"/>
      <c r="J10" s="1433"/>
      <c r="K10" s="1400"/>
      <c r="L10" s="1883" t="s">
        <v>2247</v>
      </c>
      <c r="M10" s="1884">
        <f>SUMPRODUCT((区片价!B290:B316=I2)*(区片价!C3:F3=E2)*(区片价!C290:F316))</f>
        <v>0</v>
      </c>
      <c r="N10" s="1885">
        <f>SUMPRODUCT((因素修正幅度!B290:B316=I2)*(因素修正幅度!C3:F3=E2)*(因素修正幅度!C290:F316))</f>
        <v>0</v>
      </c>
      <c r="O10" s="2187"/>
      <c r="P10" s="2187"/>
      <c r="Q10" s="2187"/>
      <c r="R10" s="2934">
        <v>9</v>
      </c>
      <c r="S10" s="2923"/>
      <c r="T10" s="2934" t="e">
        <f t="shared" si="0"/>
        <v>#DIV/0!</v>
      </c>
      <c r="U10" s="2923"/>
      <c r="V10" s="2934" t="e">
        <f t="shared" si="1"/>
        <v>#DIV/0!</v>
      </c>
      <c r="W10" s="3557"/>
      <c r="X10" s="2928">
        <v>7</v>
      </c>
      <c r="Y10" s="2930">
        <f>(-0.163*(Y9^2)-0.59*Y9+7617)*(10^(-4))</f>
        <v>0.76170000000000004</v>
      </c>
      <c r="Z10" s="2930">
        <f>(-0.163*(Z9^2)-0.59*Z9+7617)*(10^(-4))</f>
        <v>0.76170000000000004</v>
      </c>
      <c r="AA10" s="2930">
        <f>(-0.161*(AA9^2)-7.509*AA9+6533)*(10^(-4))</f>
        <v>0.65329999999999999</v>
      </c>
      <c r="AB10" s="2930">
        <f>(-0.161*(AB9^2)-7.509*AB9+6533)*(10^(-4))</f>
        <v>0.65329999999999999</v>
      </c>
      <c r="AC10" s="2930">
        <f>(-0.161*(AC9^2)-7.509*AC9+6533)*(10^(-4))</f>
        <v>0.65329999999999999</v>
      </c>
      <c r="AD10" s="2930">
        <f>(-0.161*(AD9^2)-7.509*AD9+6533)*(10^(-4))</f>
        <v>0.65329999999999999</v>
      </c>
      <c r="AE10" s="2930">
        <f>(-0.161*(AE9^2)-7.509*AE9+6533)*(10^(-4))</f>
        <v>0.65329999999999999</v>
      </c>
      <c r="AF10" s="2930">
        <f>(-0.214*(AF9^2)-21.991*AF9+4665)*(10^(-4))</f>
        <v>0.46650000000000003</v>
      </c>
      <c r="AG10" s="2930">
        <f>(-0.214*(AG9^2)-21.991*AG9+4665)*(10^(-4))</f>
        <v>0.46650000000000003</v>
      </c>
      <c r="AH10" s="2930">
        <f>(-0.214*(AH9^2)-21.991*AH9+4665)*(10^(-4))</f>
        <v>0.46650000000000003</v>
      </c>
      <c r="AI10" s="2930">
        <f>(-0.214*(AI9^2)-21.991*AI9+4665)*(10^(-4))</f>
        <v>0.46650000000000003</v>
      </c>
      <c r="AJ10" s="2930">
        <f>(-0.214*(AJ9^2)-21.991*AJ9+4665)*(10^(-4))</f>
        <v>0.46650000000000003</v>
      </c>
    </row>
    <row r="11" spans="1:39" ht="15.75" customHeight="1" thickBot="1">
      <c r="A11" s="3549"/>
      <c r="B11" s="1434" t="s">
        <v>943</v>
      </c>
      <c r="C11" s="1048">
        <f>C10/4</f>
        <v>0</v>
      </c>
      <c r="D11" s="1048" t="s">
        <v>944</v>
      </c>
      <c r="E11" s="1048" t="e">
        <f>ROUND(C11/E7,4)</f>
        <v>#DIV/0!</v>
      </c>
      <c r="F11" s="1435" t="s">
        <v>945</v>
      </c>
      <c r="G11" s="1436"/>
      <c r="H11" s="1436"/>
      <c r="I11" s="1436"/>
      <c r="J11" s="1437"/>
      <c r="K11" s="1400"/>
      <c r="L11" s="1883" t="s">
        <v>2248</v>
      </c>
      <c r="M11" s="1884">
        <f>SUMPRODUCT((区片价!B317:B337=I2)*(区片价!C3:F3=E2)*(区片价!C317:F337))</f>
        <v>0</v>
      </c>
      <c r="N11" s="1885">
        <f>SUMPRODUCT((因素修正幅度!B317:B337=I2)*(因素修正幅度!C3:F3=E2)*(因素修正幅度!C317:F337))</f>
        <v>0</v>
      </c>
      <c r="O11" s="2187"/>
      <c r="P11" s="2187"/>
      <c r="Q11" s="2187"/>
      <c r="R11" s="2934">
        <v>10</v>
      </c>
      <c r="S11" s="2923"/>
      <c r="T11" s="2934" t="e">
        <f t="shared" si="0"/>
        <v>#DIV/0!</v>
      </c>
      <c r="U11" s="2923"/>
      <c r="V11" s="2934" t="e">
        <f t="shared" si="1"/>
        <v>#DIV/0!</v>
      </c>
      <c r="W11" s="3557" t="s">
        <v>2778</v>
      </c>
      <c r="X11" s="1047" t="s">
        <v>2763</v>
      </c>
      <c r="Y11" s="1652">
        <f>$G$3</f>
        <v>1.01</v>
      </c>
      <c r="Z11" s="1652">
        <f t="shared" ref="Z11:AJ11" si="3">$G$3</f>
        <v>1.01</v>
      </c>
      <c r="AA11" s="1652">
        <f t="shared" si="3"/>
        <v>1.01</v>
      </c>
      <c r="AB11" s="1652">
        <f t="shared" si="3"/>
        <v>1.01</v>
      </c>
      <c r="AC11" s="1652">
        <f t="shared" si="3"/>
        <v>1.01</v>
      </c>
      <c r="AD11" s="1652">
        <f t="shared" si="3"/>
        <v>1.01</v>
      </c>
      <c r="AE11" s="1652">
        <f t="shared" si="3"/>
        <v>1.01</v>
      </c>
      <c r="AF11" s="1652">
        <f t="shared" si="3"/>
        <v>1.01</v>
      </c>
      <c r="AG11" s="1652">
        <f t="shared" si="3"/>
        <v>1.01</v>
      </c>
      <c r="AH11" s="1652">
        <f t="shared" si="3"/>
        <v>1.01</v>
      </c>
      <c r="AI11" s="1652">
        <f t="shared" si="3"/>
        <v>1.01</v>
      </c>
      <c r="AJ11" s="1652">
        <f t="shared" si="3"/>
        <v>1.01</v>
      </c>
    </row>
    <row r="12" spans="1:39" ht="25.5" thickBot="1">
      <c r="A12" s="3548" t="s">
        <v>1872</v>
      </c>
      <c r="B12" s="1438" t="s">
        <v>946</v>
      </c>
      <c r="C12" s="1042">
        <f>ROUND(C15*D15*E15*F15*G15*H15*I15*J15,4)</f>
        <v>1</v>
      </c>
      <c r="D12" s="1439" t="s">
        <v>947</v>
      </c>
      <c r="E12" s="1440"/>
      <c r="F12" s="1440"/>
      <c r="G12" s="1441"/>
      <c r="H12" s="1441"/>
      <c r="I12" s="1441"/>
      <c r="J12" s="1442"/>
      <c r="K12" s="1400"/>
      <c r="L12" s="1886" t="s">
        <v>2249</v>
      </c>
      <c r="M12" s="1887">
        <f>SUMPRODUCT((区片价!B338:B344=I2)*(区片价!C3:F3=E2)*(区片价!C338:F344))</f>
        <v>0</v>
      </c>
      <c r="N12" s="1888">
        <f>SUMPRODUCT((因素修正幅度!B338:B344=I2)*(因素修正幅度!C3:F3=E2)*(因素修正幅度!C338:F344))</f>
        <v>0</v>
      </c>
      <c r="O12" s="2187"/>
      <c r="P12" s="2187"/>
      <c r="Q12" s="2187"/>
      <c r="R12" s="2934">
        <v>11</v>
      </c>
      <c r="S12" s="2923"/>
      <c r="T12" s="2934" t="e">
        <f t="shared" si="0"/>
        <v>#DIV/0!</v>
      </c>
      <c r="U12" s="2923"/>
      <c r="V12" s="2934" t="e">
        <f t="shared" si="1"/>
        <v>#DIV/0!</v>
      </c>
      <c r="W12" s="3557"/>
      <c r="X12" s="2931" t="s">
        <v>2779</v>
      </c>
      <c r="Y12" s="2929">
        <f t="shared" ref="Y12:AJ12" si="4">Y9</f>
        <v>0</v>
      </c>
      <c r="Z12" s="2929">
        <f t="shared" si="4"/>
        <v>0</v>
      </c>
      <c r="AA12" s="2929">
        <f t="shared" si="4"/>
        <v>0</v>
      </c>
      <c r="AB12" s="2929">
        <f t="shared" si="4"/>
        <v>0</v>
      </c>
      <c r="AC12" s="2929">
        <f t="shared" si="4"/>
        <v>0</v>
      </c>
      <c r="AD12" s="2929">
        <f t="shared" si="4"/>
        <v>0</v>
      </c>
      <c r="AE12" s="2929">
        <f t="shared" si="4"/>
        <v>0</v>
      </c>
      <c r="AF12" s="2929">
        <f t="shared" si="4"/>
        <v>0</v>
      </c>
      <c r="AG12" s="2929">
        <f t="shared" si="4"/>
        <v>0</v>
      </c>
      <c r="AH12" s="2929">
        <f t="shared" si="4"/>
        <v>0</v>
      </c>
      <c r="AI12" s="2929">
        <f t="shared" si="4"/>
        <v>0</v>
      </c>
      <c r="AJ12" s="2929">
        <f t="shared" si="4"/>
        <v>0</v>
      </c>
    </row>
    <row r="13" spans="1:39" ht="24">
      <c r="A13" s="3550"/>
      <c r="B13" s="1443" t="s">
        <v>1697</v>
      </c>
      <c r="C13" s="1444" t="s">
        <v>1698</v>
      </c>
      <c r="D13" s="1088" t="s">
        <v>1699</v>
      </c>
      <c r="E13" s="1088" t="s">
        <v>1700</v>
      </c>
      <c r="F13" s="1445" t="s">
        <v>948</v>
      </c>
      <c r="G13" s="1446" t="s">
        <v>1643</v>
      </c>
      <c r="H13" s="1447" t="s">
        <v>1643</v>
      </c>
      <c r="I13" s="1448" t="s">
        <v>1643</v>
      </c>
      <c r="J13" s="1449" t="s">
        <v>1643</v>
      </c>
      <c r="K13" s="1400"/>
      <c r="L13" s="2187"/>
      <c r="M13" s="2187"/>
      <c r="N13" s="2187"/>
      <c r="O13" s="2187"/>
      <c r="P13" s="2187"/>
      <c r="Q13" s="2187"/>
      <c r="R13" s="2934">
        <v>12</v>
      </c>
      <c r="S13" s="2923"/>
      <c r="T13" s="2934" t="e">
        <f t="shared" si="0"/>
        <v>#DIV/0!</v>
      </c>
      <c r="U13" s="2923"/>
      <c r="V13" s="2934" t="e">
        <f t="shared" si="1"/>
        <v>#DIV/0!</v>
      </c>
      <c r="W13" s="3557"/>
      <c r="X13" s="2931"/>
      <c r="Y13" s="2930">
        <f>(-0.163*(Y12^2)-0.59*Y12+7617)*(10^(-4))/Y11</f>
        <v>0.75415841584158416</v>
      </c>
      <c r="Z13" s="2930">
        <f t="shared" ref="Z13:AJ13" si="5">(-0.163*(Z12^2)-0.59*Z12+7617)*(10^(-4))/Z11</f>
        <v>0.75415841584158416</v>
      </c>
      <c r="AA13" s="2930">
        <f t="shared" si="5"/>
        <v>0.75415841584158416</v>
      </c>
      <c r="AB13" s="2930">
        <f t="shared" si="5"/>
        <v>0.75415841584158416</v>
      </c>
      <c r="AC13" s="2930">
        <f t="shared" si="5"/>
        <v>0.75415841584158416</v>
      </c>
      <c r="AD13" s="2930">
        <f t="shared" si="5"/>
        <v>0.75415841584158416</v>
      </c>
      <c r="AE13" s="2930">
        <f t="shared" si="5"/>
        <v>0.75415841584158416</v>
      </c>
      <c r="AF13" s="2930">
        <f t="shared" si="5"/>
        <v>0.75415841584158416</v>
      </c>
      <c r="AG13" s="2930">
        <f t="shared" si="5"/>
        <v>0.75415841584158416</v>
      </c>
      <c r="AH13" s="2930">
        <f t="shared" si="5"/>
        <v>0.75415841584158416</v>
      </c>
      <c r="AI13" s="2930">
        <f t="shared" si="5"/>
        <v>0.75415841584158416</v>
      </c>
      <c r="AJ13" s="2930">
        <f t="shared" si="5"/>
        <v>0.75415841584158416</v>
      </c>
    </row>
    <row r="14" spans="1:39" ht="12.75" customHeight="1" thickBot="1">
      <c r="A14" s="3550"/>
      <c r="B14" s="1450"/>
      <c r="C14" s="1451"/>
      <c r="D14" s="1452"/>
      <c r="E14" s="1452"/>
      <c r="F14" s="1453"/>
      <c r="G14" s="1454" t="s">
        <v>949</v>
      </c>
      <c r="H14" s="1455"/>
      <c r="I14" s="1456"/>
      <c r="J14" s="1457"/>
      <c r="K14" s="1400"/>
      <c r="L14" s="2187"/>
      <c r="M14" s="2187"/>
      <c r="N14" s="2187"/>
      <c r="O14" s="2187"/>
      <c r="P14" s="2187"/>
      <c r="Q14" s="2187"/>
      <c r="R14" s="2934">
        <v>13</v>
      </c>
      <c r="S14" s="2923"/>
      <c r="T14" s="2934" t="e">
        <f t="shared" si="0"/>
        <v>#DIV/0!</v>
      </c>
      <c r="U14" s="2923"/>
      <c r="V14" s="2934" t="e">
        <f t="shared" si="1"/>
        <v>#DIV/0!</v>
      </c>
      <c r="W14" s="2187"/>
      <c r="X14" s="2187"/>
      <c r="Y14" s="2187"/>
      <c r="Z14" s="2187"/>
      <c r="AA14" s="2187"/>
      <c r="AB14" s="2187"/>
      <c r="AC14" s="2188"/>
    </row>
    <row r="15" spans="1:39" ht="13.5" customHeight="1" thickBot="1">
      <c r="A15" s="3551"/>
      <c r="B15" s="1458" t="s">
        <v>1701</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7"/>
      <c r="R15" s="2934">
        <v>14</v>
      </c>
      <c r="S15" s="2923"/>
      <c r="T15" s="2934" t="e">
        <f t="shared" si="0"/>
        <v>#DIV/0!</v>
      </c>
      <c r="U15" s="2923"/>
      <c r="V15" s="2934" t="e">
        <f t="shared" si="1"/>
        <v>#DIV/0!</v>
      </c>
      <c r="W15" s="2187"/>
      <c r="X15" s="2187"/>
      <c r="Y15" s="2187"/>
      <c r="Z15" s="2187"/>
      <c r="AA15" s="2187"/>
      <c r="AB15" s="2187"/>
      <c r="AC15" s="2188"/>
    </row>
    <row r="16" spans="1:39" ht="24">
      <c r="A16" s="3548" t="s">
        <v>1839</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0"/>
      <c r="R16" s="2934">
        <v>15</v>
      </c>
      <c r="S16" s="2923"/>
      <c r="T16" s="2934" t="e">
        <f t="shared" si="0"/>
        <v>#DIV/0!</v>
      </c>
      <c r="U16" s="2923"/>
      <c r="V16" s="2934" t="e">
        <f t="shared" si="1"/>
        <v>#DIV/0!</v>
      </c>
      <c r="W16" s="2190"/>
      <c r="X16" s="2190"/>
      <c r="Y16" s="2190"/>
      <c r="Z16" s="2190"/>
      <c r="AA16" s="2190"/>
      <c r="AB16" s="2190"/>
      <c r="AC16" s="2191"/>
    </row>
    <row r="17" spans="1:40" ht="13.5" thickBot="1">
      <c r="A17" s="3549"/>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0"/>
      <c r="R17" s="2191"/>
      <c r="S17" s="2191"/>
      <c r="T17" s="2191"/>
      <c r="U17" s="2191"/>
      <c r="V17" s="2191"/>
      <c r="W17" s="2190"/>
      <c r="X17" s="2190"/>
      <c r="Y17" s="2190"/>
      <c r="Z17" s="2190"/>
      <c r="AA17" s="2190"/>
      <c r="AB17" s="2190"/>
      <c r="AC17" s="2191"/>
      <c r="AH17" s="1401"/>
      <c r="AI17" s="1401"/>
      <c r="AJ17" s="1404"/>
      <c r="AK17" s="1404"/>
      <c r="AL17" s="1404"/>
      <c r="AM17" s="1404"/>
    </row>
    <row r="18" spans="1:40" s="1420" customFormat="1" ht="15.75" thickBot="1">
      <c r="A18" s="1640" t="s">
        <v>1830</v>
      </c>
      <c r="B18" s="2770" t="s">
        <v>956</v>
      </c>
      <c r="C18" s="2771">
        <f>SUMIF(修正!C18:C39,E3,修正!E18:E39)</f>
        <v>0</v>
      </c>
      <c r="D18" s="2772"/>
      <c r="E18" s="2773"/>
      <c r="F18" s="2774"/>
      <c r="G18" s="2768"/>
      <c r="H18" s="2768"/>
      <c r="I18" s="2768"/>
      <c r="J18" s="2775"/>
      <c r="K18" s="1480"/>
      <c r="L18" s="1480"/>
      <c r="M18" s="1480"/>
      <c r="N18" s="1480"/>
      <c r="O18" s="1596"/>
      <c r="P18" s="1596"/>
      <c r="Q18" s="2192"/>
      <c r="R18" s="2192"/>
      <c r="S18" s="2192"/>
      <c r="T18" s="2192"/>
      <c r="U18" s="2192"/>
      <c r="V18" s="2192"/>
      <c r="W18" s="2191"/>
      <c r="X18" s="2191"/>
      <c r="Y18" s="2191"/>
      <c r="Z18" s="2191"/>
      <c r="AA18" s="2190"/>
      <c r="AB18" s="2190"/>
      <c r="AC18" s="2193"/>
      <c r="AD18" s="1471"/>
      <c r="AE18" s="1471"/>
      <c r="AF18" s="1471"/>
      <c r="AG18" s="1471"/>
      <c r="AH18" s="1402"/>
      <c r="AI18" s="1402"/>
      <c r="AJ18" s="1403"/>
      <c r="AK18" s="1403"/>
      <c r="AL18" s="1403"/>
    </row>
    <row r="19" spans="1:40" s="1420" customFormat="1" ht="27.75" thickBot="1">
      <c r="A19" s="1639" t="s">
        <v>1836</v>
      </c>
      <c r="B19" s="1469" t="s">
        <v>957</v>
      </c>
      <c r="C19" s="1056" t="e">
        <f>ROUND(IF(H19="按公示增长率计算",SUMPRODUCT((地价!A3:A23=YEAR(G19)&amp;"-"&amp;ROUNDUP(MONTH(G19)/3,0))*(地价!X2:AB2=E2)*(地价!X3:AB23)),IF(H19="地价指数",M20/M19,(1+I19)^O19)),4)</f>
        <v>#DIV/0!</v>
      </c>
      <c r="D19" s="1473" t="s">
        <v>958</v>
      </c>
      <c r="E19" s="1057">
        <v>41640</v>
      </c>
      <c r="F19" s="1473" t="s">
        <v>959</v>
      </c>
      <c r="G19" s="1058">
        <f>'数据-取费表'!B2</f>
        <v>43444</v>
      </c>
      <c r="H19" s="1474" t="s">
        <v>2923</v>
      </c>
      <c r="I19" s="2782" t="str">
        <f>IF(H19="季度增幅（自定义）",SUMIF(N21:N24,E2,O21:O24),"")</f>
        <v/>
      </c>
      <c r="J19" s="1470"/>
      <c r="K19" s="1480"/>
      <c r="L19" s="3037" t="s">
        <v>2838</v>
      </c>
      <c r="M19" s="3038">
        <f>ROUND(SUMIF(地价!B2:F2,E2,地价!B23:F23),0)</f>
        <v>0</v>
      </c>
      <c r="N19" s="2784" t="s">
        <v>1677</v>
      </c>
      <c r="O19" s="2783">
        <f>ROUNDDOWN(DATEDIF(E19,G19,"M")/3,0)</f>
        <v>19</v>
      </c>
      <c r="P19" s="1595"/>
      <c r="R19" s="2922"/>
      <c r="S19" s="2922"/>
      <c r="T19" s="2922"/>
      <c r="U19" s="2922"/>
      <c r="V19" s="2922"/>
      <c r="W19" s="2193"/>
      <c r="X19" s="2193"/>
      <c r="Y19" s="2193"/>
      <c r="Z19" s="2193"/>
      <c r="AA19" s="2193"/>
      <c r="AB19" s="2193"/>
      <c r="AC19" s="2193"/>
      <c r="AD19" s="1402"/>
      <c r="AE19" s="1402"/>
      <c r="AF19" s="1402"/>
      <c r="AG19" s="1402"/>
      <c r="AH19" s="1471"/>
      <c r="AI19" s="1472"/>
      <c r="AJ19" s="1476"/>
      <c r="AK19" s="1403"/>
      <c r="AL19" s="1419"/>
      <c r="AM19" s="1419"/>
      <c r="AN19" s="1419"/>
    </row>
    <row r="20" spans="1:40" s="1420" customFormat="1" ht="27.75" thickBot="1">
      <c r="A20" s="2776" t="s">
        <v>1837</v>
      </c>
      <c r="B20" s="2777" t="s">
        <v>972</v>
      </c>
      <c r="C20" s="2778" t="e">
        <f>ROUND(POWER(1+G20,J20-I20)*(POWER(1+G20,I20)-1)/(POWER(1+G20,J20)-1),4)</f>
        <v>#DIV/0!</v>
      </c>
      <c r="D20" s="2779" t="s">
        <v>973</v>
      </c>
      <c r="E20" s="3090">
        <f ca="1">存贷款利率!I4/100</f>
        <v>4.3499999999999997E-2</v>
      </c>
      <c r="F20" s="2779" t="s">
        <v>974</v>
      </c>
      <c r="G20" s="2780">
        <f>SUMIF(M15:P15,E2,M17:P17)</f>
        <v>0</v>
      </c>
      <c r="H20" s="2779" t="s">
        <v>975</v>
      </c>
      <c r="I20" s="2769" t="e">
        <f>SUMIF('数据-取费表'!C6:C15,E2,'数据-取费表'!F6:F15)/COUNTIF('数据-取费表'!C6:C15,E2)</f>
        <v>#DIV/0!</v>
      </c>
      <c r="J20" s="2781">
        <f>IF(E2="住宅",70,IF(E2="商业",40,50))</f>
        <v>50</v>
      </c>
      <c r="K20" s="1480"/>
      <c r="L20" s="3039" t="s">
        <v>2839</v>
      </c>
      <c r="M20" s="3040">
        <f>ROUND(SUMPRODUCT((地价!A4:A23=YEAR(G19)&amp;"-"&amp;ROUNDUP(MONTH(G19)/3,0))*(地价!B2:F2=E2)*(地价!B4:F23)),0)</f>
        <v>0</v>
      </c>
      <c r="N20" s="2787" t="s">
        <v>2643</v>
      </c>
      <c r="O20" s="2785" t="s">
        <v>2642</v>
      </c>
      <c r="P20" s="2786" t="s">
        <v>2647</v>
      </c>
      <c r="R20" s="2922"/>
      <c r="S20" s="2922"/>
      <c r="T20" s="2922"/>
      <c r="U20" s="2922"/>
      <c r="V20" s="2922"/>
      <c r="W20" s="2193"/>
      <c r="X20" s="2193"/>
      <c r="Y20" s="2193"/>
      <c r="Z20" s="2193"/>
      <c r="AA20" s="2193"/>
      <c r="AB20" s="2193"/>
      <c r="AC20" s="2193"/>
      <c r="AD20" s="1471"/>
      <c r="AE20" s="1471"/>
      <c r="AF20" s="1471"/>
      <c r="AG20" s="1471"/>
      <c r="AH20" s="1471"/>
      <c r="AI20" s="1471"/>
    </row>
    <row r="21" spans="1:40" s="1420" customFormat="1" ht="14.25">
      <c r="A21" s="1641" t="s">
        <v>1838</v>
      </c>
      <c r="B21" s="1479" t="s">
        <v>2758</v>
      </c>
      <c r="C21" s="1157">
        <f>IF(B21="容积率修正",IF(G3&lt;=10,D22,J22),C23)</f>
        <v>0</v>
      </c>
      <c r="D21" s="1480"/>
      <c r="E21" s="1480"/>
      <c r="F21" s="1480"/>
      <c r="G21" s="1480"/>
      <c r="H21" s="1480"/>
      <c r="I21" s="1480"/>
      <c r="J21" s="1481"/>
      <c r="K21" s="1480"/>
      <c r="L21" s="1480"/>
      <c r="M21" s="1480"/>
      <c r="N21" s="1477" t="s">
        <v>976</v>
      </c>
      <c r="O21" s="1541"/>
      <c r="P21" s="2767">
        <f>SUMPRODUCT((地价!A3:A23=YEAR(G19)&amp;"-"&amp;ROUNDUP(MONTH(G19)/3,0))*(地价!AD2:AH2=N21)*(地价!AD3:AH23))</f>
        <v>0</v>
      </c>
      <c r="R21" s="2922"/>
      <c r="S21" s="2922"/>
      <c r="T21" s="2922"/>
      <c r="U21" s="2922"/>
      <c r="V21" s="2922"/>
      <c r="W21" s="2193"/>
      <c r="X21" s="2193"/>
      <c r="Y21" s="2193"/>
      <c r="Z21" s="2193"/>
      <c r="AA21" s="2193"/>
      <c r="AB21" s="2193"/>
      <c r="AC21" s="2193"/>
      <c r="AD21" s="1402"/>
      <c r="AE21" s="1402"/>
      <c r="AF21" s="1402"/>
      <c r="AG21" s="1402"/>
      <c r="AH21" s="1471"/>
      <c r="AI21" s="1471"/>
    </row>
    <row r="22" spans="1:40" s="1420" customFormat="1" ht="14.25">
      <c r="A22" s="1642" t="s">
        <v>1871</v>
      </c>
      <c r="B22" s="1482" t="s">
        <v>977</v>
      </c>
      <c r="C22" s="1059" t="s">
        <v>1703</v>
      </c>
      <c r="D22" s="1059">
        <f>IF(E22=G22,F22,IF(G3&lt;=10,ROUND(F22+(H22-F22)*(G3-E22)/(G22-E22),4),"——"))</f>
        <v>0</v>
      </c>
      <c r="E22" s="1038">
        <f>ROUNDDOWN(G3,1)</f>
        <v>1</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1.1000000000000001</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67">
        <f>SUMPRODUCT((地价!A3:A23=YEAR(G19)&amp;"-"&amp;ROUNDUP(MONTH(G19)/3,0))*(地价!AD2:AH2=N22)*(地价!AD3:AH23))</f>
        <v>0</v>
      </c>
      <c r="R22" s="2922"/>
      <c r="S22" s="2922"/>
      <c r="T22" s="2922"/>
      <c r="U22" s="2922"/>
      <c r="V22" s="2922"/>
      <c r="W22" s="2193"/>
      <c r="X22" s="2193"/>
      <c r="Y22" s="2193"/>
      <c r="Z22" s="2193"/>
      <c r="AA22" s="2193"/>
      <c r="AB22" s="2193"/>
      <c r="AC22" s="2193"/>
      <c r="AD22" s="1471"/>
      <c r="AE22" s="1471"/>
      <c r="AF22" s="1471"/>
      <c r="AG22" s="1471"/>
      <c r="AH22" s="1471"/>
      <c r="AI22" s="1471"/>
    </row>
    <row r="23" spans="1:40" ht="27.75" thickBot="1">
      <c r="A23" s="1642" t="s">
        <v>1872</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67">
        <f>SUMPRODUCT((地价!A3:A23=YEAR(G19)&amp;"-"&amp;ROUNDUP(MONTH(G19)/3,0))*(地价!AD2:AH2=N23)*(地价!AD3:AH23))</f>
        <v>0</v>
      </c>
      <c r="R23" s="2922"/>
      <c r="S23" s="2922"/>
      <c r="T23" s="2922"/>
      <c r="U23" s="2922"/>
      <c r="V23" s="2922"/>
      <c r="W23" s="2193"/>
      <c r="X23" s="2193"/>
      <c r="Y23" s="2193"/>
      <c r="Z23" s="2193"/>
      <c r="AA23" s="2193"/>
      <c r="AB23" s="2193"/>
      <c r="AC23" s="2193"/>
      <c r="AN23" s="1403"/>
    </row>
    <row r="24" spans="1:40" s="1420" customFormat="1" ht="15.75" thickBot="1">
      <c r="A24" s="1640" t="s">
        <v>1873</v>
      </c>
      <c r="B24" s="1414" t="s">
        <v>981</v>
      </c>
      <c r="C24" s="1061">
        <f>SUMIF(A44:A87,E2,B44:B87)</f>
        <v>0</v>
      </c>
      <c r="D24" s="1534"/>
      <c r="E24" s="1535"/>
      <c r="F24" s="1535"/>
      <c r="G24" s="1535"/>
      <c r="H24" s="1535"/>
      <c r="I24" s="1535"/>
      <c r="J24" s="1535"/>
      <c r="K24" s="1480"/>
      <c r="L24" s="1480"/>
      <c r="M24" s="1480"/>
      <c r="N24" s="1483" t="s">
        <v>982</v>
      </c>
      <c r="O24" s="1542"/>
      <c r="P24" s="1540">
        <f>SUMPRODUCT((地价!A3:A23=YEAR(G19)&amp;"-"&amp;ROUNDUP(MONTH(G19)/3,0))*(地价!AD2:AH2=N24)*(地价!AD3:AH23))</f>
        <v>0</v>
      </c>
      <c r="R24" s="2922"/>
      <c r="S24" s="2922"/>
      <c r="T24" s="2922"/>
      <c r="U24" s="2922"/>
      <c r="V24" s="2922"/>
      <c r="W24" s="2193"/>
      <c r="X24" s="2193"/>
      <c r="Y24" s="2193"/>
      <c r="Z24" s="2193"/>
      <c r="AA24" s="2193"/>
      <c r="AB24" s="2193"/>
      <c r="AC24" s="2193"/>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3"/>
      <c r="M25" s="2193"/>
      <c r="N25" s="2795" t="s">
        <v>2645</v>
      </c>
      <c r="O25" s="2193"/>
      <c r="P25" s="1540">
        <f>SUMPRODUCT((地价!A3:A23=YEAR(G19)&amp;"-"&amp;ROUNDUP(MONTH(G19)/3,0))*(地价!AD2:AH2=N25)*(地价!AD3:AH23))</f>
        <v>0</v>
      </c>
      <c r="R25" s="2922"/>
      <c r="S25" s="2922"/>
      <c r="T25" s="2922"/>
      <c r="U25" s="2922"/>
      <c r="V25" s="2922"/>
      <c r="W25" s="2193"/>
      <c r="X25" s="2193"/>
      <c r="Y25" s="2193"/>
      <c r="Z25" s="2193"/>
      <c r="AA25" s="2193"/>
      <c r="AB25" s="2193"/>
      <c r="AC25" s="2193"/>
    </row>
    <row r="26" spans="1:40" ht="14.25">
      <c r="A26" s="1488"/>
      <c r="B26" s="1482" t="s">
        <v>987</v>
      </c>
      <c r="C26" s="1062" t="e">
        <f>E29+SUM(E33:E39)</f>
        <v>#DIV/0!</v>
      </c>
      <c r="D26" s="1489"/>
      <c r="E26" s="1455"/>
      <c r="F26" s="1490"/>
      <c r="G26" s="1455"/>
      <c r="H26" s="1455"/>
      <c r="I26" s="1455"/>
      <c r="J26" s="1491"/>
      <c r="K26" s="1400"/>
      <c r="L26" s="2193"/>
      <c r="M26" s="2193"/>
      <c r="N26" s="2193"/>
      <c r="O26" s="2193"/>
      <c r="P26" s="2193"/>
      <c r="Q26" s="2193"/>
      <c r="R26" s="2922"/>
      <c r="S26" s="2922"/>
      <c r="T26" s="2922"/>
      <c r="U26" s="2922"/>
      <c r="V26" s="2922"/>
      <c r="W26" s="2193"/>
      <c r="X26" s="2193"/>
      <c r="Y26" s="2193"/>
      <c r="Z26" s="2193"/>
      <c r="AA26" s="2193"/>
      <c r="AB26" s="2193"/>
      <c r="AC26" s="2193"/>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3"/>
      <c r="M27" s="2193"/>
      <c r="N27" s="2193"/>
      <c r="O27" s="2193"/>
      <c r="P27" s="2193"/>
      <c r="Q27" s="2193"/>
      <c r="R27" s="2922"/>
      <c r="S27" s="2922"/>
      <c r="T27" s="2922"/>
      <c r="U27" s="2922"/>
      <c r="V27" s="2922"/>
      <c r="W27" s="2193"/>
      <c r="X27" s="2193"/>
      <c r="Y27" s="2193"/>
      <c r="Z27" s="2193"/>
      <c r="AA27" s="2193"/>
      <c r="AB27" s="2193"/>
      <c r="AC27" s="2193"/>
    </row>
    <row r="28" spans="1:40" ht="14.25">
      <c r="A28" s="1484"/>
      <c r="B28" s="1497" t="s">
        <v>990</v>
      </c>
      <c r="C28" s="1498" t="s">
        <v>991</v>
      </c>
      <c r="D28" s="1498" t="s">
        <v>992</v>
      </c>
      <c r="E28" s="1499" t="s">
        <v>993</v>
      </c>
      <c r="F28" s="1500"/>
      <c r="G28" s="1441"/>
      <c r="H28" s="1441"/>
      <c r="I28" s="1441"/>
      <c r="J28" s="1442"/>
      <c r="K28" s="1400"/>
      <c r="L28" s="2193"/>
      <c r="M28" s="2193"/>
      <c r="N28" s="2193"/>
      <c r="O28" s="2193"/>
      <c r="P28" s="2193"/>
      <c r="Q28" s="2193"/>
      <c r="R28" s="2922"/>
      <c r="S28" s="2922"/>
      <c r="T28" s="2922"/>
      <c r="U28" s="2922"/>
      <c r="V28" s="2922"/>
      <c r="W28" s="2193"/>
      <c r="X28" s="2193"/>
      <c r="Y28" s="2193"/>
      <c r="Z28" s="2193"/>
      <c r="AA28" s="2193"/>
      <c r="AB28" s="2193"/>
      <c r="AC28" s="2193"/>
      <c r="AD28" s="1471"/>
      <c r="AE28" s="1471"/>
      <c r="AF28" s="1471"/>
      <c r="AG28" s="1471"/>
    </row>
    <row r="29" spans="1:40" ht="24">
      <c r="A29" s="1501"/>
      <c r="B29" s="1502" t="s">
        <v>994</v>
      </c>
      <c r="C29" s="1062" t="e">
        <f>ROUND(C5*C18*C19*C20*C21*C24,0)</f>
        <v>#DIV/0!</v>
      </c>
      <c r="D29" s="1503"/>
      <c r="E29" s="1847" t="e">
        <f>ROUND(C29*D29/10000,0)</f>
        <v>#DIV/0!</v>
      </c>
      <c r="F29" s="1504" t="s">
        <v>1702</v>
      </c>
      <c r="G29" s="1505"/>
      <c r="H29" s="1505"/>
      <c r="I29" s="1505"/>
      <c r="J29" s="1506"/>
      <c r="K29" s="1400"/>
      <c r="L29" s="2193"/>
      <c r="M29" s="2193"/>
      <c r="N29" s="2193"/>
      <c r="O29" s="2193"/>
      <c r="P29" s="2193"/>
      <c r="Q29" s="2193"/>
      <c r="R29" s="2922"/>
      <c r="S29" s="2922"/>
      <c r="T29" s="2922"/>
      <c r="U29" s="2922"/>
      <c r="V29" s="2922"/>
      <c r="W29" s="2193"/>
      <c r="X29" s="2193"/>
      <c r="Y29" s="2193"/>
      <c r="Z29" s="2193"/>
      <c r="AA29" s="2193"/>
      <c r="AB29" s="2193"/>
      <c r="AC29" s="2193"/>
      <c r="AH29" s="1401"/>
      <c r="AI29" s="1401"/>
      <c r="AJ29" s="1404"/>
      <c r="AK29" s="1404"/>
      <c r="AL29" s="1404"/>
      <c r="AM29" s="1404"/>
    </row>
    <row r="30" spans="1:40" ht="24.75" thickBot="1">
      <c r="A30" s="1507"/>
      <c r="B30" s="1508" t="s">
        <v>995</v>
      </c>
      <c r="C30" s="1050" t="e">
        <f>ROUND(IF(E2="工业",C29*M39,C29*M38),0)</f>
        <v>#DIV/0!</v>
      </c>
      <c r="D30" s="1509"/>
      <c r="E30" s="1847" t="e">
        <f>ROUND(C30*D30/10000,0)</f>
        <v>#DIV/0!</v>
      </c>
      <c r="F30" s="1510" t="s">
        <v>996</v>
      </c>
      <c r="G30" s="1511"/>
      <c r="H30" s="1511"/>
      <c r="I30" s="1511"/>
      <c r="J30" s="1512"/>
      <c r="K30" s="1400"/>
      <c r="L30" s="2187"/>
      <c r="M30" s="2187"/>
      <c r="N30" s="2187"/>
      <c r="O30" s="2187"/>
      <c r="P30" s="2187"/>
      <c r="Q30" s="2187"/>
      <c r="R30" s="2188"/>
      <c r="S30" s="2188"/>
      <c r="T30" s="2188"/>
      <c r="U30" s="2188"/>
      <c r="V30" s="2188"/>
      <c r="W30" s="2187"/>
      <c r="X30" s="2187"/>
      <c r="Y30" s="2187"/>
      <c r="Z30" s="2187"/>
      <c r="AA30" s="2187"/>
      <c r="AB30" s="2187"/>
      <c r="AC30" s="2187"/>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7"/>
      <c r="M31" s="2187"/>
      <c r="N31" s="2187"/>
      <c r="O31" s="2187"/>
      <c r="P31" s="2187"/>
      <c r="Q31" s="2187"/>
      <c r="R31" s="2188"/>
      <c r="S31" s="2188"/>
      <c r="T31" s="2188"/>
      <c r="U31" s="2188"/>
      <c r="V31" s="2188"/>
      <c r="W31" s="2187"/>
      <c r="X31" s="2187"/>
      <c r="Y31" s="2187"/>
      <c r="Z31" s="2187"/>
      <c r="AA31" s="2187"/>
      <c r="AB31" s="2187"/>
      <c r="AC31" s="2187"/>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7"/>
      <c r="M32" s="2187"/>
      <c r="N32" s="2187"/>
      <c r="O32" s="2187"/>
      <c r="P32" s="2187"/>
      <c r="Q32" s="2187"/>
      <c r="R32" s="2188"/>
      <c r="S32" s="2188"/>
      <c r="T32" s="2188"/>
      <c r="U32" s="2188"/>
      <c r="V32" s="2188"/>
      <c r="W32" s="2187"/>
      <c r="X32" s="2187"/>
      <c r="Y32" s="2187"/>
      <c r="Z32" s="2187"/>
      <c r="AA32" s="2187"/>
      <c r="AB32" s="2187"/>
      <c r="AC32" s="2187"/>
      <c r="AD32" s="1401"/>
      <c r="AE32" s="1401"/>
      <c r="AF32" s="1401"/>
      <c r="AG32" s="1401"/>
      <c r="AH32" s="1401"/>
      <c r="AI32" s="1401"/>
      <c r="AJ32" s="1404"/>
      <c r="AK32" s="1404"/>
      <c r="AL32" s="1404"/>
      <c r="AM32" s="1404"/>
    </row>
    <row r="33" spans="1:40" ht="12.75">
      <c r="A33" s="3554" t="s">
        <v>2949</v>
      </c>
      <c r="B33" s="1523" t="s">
        <v>1000</v>
      </c>
      <c r="C33" s="1062" t="e">
        <f>ROUND(D5*C19*C20*C24*F33,0)</f>
        <v>#DIV/0!</v>
      </c>
      <c r="D33" s="1536"/>
      <c r="E33" s="1047" t="e">
        <f>ROUND(C33*D33/10000,0)</f>
        <v>#DIV/0!</v>
      </c>
      <c r="F33" s="1047">
        <f>SUMIF(修正!A45:A56,G2,修正!B45:B56)</f>
        <v>0</v>
      </c>
      <c r="G33" s="1047" t="e">
        <f>ROUND(IF(E2="工业",C33*$M$39,C33*$M$38),0)</f>
        <v>#DIV/0!</v>
      </c>
      <c r="H33" s="1047">
        <f>D33</f>
        <v>0</v>
      </c>
      <c r="I33" s="1047" t="e">
        <f>ROUND(G33*H33/10000,0)</f>
        <v>#DIV/0!</v>
      </c>
      <c r="J33" s="1524"/>
      <c r="K33" s="1400"/>
      <c r="L33" s="2187"/>
      <c r="M33" s="2187"/>
      <c r="N33" s="2187"/>
      <c r="O33" s="2187"/>
      <c r="P33" s="2187"/>
      <c r="Q33" s="2187"/>
      <c r="R33" s="2188"/>
      <c r="S33" s="2188"/>
      <c r="T33" s="2188"/>
      <c r="U33" s="2188"/>
      <c r="V33" s="2188"/>
      <c r="W33" s="2187"/>
      <c r="X33" s="2187"/>
      <c r="Y33" s="2187"/>
      <c r="Z33" s="2187"/>
      <c r="AA33" s="2187"/>
      <c r="AB33" s="2187"/>
      <c r="AC33" s="2188"/>
    </row>
    <row r="34" spans="1:40" ht="12.75">
      <c r="A34" s="3555"/>
      <c r="B34" s="1444" t="s">
        <v>1001</v>
      </c>
      <c r="C34" s="1062" t="e">
        <f>ROUND(D5*C19*C20*C24*F34,0)</f>
        <v>#DIV/0!</v>
      </c>
      <c r="D34" s="1536"/>
      <c r="E34" s="1047" t="e">
        <f t="shared" ref="E34:E39" si="6">ROUND(C34*D34/10000,0)</f>
        <v>#DIV/0!</v>
      </c>
      <c r="F34" s="1047">
        <f>SUMIF(修正!A45:A56,G2,修正!C45:C56)</f>
        <v>0</v>
      </c>
      <c r="G34" s="1047" t="e">
        <f>ROUND(IF(E2="工业",C34*$M$39,C34*$M$38),0)</f>
        <v>#DIV/0!</v>
      </c>
      <c r="H34" s="1047">
        <f t="shared" ref="H34:H39" si="7">D34</f>
        <v>0</v>
      </c>
      <c r="I34" s="1047" t="e">
        <f t="shared" ref="I34:I39" si="8">ROUND(G34*H34/10000,0)</f>
        <v>#DIV/0!</v>
      </c>
      <c r="J34" s="1524"/>
      <c r="K34" s="1400"/>
      <c r="L34" s="2187"/>
      <c r="M34" s="2187"/>
      <c r="N34" s="2187"/>
      <c r="O34" s="2187"/>
      <c r="P34" s="2187"/>
      <c r="Q34" s="2187"/>
      <c r="R34" s="2188"/>
      <c r="S34" s="2188"/>
      <c r="T34" s="2188"/>
      <c r="U34" s="2188"/>
      <c r="V34" s="2188"/>
      <c r="W34" s="2187"/>
      <c r="X34" s="2187"/>
      <c r="Y34" s="2187"/>
      <c r="Z34" s="2187"/>
      <c r="AA34" s="2187"/>
      <c r="AB34" s="2187"/>
      <c r="AC34" s="2188"/>
    </row>
    <row r="35" spans="1:40" ht="12.75">
      <c r="A35" s="3555"/>
      <c r="B35" s="1444" t="s">
        <v>1002</v>
      </c>
      <c r="C35" s="1062" t="e">
        <f>ROUND(D5*C19*C20*C24*F35,0)</f>
        <v>#DIV/0!</v>
      </c>
      <c r="D35" s="1536"/>
      <c r="E35" s="1047" t="e">
        <f t="shared" si="6"/>
        <v>#DIV/0!</v>
      </c>
      <c r="F35" s="1047">
        <f>SUMIF(修正!A45:A56,G2,修正!D45:D56)</f>
        <v>0</v>
      </c>
      <c r="G35" s="1047" t="e">
        <f>ROUND(IF(E2="工业",C35*$M$39,C35*$M$38),0)</f>
        <v>#DIV/0!</v>
      </c>
      <c r="H35" s="1047">
        <f t="shared" si="7"/>
        <v>0</v>
      </c>
      <c r="I35" s="1047" t="e">
        <f t="shared" si="8"/>
        <v>#DIV/0!</v>
      </c>
      <c r="J35" s="1524"/>
      <c r="K35" s="1400"/>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556"/>
      <c r="B36" s="1444" t="s">
        <v>1003</v>
      </c>
      <c r="C36" s="1062" t="e">
        <f>ROUND(D5*C19*C20*C24*F36,0)</f>
        <v>#DIV/0!</v>
      </c>
      <c r="D36" s="1536"/>
      <c r="E36" s="1047" t="e">
        <f t="shared" si="6"/>
        <v>#DIV/0!</v>
      </c>
      <c r="F36" s="1047">
        <f>SUMIF(修正!A45:A56,G2,修正!E45:E56)</f>
        <v>0</v>
      </c>
      <c r="G36" s="1047" t="e">
        <f>ROUND(IF(E2="工业",C36*$M$39,C36*$M$38),0)</f>
        <v>#DIV/0!</v>
      </c>
      <c r="H36" s="1047">
        <f t="shared" si="7"/>
        <v>0</v>
      </c>
      <c r="I36" s="1047" t="e">
        <f t="shared" si="8"/>
        <v>#DIV/0!</v>
      </c>
      <c r="J36" s="1524"/>
      <c r="K36" s="1400"/>
      <c r="L36" s="2187"/>
      <c r="M36" s="2187"/>
      <c r="N36" s="2187"/>
      <c r="O36" s="2187"/>
      <c r="P36" s="2187"/>
      <c r="Q36" s="2187"/>
      <c r="R36" s="2188"/>
      <c r="S36" s="2188"/>
      <c r="T36" s="2188"/>
      <c r="U36" s="2188"/>
      <c r="V36" s="2188"/>
      <c r="W36" s="2187"/>
      <c r="X36" s="2187"/>
      <c r="Y36" s="2187"/>
      <c r="Z36" s="2187"/>
      <c r="AA36" s="2187"/>
      <c r="AB36" s="2187"/>
      <c r="AC36" s="2188"/>
    </row>
    <row r="37" spans="1:40" ht="12.75">
      <c r="A37" s="1522"/>
      <c r="B37" s="1444" t="s">
        <v>1004</v>
      </c>
      <c r="C37" s="1047" t="e">
        <f>ROUND(C5*C19*C20*C24*F37,0)</f>
        <v>#DIV/0!</v>
      </c>
      <c r="D37" s="1536"/>
      <c r="E37" s="1047" t="e">
        <f t="shared" si="6"/>
        <v>#DIV/0!</v>
      </c>
      <c r="F37" s="1062">
        <f>SUMIF(修正!A45:A56,G2,修正!F45:F56)</f>
        <v>0</v>
      </c>
      <c r="G37" s="1047" t="e">
        <f>ROUND(IF(E2="工业",C37*$M$39,C37*$M$38),0)</f>
        <v>#DIV/0!</v>
      </c>
      <c r="H37" s="1047">
        <f t="shared" si="7"/>
        <v>0</v>
      </c>
      <c r="I37" s="1047" t="e">
        <f t="shared" si="8"/>
        <v>#DIV/0!</v>
      </c>
      <c r="J37" s="1524"/>
      <c r="K37" s="1400"/>
      <c r="L37" s="1543" t="s">
        <v>1704</v>
      </c>
      <c r="M37" s="1544"/>
      <c r="N37" s="2187"/>
      <c r="O37" s="2187"/>
      <c r="P37" s="2187"/>
      <c r="Q37" s="2187"/>
      <c r="R37" s="2188"/>
      <c r="S37" s="2188"/>
      <c r="T37" s="2188"/>
      <c r="U37" s="2188"/>
      <c r="V37" s="2188"/>
      <c r="W37" s="2187"/>
      <c r="X37" s="2187"/>
      <c r="Y37" s="2187"/>
      <c r="Z37" s="2187"/>
      <c r="AA37" s="2187"/>
      <c r="AB37" s="2187"/>
      <c r="AC37" s="2188"/>
    </row>
    <row r="38" spans="1:40" ht="12.75">
      <c r="A38" s="1522"/>
      <c r="B38" s="1444" t="s">
        <v>1005</v>
      </c>
      <c r="C38" s="1047" t="e">
        <f>ROUND(C5*C19*C20*C24*F38,0)</f>
        <v>#DIV/0!</v>
      </c>
      <c r="D38" s="1536"/>
      <c r="E38" s="1047" t="e">
        <f t="shared" si="6"/>
        <v>#DIV/0!</v>
      </c>
      <c r="F38" s="1062">
        <f>SUMIF(修正!A45:A56,G2,修正!G45:G56)</f>
        <v>0</v>
      </c>
      <c r="G38" s="1047" t="e">
        <f>ROUND(IF(E2="工业",C38*$M$39,C38*$M$38),0)</f>
        <v>#DIV/0!</v>
      </c>
      <c r="H38" s="1047">
        <f t="shared" si="7"/>
        <v>0</v>
      </c>
      <c r="I38" s="1047" t="e">
        <f t="shared" si="8"/>
        <v>#DIV/0!</v>
      </c>
      <c r="J38" s="1524"/>
      <c r="K38" s="1400"/>
      <c r="L38" s="1545" t="s">
        <v>1706</v>
      </c>
      <c r="M38" s="1546">
        <v>0.25</v>
      </c>
      <c r="N38" s="2187"/>
      <c r="O38" s="2187"/>
      <c r="P38" s="2187"/>
      <c r="Q38" s="2187"/>
      <c r="R38" s="2188"/>
      <c r="S38" s="2188"/>
      <c r="T38" s="2188"/>
      <c r="U38" s="2188"/>
      <c r="V38" s="2188"/>
      <c r="W38" s="2187"/>
      <c r="X38" s="2187"/>
      <c r="Y38" s="2187"/>
      <c r="Z38" s="2187"/>
      <c r="AA38" s="2187"/>
      <c r="AB38" s="2187"/>
      <c r="AC38" s="2188"/>
    </row>
    <row r="39" spans="1:40" ht="13.5" thickBot="1">
      <c r="A39" s="1507"/>
      <c r="B39" s="1525" t="s">
        <v>1006</v>
      </c>
      <c r="C39" s="1050" t="e">
        <f>ROUND(C5*C19*C20*C24*F39,0)</f>
        <v>#DIV/0!</v>
      </c>
      <c r="D39" s="1537"/>
      <c r="E39" s="1050" t="e">
        <f t="shared" si="6"/>
        <v>#DIV/0!</v>
      </c>
      <c r="F39" s="1064">
        <f>SUMIF(修正!A45:A56,G2,修正!H45:H56)</f>
        <v>0</v>
      </c>
      <c r="G39" s="1050" t="e">
        <f>ROUND(IF(E2="工业",C39*$M$39,C39*$M$38),0)</f>
        <v>#DIV/0!</v>
      </c>
      <c r="H39" s="1050">
        <f t="shared" si="7"/>
        <v>0</v>
      </c>
      <c r="I39" s="1050" t="e">
        <f t="shared" si="8"/>
        <v>#DIV/0!</v>
      </c>
      <c r="J39" s="1526"/>
      <c r="K39" s="1400"/>
      <c r="L39" s="1547" t="s">
        <v>1705</v>
      </c>
      <c r="M39" s="1548">
        <v>0.15</v>
      </c>
      <c r="N39" s="2187"/>
      <c r="O39" s="2187"/>
      <c r="P39" s="2187"/>
      <c r="Q39" s="2187"/>
      <c r="R39" s="2188"/>
      <c r="S39" s="2188"/>
      <c r="T39" s="2188"/>
      <c r="U39" s="2188"/>
      <c r="V39" s="2188"/>
      <c r="W39" s="2187"/>
      <c r="X39" s="2187"/>
      <c r="Y39" s="2187"/>
      <c r="Z39" s="2187"/>
      <c r="AA39" s="2187"/>
      <c r="AB39" s="2187"/>
      <c r="AC39" s="2188"/>
    </row>
    <row r="40" spans="1:40" s="1401"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2"/>
      <c r="AE40" s="1402"/>
      <c r="AF40" s="1402"/>
      <c r="AG40" s="1402"/>
      <c r="AH40" s="1402"/>
      <c r="AI40" s="1402"/>
      <c r="AJ40" s="1402"/>
      <c r="AK40" s="1402"/>
      <c r="AL40" s="1402"/>
      <c r="AM40" s="1402"/>
    </row>
    <row r="41" spans="1:40" s="1401" customFormat="1">
      <c r="A41" s="1402"/>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2"/>
      <c r="AE41" s="1402"/>
      <c r="AF41" s="1402"/>
      <c r="AG41" s="1402"/>
      <c r="AH41" s="1402"/>
      <c r="AI41" s="1402"/>
      <c r="AJ41" s="1402"/>
      <c r="AK41" s="1402"/>
      <c r="AL41" s="1402"/>
      <c r="AM41" s="1402"/>
    </row>
    <row r="42" spans="1:40" s="1401" customFormat="1">
      <c r="A42" s="1402"/>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2"/>
      <c r="AE42" s="1402"/>
      <c r="AF42" s="1402"/>
      <c r="AG42" s="1402"/>
      <c r="AH42" s="1402"/>
      <c r="AI42" s="1402"/>
      <c r="AJ42" s="1402"/>
      <c r="AK42" s="1402"/>
      <c r="AL42" s="1402"/>
      <c r="AM42" s="1402"/>
    </row>
    <row r="43" spans="1:40" s="1401" customFormat="1">
      <c r="A43" s="1402"/>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2"/>
      <c r="AE43" s="1402"/>
      <c r="AF43" s="1402"/>
      <c r="AG43" s="1402"/>
      <c r="AH43" s="1402"/>
      <c r="AI43" s="1402"/>
      <c r="AJ43" s="1402"/>
      <c r="AK43" s="1402"/>
      <c r="AL43" s="1402"/>
      <c r="AM43" s="1402"/>
    </row>
    <row r="44" spans="1:40" s="1401" customFormat="1" ht="15" thickBot="1">
      <c r="A44" s="2417" t="s">
        <v>1007</v>
      </c>
      <c r="B44" s="2418"/>
      <c r="C44" s="2419"/>
      <c r="D44" s="2420"/>
      <c r="E44" s="2420"/>
      <c r="F44" s="2421"/>
      <c r="G44" s="1065"/>
      <c r="H44" s="2421"/>
      <c r="I44" s="1065"/>
      <c r="J44" s="1065"/>
      <c r="K44" s="1065"/>
      <c r="L44" s="1065"/>
      <c r="M44" s="1065"/>
      <c r="O44" s="2194"/>
      <c r="P44" s="2194"/>
      <c r="Q44" s="2194"/>
      <c r="R44" s="2195"/>
      <c r="S44" s="2195"/>
      <c r="T44" s="2195"/>
      <c r="U44" s="2195"/>
      <c r="V44" s="2195"/>
      <c r="W44" s="2194"/>
      <c r="X44" s="2194"/>
      <c r="Y44" s="2194"/>
      <c r="Z44" s="2194"/>
      <c r="AA44" s="2194"/>
      <c r="AB44" s="2194"/>
      <c r="AC44" s="2195"/>
      <c r="AD44" s="1402"/>
      <c r="AE44" s="1402"/>
      <c r="AF44" s="1402"/>
      <c r="AG44" s="1402"/>
      <c r="AH44" s="1402"/>
      <c r="AI44" s="1402"/>
      <c r="AJ44" s="1402"/>
      <c r="AK44" s="1402"/>
      <c r="AL44" s="1402"/>
      <c r="AM44" s="1402"/>
    </row>
    <row r="45" spans="1:40" s="1401" customFormat="1" ht="15">
      <c r="A45" s="2422" t="s">
        <v>1008</v>
      </c>
      <c r="B45" s="2423">
        <f>1+E47</f>
        <v>1</v>
      </c>
      <c r="C45" s="2424"/>
      <c r="D45" s="2425"/>
      <c r="E45" s="2426"/>
      <c r="F45" s="2427"/>
      <c r="G45" s="2421"/>
      <c r="H45" s="2421"/>
      <c r="I45" s="1065"/>
      <c r="J45" s="1065"/>
      <c r="K45" s="1065"/>
      <c r="L45" s="1065"/>
      <c r="M45" s="1065"/>
      <c r="O45" s="2194"/>
      <c r="P45" s="2194"/>
      <c r="Q45" s="2194"/>
      <c r="R45" s="2195"/>
      <c r="S45" s="2195"/>
      <c r="T45" s="2195"/>
      <c r="U45" s="2195"/>
      <c r="V45" s="2195"/>
      <c r="W45" s="2194"/>
      <c r="X45" s="2194"/>
      <c r="Y45" s="2194"/>
      <c r="Z45" s="2194"/>
      <c r="AA45" s="2194"/>
      <c r="AB45" s="2194"/>
      <c r="AC45" s="2195"/>
      <c r="AD45" s="1402"/>
      <c r="AE45" s="1402"/>
      <c r="AF45" s="1402"/>
      <c r="AG45" s="1402"/>
      <c r="AH45" s="1402"/>
      <c r="AI45" s="1402"/>
      <c r="AJ45" s="1402"/>
      <c r="AK45" s="1402"/>
      <c r="AL45" s="1402"/>
      <c r="AM45" s="1402"/>
    </row>
    <row r="46" spans="1:40" s="1401" customFormat="1" ht="24">
      <c r="A46" s="1066" t="s">
        <v>1009</v>
      </c>
      <c r="B46" s="2406" t="s">
        <v>1010</v>
      </c>
      <c r="C46" s="2428" t="s">
        <v>1011</v>
      </c>
      <c r="D46" s="2429" t="s">
        <v>1012</v>
      </c>
      <c r="E46" s="2430" t="s">
        <v>1014</v>
      </c>
      <c r="F46" s="2431" t="s">
        <v>2250</v>
      </c>
      <c r="G46" s="2429" t="s">
        <v>1015</v>
      </c>
      <c r="H46" s="2412" t="s">
        <v>2416</v>
      </c>
      <c r="I46" s="2429" t="s">
        <v>1013</v>
      </c>
      <c r="J46" s="2432" t="s">
        <v>1016</v>
      </c>
      <c r="K46" s="2432" t="s">
        <v>1017</v>
      </c>
      <c r="L46" s="2432" t="s">
        <v>1018</v>
      </c>
      <c r="M46" s="2432" t="s">
        <v>1019</v>
      </c>
      <c r="N46" s="2432" t="s">
        <v>1020</v>
      </c>
      <c r="P46" s="2194"/>
      <c r="Q46" s="2194"/>
      <c r="R46" s="2195"/>
      <c r="S46" s="2195"/>
      <c r="T46" s="2195"/>
      <c r="U46" s="2195"/>
      <c r="V46" s="2195"/>
      <c r="W46" s="2194"/>
      <c r="X46" s="2194"/>
      <c r="Y46" s="2194"/>
      <c r="Z46" s="2194"/>
      <c r="AA46" s="2194"/>
      <c r="AB46" s="2194"/>
      <c r="AC46" s="2194"/>
      <c r="AD46" s="2195"/>
      <c r="AE46" s="1402"/>
      <c r="AF46" s="1402"/>
      <c r="AG46" s="1402"/>
      <c r="AH46" s="1402"/>
      <c r="AI46" s="1402"/>
      <c r="AJ46" s="1402"/>
      <c r="AK46" s="1402"/>
      <c r="AL46" s="1402"/>
      <c r="AM46" s="1402"/>
      <c r="AN46" s="1402"/>
    </row>
    <row r="47" spans="1:40" s="1401" customFormat="1" ht="24">
      <c r="A47" s="1066" t="s">
        <v>1021</v>
      </c>
      <c r="B47" s="2409" t="str">
        <f>估价对象房地状况!C16</f>
        <v>较差</v>
      </c>
      <c r="C47" s="1049"/>
      <c r="D47" s="2415">
        <f t="shared" ref="D47:D55" si="9">SUMIF($J$46:$N$46,C47,J47:N47)</f>
        <v>0</v>
      </c>
      <c r="E47" s="2434">
        <f>ROUND(SUM(D47:D55),4)</f>
        <v>0</v>
      </c>
      <c r="F47" s="2435" t="str">
        <f>IF(E2="商业",SUMIF(L1:L12,G2,N1:N12),"——")</f>
        <v>——</v>
      </c>
      <c r="G47" s="2413"/>
      <c r="H47" s="2459" t="str">
        <f t="shared" ref="H47:H55" si="10">IFERROR(ROUNDDOWN(($F$47*I47/2),4),"——")</f>
        <v>——</v>
      </c>
      <c r="I47" s="2433">
        <v>0.33</v>
      </c>
      <c r="J47" s="2436">
        <f t="shared" ref="J47:J55" si="11">K47+$G47</f>
        <v>0</v>
      </c>
      <c r="K47" s="2436">
        <f t="shared" ref="K47:K55" si="12">$L47+$G47</f>
        <v>0</v>
      </c>
      <c r="L47" s="2436">
        <v>0</v>
      </c>
      <c r="M47" s="2436">
        <f t="shared" ref="M47:N55" si="13">L47-$G47</f>
        <v>0</v>
      </c>
      <c r="N47" s="2436">
        <f t="shared" si="13"/>
        <v>0</v>
      </c>
      <c r="P47" s="2194"/>
      <c r="Q47" s="2194"/>
      <c r="R47" s="2195"/>
      <c r="S47" s="2195"/>
      <c r="T47" s="2195"/>
      <c r="U47" s="2195"/>
      <c r="V47" s="2195"/>
      <c r="W47" s="2194"/>
      <c r="X47" s="2194"/>
      <c r="Y47" s="2194"/>
      <c r="Z47" s="2194"/>
      <c r="AA47" s="2194"/>
      <c r="AB47" s="2194"/>
      <c r="AC47" s="2194"/>
      <c r="AD47" s="2195"/>
      <c r="AE47" s="1402"/>
      <c r="AF47" s="1402"/>
      <c r="AG47" s="1402"/>
      <c r="AH47" s="1402"/>
      <c r="AI47" s="1402"/>
      <c r="AJ47" s="1402"/>
      <c r="AK47" s="1402"/>
      <c r="AL47" s="1402"/>
      <c r="AM47" s="1402"/>
      <c r="AN47" s="1402"/>
    </row>
    <row r="48" spans="1:40" s="1401" customFormat="1" ht="14.25">
      <c r="A48" s="1066" t="s">
        <v>1022</v>
      </c>
      <c r="B48" s="2406" t="str">
        <f>估价对象房地状况!C18</f>
        <v>一般</v>
      </c>
      <c r="C48" s="1049"/>
      <c r="D48" s="2415">
        <f t="shared" si="9"/>
        <v>0</v>
      </c>
      <c r="E48" s="2437"/>
      <c r="F48" s="2435"/>
      <c r="G48" s="2413"/>
      <c r="H48" s="2459" t="str">
        <f t="shared" si="10"/>
        <v>——</v>
      </c>
      <c r="I48" s="2433">
        <v>0.25</v>
      </c>
      <c r="J48" s="2436">
        <f t="shared" si="11"/>
        <v>0</v>
      </c>
      <c r="K48" s="2436">
        <f t="shared" si="12"/>
        <v>0</v>
      </c>
      <c r="L48" s="2436">
        <v>0</v>
      </c>
      <c r="M48" s="2436">
        <f t="shared" si="13"/>
        <v>0</v>
      </c>
      <c r="N48" s="2436">
        <f t="shared" si="13"/>
        <v>0</v>
      </c>
      <c r="P48" s="2194"/>
      <c r="Q48" s="2194"/>
      <c r="R48" s="2195"/>
      <c r="S48" s="2195"/>
      <c r="T48" s="2195"/>
      <c r="U48" s="2195"/>
      <c r="V48" s="2195"/>
      <c r="W48" s="2194"/>
      <c r="X48" s="2194"/>
      <c r="Y48" s="2194"/>
      <c r="Z48" s="2194"/>
      <c r="AA48" s="2194"/>
      <c r="AB48" s="2194"/>
      <c r="AC48" s="2194"/>
      <c r="AD48" s="2195"/>
      <c r="AE48" s="1402"/>
      <c r="AF48" s="1402"/>
      <c r="AG48" s="1402"/>
      <c r="AH48" s="1402"/>
      <c r="AI48" s="1402"/>
      <c r="AJ48" s="1402"/>
      <c r="AK48" s="1402"/>
      <c r="AL48" s="1402"/>
      <c r="AM48" s="1402"/>
      <c r="AN48" s="1402"/>
    </row>
    <row r="49" spans="1:40" s="1401" customFormat="1" ht="24">
      <c r="A49" s="1066" t="s">
        <v>1023</v>
      </c>
      <c r="B49" s="2406" t="str">
        <f>估价对象房地状况!C19</f>
        <v>较好</v>
      </c>
      <c r="C49" s="1049"/>
      <c r="D49" s="2415">
        <f t="shared" si="9"/>
        <v>0</v>
      </c>
      <c r="E49" s="2437"/>
      <c r="F49" s="2435"/>
      <c r="G49" s="2413"/>
      <c r="H49" s="2459" t="str">
        <f t="shared" si="10"/>
        <v>——</v>
      </c>
      <c r="I49" s="2433">
        <v>0.05</v>
      </c>
      <c r="J49" s="2436">
        <f t="shared" si="11"/>
        <v>0</v>
      </c>
      <c r="K49" s="2436">
        <f t="shared" si="12"/>
        <v>0</v>
      </c>
      <c r="L49" s="2436">
        <v>0</v>
      </c>
      <c r="M49" s="2436">
        <f t="shared" si="13"/>
        <v>0</v>
      </c>
      <c r="N49" s="2436">
        <f t="shared" si="13"/>
        <v>0</v>
      </c>
      <c r="P49" s="2194"/>
      <c r="Q49" s="2194"/>
      <c r="R49" s="2195"/>
      <c r="S49" s="2195"/>
      <c r="T49" s="2195"/>
      <c r="U49" s="2195"/>
      <c r="V49" s="2195"/>
      <c r="W49" s="2194"/>
      <c r="X49" s="2194"/>
      <c r="Y49" s="2194"/>
      <c r="Z49" s="2194"/>
      <c r="AA49" s="2194"/>
      <c r="AB49" s="2194"/>
      <c r="AC49" s="2194"/>
      <c r="AD49" s="2195"/>
      <c r="AE49" s="1402"/>
      <c r="AF49" s="1402"/>
      <c r="AG49" s="1402"/>
      <c r="AH49" s="1402"/>
      <c r="AI49" s="1402"/>
      <c r="AJ49" s="1402"/>
      <c r="AK49" s="1402"/>
      <c r="AL49" s="1402"/>
      <c r="AM49" s="1402"/>
      <c r="AN49" s="1402"/>
    </row>
    <row r="50" spans="1:40" s="1401" customFormat="1" ht="36">
      <c r="A50" s="1066" t="s">
        <v>1024</v>
      </c>
      <c r="B50" s="3092" t="s">
        <v>2925</v>
      </c>
      <c r="C50" s="1049"/>
      <c r="D50" s="2415">
        <f t="shared" si="9"/>
        <v>0</v>
      </c>
      <c r="E50" s="2437"/>
      <c r="F50" s="2435"/>
      <c r="G50" s="2413"/>
      <c r="H50" s="2459" t="str">
        <f t="shared" si="10"/>
        <v>——</v>
      </c>
      <c r="I50" s="2433">
        <v>0.05</v>
      </c>
      <c r="J50" s="2436">
        <f t="shared" si="11"/>
        <v>0</v>
      </c>
      <c r="K50" s="2436">
        <f t="shared" si="12"/>
        <v>0</v>
      </c>
      <c r="L50" s="2436">
        <v>0</v>
      </c>
      <c r="M50" s="2436">
        <f t="shared" si="13"/>
        <v>0</v>
      </c>
      <c r="N50" s="2436">
        <f t="shared" si="13"/>
        <v>0</v>
      </c>
      <c r="P50" s="2194"/>
      <c r="Q50" s="2194"/>
      <c r="R50" s="2195"/>
      <c r="S50" s="2195"/>
      <c r="T50" s="2195"/>
      <c r="U50" s="2195"/>
      <c r="V50" s="2195"/>
      <c r="W50" s="2194"/>
      <c r="X50" s="2194"/>
      <c r="Y50" s="2194"/>
      <c r="Z50" s="2194"/>
      <c r="AA50" s="2194"/>
      <c r="AB50" s="2194"/>
      <c r="AC50" s="2194"/>
      <c r="AD50" s="2195"/>
      <c r="AE50" s="1402"/>
      <c r="AF50" s="1402"/>
      <c r="AG50" s="1402"/>
      <c r="AH50" s="1402"/>
      <c r="AI50" s="1402"/>
      <c r="AJ50" s="1402"/>
      <c r="AK50" s="1402"/>
      <c r="AL50" s="1402"/>
      <c r="AM50" s="1402"/>
      <c r="AN50" s="1402"/>
    </row>
    <row r="51" spans="1:40" s="1401" customFormat="1" ht="24">
      <c r="A51" s="1066" t="s">
        <v>1025</v>
      </c>
      <c r="B51" s="2406" t="str">
        <f>估价对象房地状况!C24</f>
        <v>次干道</v>
      </c>
      <c r="C51" s="1049"/>
      <c r="D51" s="2415">
        <f t="shared" si="9"/>
        <v>0</v>
      </c>
      <c r="E51" s="2437"/>
      <c r="F51" s="2435"/>
      <c r="G51" s="2413"/>
      <c r="H51" s="2459" t="str">
        <f t="shared" si="10"/>
        <v>——</v>
      </c>
      <c r="I51" s="2433">
        <v>0.08</v>
      </c>
      <c r="J51" s="2436">
        <f t="shared" si="11"/>
        <v>0</v>
      </c>
      <c r="K51" s="2436">
        <f t="shared" si="12"/>
        <v>0</v>
      </c>
      <c r="L51" s="2436">
        <v>0</v>
      </c>
      <c r="M51" s="2436">
        <f t="shared" si="13"/>
        <v>0</v>
      </c>
      <c r="N51" s="2436">
        <f t="shared" si="13"/>
        <v>0</v>
      </c>
      <c r="P51" s="2194"/>
      <c r="Q51" s="2194"/>
      <c r="R51" s="2195"/>
      <c r="S51" s="2195"/>
      <c r="T51" s="2195"/>
      <c r="U51" s="2195"/>
      <c r="V51" s="2195"/>
      <c r="W51" s="2194"/>
      <c r="X51" s="2194"/>
      <c r="Y51" s="2194"/>
      <c r="Z51" s="2194"/>
      <c r="AA51" s="2194"/>
      <c r="AB51" s="2194"/>
      <c r="AC51" s="2194"/>
      <c r="AD51" s="2195"/>
      <c r="AE51" s="1402"/>
      <c r="AF51" s="1402"/>
      <c r="AG51" s="1402"/>
      <c r="AH51" s="1402"/>
      <c r="AI51" s="1402"/>
      <c r="AJ51" s="1402"/>
      <c r="AK51" s="1402"/>
      <c r="AL51" s="1402"/>
      <c r="AM51" s="1402"/>
      <c r="AN51" s="1402"/>
    </row>
    <row r="52" spans="1:40" s="1401" customFormat="1" ht="24">
      <c r="A52" s="1066" t="s">
        <v>1026</v>
      </c>
      <c r="B52" s="3091" t="s">
        <v>2924</v>
      </c>
      <c r="C52" s="1049"/>
      <c r="D52" s="2415">
        <f t="shared" si="9"/>
        <v>0</v>
      </c>
      <c r="E52" s="2437"/>
      <c r="F52" s="2435"/>
      <c r="G52" s="2413"/>
      <c r="H52" s="2459" t="str">
        <f t="shared" si="10"/>
        <v>——</v>
      </c>
      <c r="I52" s="2433">
        <v>0.03</v>
      </c>
      <c r="J52" s="2436">
        <f t="shared" si="11"/>
        <v>0</v>
      </c>
      <c r="K52" s="2436">
        <f t="shared" si="12"/>
        <v>0</v>
      </c>
      <c r="L52" s="2436">
        <v>0</v>
      </c>
      <c r="M52" s="2436">
        <f t="shared" si="13"/>
        <v>0</v>
      </c>
      <c r="N52" s="2436">
        <f t="shared" si="13"/>
        <v>0</v>
      </c>
      <c r="P52" s="2194"/>
      <c r="Q52" s="2194"/>
      <c r="R52" s="2195"/>
      <c r="S52" s="2195"/>
      <c r="T52" s="2195"/>
      <c r="U52" s="2195"/>
      <c r="V52" s="2195"/>
      <c r="W52" s="2194"/>
      <c r="X52" s="2194"/>
      <c r="Y52" s="2194"/>
      <c r="Z52" s="2194"/>
      <c r="AA52" s="2194"/>
      <c r="AB52" s="2194"/>
      <c r="AC52" s="2194"/>
      <c r="AD52" s="2195"/>
      <c r="AE52" s="1402"/>
      <c r="AF52" s="1402"/>
      <c r="AG52" s="1402"/>
      <c r="AH52" s="1402"/>
      <c r="AI52" s="1402"/>
      <c r="AJ52" s="1402"/>
      <c r="AK52" s="1402"/>
      <c r="AL52" s="1402"/>
      <c r="AM52" s="1402"/>
      <c r="AN52" s="1402"/>
    </row>
    <row r="53" spans="1:40" s="1401" customFormat="1" ht="24">
      <c r="A53" s="2438" t="s">
        <v>1027</v>
      </c>
      <c r="B53" s="2407" t="str">
        <f>估价对象房地状况!C21</f>
        <v>一般</v>
      </c>
      <c r="C53" s="1049"/>
      <c r="D53" s="2415">
        <f t="shared" si="9"/>
        <v>0</v>
      </c>
      <c r="E53" s="2437"/>
      <c r="F53" s="2435"/>
      <c r="G53" s="2413"/>
      <c r="H53" s="2459" t="str">
        <f t="shared" si="10"/>
        <v>——</v>
      </c>
      <c r="I53" s="2433">
        <v>0.05</v>
      </c>
      <c r="J53" s="2436">
        <f t="shared" si="11"/>
        <v>0</v>
      </c>
      <c r="K53" s="2436">
        <f t="shared" si="12"/>
        <v>0</v>
      </c>
      <c r="L53" s="2436">
        <v>0</v>
      </c>
      <c r="M53" s="2436">
        <f t="shared" si="13"/>
        <v>0</v>
      </c>
      <c r="N53" s="2436">
        <f t="shared" si="13"/>
        <v>0</v>
      </c>
      <c r="P53" s="2194"/>
      <c r="Q53" s="2194"/>
      <c r="R53" s="2195"/>
      <c r="S53" s="2195"/>
      <c r="T53" s="2195"/>
      <c r="U53" s="2195"/>
      <c r="V53" s="2195"/>
      <c r="W53" s="2194"/>
      <c r="X53" s="2194"/>
      <c r="Y53" s="2194"/>
      <c r="Z53" s="2194"/>
      <c r="AA53" s="2194"/>
      <c r="AB53" s="2194"/>
      <c r="AC53" s="2194"/>
      <c r="AD53" s="2195"/>
      <c r="AE53" s="1402"/>
      <c r="AF53" s="1402"/>
      <c r="AG53" s="1402"/>
      <c r="AH53" s="1402"/>
      <c r="AI53" s="1402"/>
      <c r="AJ53" s="1402"/>
      <c r="AK53" s="1402"/>
      <c r="AL53" s="1402"/>
      <c r="AM53" s="1402"/>
      <c r="AN53" s="1402"/>
    </row>
    <row r="54" spans="1:40" s="1401" customFormat="1" ht="24">
      <c r="A54" s="2438" t="s">
        <v>1028</v>
      </c>
      <c r="B54" s="2406" t="str">
        <f>估价对象房地状况!C22</f>
        <v>七通</v>
      </c>
      <c r="C54" s="1049"/>
      <c r="D54" s="2415">
        <f t="shared" si="9"/>
        <v>0</v>
      </c>
      <c r="E54" s="2437"/>
      <c r="F54" s="2435"/>
      <c r="G54" s="2413"/>
      <c r="H54" s="2459" t="str">
        <f t="shared" si="10"/>
        <v>——</v>
      </c>
      <c r="I54" s="2433">
        <v>0.1</v>
      </c>
      <c r="J54" s="2436">
        <f t="shared" si="11"/>
        <v>0</v>
      </c>
      <c r="K54" s="2436">
        <f t="shared" si="12"/>
        <v>0</v>
      </c>
      <c r="L54" s="2436">
        <v>0</v>
      </c>
      <c r="M54" s="2436">
        <f t="shared" si="13"/>
        <v>0</v>
      </c>
      <c r="N54" s="2436">
        <f t="shared" si="13"/>
        <v>0</v>
      </c>
      <c r="P54" s="2194"/>
      <c r="Q54" s="2194"/>
      <c r="R54" s="2195"/>
      <c r="S54" s="2195"/>
      <c r="T54" s="2195"/>
      <c r="U54" s="2195"/>
      <c r="V54" s="2195"/>
      <c r="W54" s="2194"/>
      <c r="X54" s="2194"/>
      <c r="Y54" s="2194"/>
      <c r="Z54" s="2194"/>
      <c r="AA54" s="2194"/>
      <c r="AB54" s="2194"/>
      <c r="AC54" s="2194"/>
      <c r="AD54" s="2195"/>
      <c r="AE54" s="1402"/>
      <c r="AF54" s="1402"/>
      <c r="AG54" s="1402"/>
      <c r="AH54" s="1402"/>
      <c r="AI54" s="1402"/>
      <c r="AJ54" s="1402"/>
      <c r="AK54" s="1402"/>
      <c r="AL54" s="1402"/>
      <c r="AM54" s="1402"/>
      <c r="AN54" s="1402"/>
    </row>
    <row r="55" spans="1:40" s="1401" customFormat="1" ht="24.75" thickBot="1">
      <c r="A55" s="2439" t="s">
        <v>1029</v>
      </c>
      <c r="B55" s="2410" t="str">
        <f>估价对象房地状况!C20</f>
        <v>一般</v>
      </c>
      <c r="C55" s="1049"/>
      <c r="D55" s="2415">
        <f t="shared" si="9"/>
        <v>0</v>
      </c>
      <c r="E55" s="2441"/>
      <c r="F55" s="2435"/>
      <c r="G55" s="2413"/>
      <c r="H55" s="2459" t="str">
        <f t="shared" si="10"/>
        <v>——</v>
      </c>
      <c r="I55" s="2440">
        <v>0.06</v>
      </c>
      <c r="J55" s="2436">
        <f t="shared" si="11"/>
        <v>0</v>
      </c>
      <c r="K55" s="2436">
        <f t="shared" si="12"/>
        <v>0</v>
      </c>
      <c r="L55" s="2436">
        <v>0</v>
      </c>
      <c r="M55" s="2436">
        <f t="shared" si="13"/>
        <v>0</v>
      </c>
      <c r="N55" s="2436">
        <f t="shared" si="13"/>
        <v>0</v>
      </c>
      <c r="P55" s="2194"/>
      <c r="Q55" s="2194"/>
      <c r="R55" s="2195"/>
      <c r="S55" s="2195"/>
      <c r="T55" s="2195"/>
      <c r="U55" s="2195"/>
      <c r="V55" s="2195"/>
      <c r="W55" s="2194"/>
      <c r="X55" s="2194"/>
      <c r="Y55" s="2194"/>
      <c r="Z55" s="2194"/>
      <c r="AA55" s="2194"/>
      <c r="AB55" s="2194"/>
      <c r="AC55" s="2194"/>
      <c r="AD55" s="2195"/>
      <c r="AE55" s="1402"/>
      <c r="AF55" s="1402"/>
      <c r="AG55" s="1402"/>
      <c r="AH55" s="1402"/>
      <c r="AI55" s="1402"/>
      <c r="AJ55" s="1402"/>
      <c r="AK55" s="1402"/>
      <c r="AL55" s="1402"/>
      <c r="AM55" s="1402"/>
      <c r="AN55" s="1402"/>
    </row>
    <row r="56" spans="1:40" s="1401" customFormat="1" ht="15">
      <c r="A56" s="2422" t="s">
        <v>1030</v>
      </c>
      <c r="B56" s="2423">
        <f>1+E58</f>
        <v>1</v>
      </c>
      <c r="C56" s="2442"/>
      <c r="D56" s="2425"/>
      <c r="E56" s="2426"/>
      <c r="F56" s="2427"/>
      <c r="G56" s="2421"/>
      <c r="H56" s="2421"/>
      <c r="I56" s="2421"/>
      <c r="J56" s="1065"/>
      <c r="K56" s="1065"/>
      <c r="L56" s="1065"/>
      <c r="M56" s="1065"/>
      <c r="N56" s="1065"/>
      <c r="P56" s="2194"/>
      <c r="Q56" s="2194"/>
      <c r="R56" s="2195"/>
      <c r="S56" s="2195"/>
      <c r="T56" s="2195"/>
      <c r="U56" s="2195"/>
      <c r="V56" s="2195"/>
      <c r="W56" s="2194"/>
      <c r="X56" s="2194"/>
      <c r="Y56" s="2194"/>
      <c r="Z56" s="2194"/>
      <c r="AA56" s="2194"/>
      <c r="AB56" s="2194"/>
      <c r="AC56" s="2194"/>
      <c r="AD56" s="2195"/>
      <c r="AE56" s="1402"/>
      <c r="AF56" s="1402"/>
      <c r="AG56" s="1402"/>
      <c r="AH56" s="1402"/>
      <c r="AI56" s="1402"/>
      <c r="AJ56" s="1402"/>
      <c r="AK56" s="1402"/>
      <c r="AL56" s="1402"/>
      <c r="AM56" s="1402"/>
      <c r="AN56" s="1402"/>
    </row>
    <row r="57" spans="1:40" s="1401" customFormat="1" ht="24">
      <c r="A57" s="1066" t="s">
        <v>1009</v>
      </c>
      <c r="B57" s="2406"/>
      <c r="C57" s="2428" t="s">
        <v>1011</v>
      </c>
      <c r="D57" s="2429" t="s">
        <v>1012</v>
      </c>
      <c r="E57" s="2430" t="s">
        <v>1014</v>
      </c>
      <c r="F57" s="2431" t="s">
        <v>2251</v>
      </c>
      <c r="G57" s="2429" t="s">
        <v>1015</v>
      </c>
      <c r="H57" s="2412" t="s">
        <v>2416</v>
      </c>
      <c r="I57" s="2429" t="s">
        <v>1013</v>
      </c>
      <c r="J57" s="2432" t="s">
        <v>1016</v>
      </c>
      <c r="K57" s="2432" t="s">
        <v>1017</v>
      </c>
      <c r="L57" s="2432" t="s">
        <v>1018</v>
      </c>
      <c r="M57" s="2432" t="s">
        <v>1019</v>
      </c>
      <c r="N57" s="2432" t="s">
        <v>1020</v>
      </c>
      <c r="P57" s="2194"/>
      <c r="Q57" s="2194"/>
      <c r="R57" s="2195"/>
      <c r="S57" s="2195"/>
      <c r="T57" s="2195"/>
      <c r="U57" s="2195"/>
      <c r="V57" s="2195"/>
      <c r="W57" s="2194"/>
      <c r="X57" s="2194"/>
      <c r="Y57" s="2194"/>
      <c r="Z57" s="2194"/>
      <c r="AA57" s="2194"/>
      <c r="AB57" s="2194"/>
      <c r="AC57" s="2194"/>
      <c r="AD57" s="2195"/>
      <c r="AE57" s="1402"/>
      <c r="AF57" s="1402"/>
      <c r="AG57" s="1402"/>
      <c r="AH57" s="1402"/>
      <c r="AI57" s="1402"/>
      <c r="AJ57" s="1402"/>
      <c r="AK57" s="1402"/>
      <c r="AL57" s="1402"/>
      <c r="AM57" s="1402"/>
      <c r="AN57" s="1402"/>
    </row>
    <row r="58" spans="1:40" s="1401" customFormat="1" ht="24">
      <c r="A58" s="1066" t="s">
        <v>1031</v>
      </c>
      <c r="B58" s="2409">
        <f>估价对象房地状况!C17</f>
        <v>0</v>
      </c>
      <c r="C58" s="1049"/>
      <c r="D58" s="2415">
        <f t="shared" ref="D58:D66" si="14">SUMIF($J$57:$N$57,C58,J58:N58)</f>
        <v>0</v>
      </c>
      <c r="E58" s="2434">
        <f>ROUND(SUM(D58:D66),4)</f>
        <v>0</v>
      </c>
      <c r="F58" s="2435" t="str">
        <f>IF(E2="办公",SUMIF(L1:L12,G2,N1:N12),"——")</f>
        <v>——</v>
      </c>
      <c r="G58" s="2413"/>
      <c r="H58" s="2459" t="str">
        <f>IFERROR(ROUNDDOWN($F$58*I58/2,4),"——")</f>
        <v>——</v>
      </c>
      <c r="I58" s="2433">
        <v>0.24</v>
      </c>
      <c r="J58" s="2436">
        <f t="shared" ref="J58:J66" si="15">K58+$G58</f>
        <v>0</v>
      </c>
      <c r="K58" s="2436">
        <f t="shared" ref="K58:K66" si="16">$L58+$G58</f>
        <v>0</v>
      </c>
      <c r="L58" s="2436">
        <v>0</v>
      </c>
      <c r="M58" s="2436">
        <f t="shared" ref="M58:N66" si="17">L58-$G58</f>
        <v>0</v>
      </c>
      <c r="N58" s="2436">
        <f t="shared" si="17"/>
        <v>0</v>
      </c>
      <c r="P58" s="2194"/>
      <c r="Q58" s="2194"/>
      <c r="R58" s="2195"/>
      <c r="S58" s="2195"/>
      <c r="T58" s="2195"/>
      <c r="U58" s="2195"/>
      <c r="V58" s="2195"/>
      <c r="W58" s="2194"/>
      <c r="X58" s="2194"/>
      <c r="Y58" s="2194"/>
      <c r="Z58" s="2194"/>
      <c r="AA58" s="2194"/>
      <c r="AB58" s="2194"/>
      <c r="AC58" s="2194"/>
      <c r="AD58" s="2195"/>
      <c r="AE58" s="1402"/>
      <c r="AF58" s="1402"/>
      <c r="AG58" s="1402"/>
      <c r="AH58" s="1402"/>
      <c r="AI58" s="1402"/>
      <c r="AJ58" s="1402"/>
      <c r="AK58" s="1402"/>
      <c r="AL58" s="1402"/>
      <c r="AM58" s="1402"/>
      <c r="AN58" s="1402"/>
    </row>
    <row r="59" spans="1:40" s="1401" customFormat="1" ht="14.25">
      <c r="A59" s="1066" t="s">
        <v>1022</v>
      </c>
      <c r="B59" s="2406" t="str">
        <f>估价对象房地状况!C18</f>
        <v>一般</v>
      </c>
      <c r="C59" s="1049"/>
      <c r="D59" s="2415">
        <f t="shared" si="14"/>
        <v>0</v>
      </c>
      <c r="E59" s="2437"/>
      <c r="F59" s="2435"/>
      <c r="G59" s="2413"/>
      <c r="H59" s="2414" t="str">
        <f t="shared" ref="H59:H66" si="18">IFERROR($F$58*I59/2,"——")</f>
        <v>——</v>
      </c>
      <c r="I59" s="2433">
        <v>0.3</v>
      </c>
      <c r="J59" s="2436">
        <f t="shared" si="15"/>
        <v>0</v>
      </c>
      <c r="K59" s="2436">
        <f t="shared" si="16"/>
        <v>0</v>
      </c>
      <c r="L59" s="2436">
        <v>0</v>
      </c>
      <c r="M59" s="2436">
        <f t="shared" si="17"/>
        <v>0</v>
      </c>
      <c r="N59" s="2436">
        <f t="shared" si="17"/>
        <v>0</v>
      </c>
      <c r="P59" s="2194"/>
      <c r="Q59" s="2194"/>
      <c r="R59" s="2195"/>
      <c r="S59" s="2195"/>
      <c r="T59" s="2195"/>
      <c r="U59" s="2195"/>
      <c r="V59" s="2195"/>
      <c r="W59" s="2194"/>
      <c r="X59" s="2194"/>
      <c r="Y59" s="2194"/>
      <c r="Z59" s="2194"/>
      <c r="AA59" s="2194"/>
      <c r="AB59" s="2194"/>
      <c r="AC59" s="2194"/>
      <c r="AD59" s="2195"/>
      <c r="AE59" s="1402"/>
      <c r="AF59" s="1402"/>
      <c r="AG59" s="1402"/>
      <c r="AH59" s="1402"/>
      <c r="AI59" s="1402"/>
      <c r="AJ59" s="1402"/>
      <c r="AK59" s="1402"/>
      <c r="AL59" s="1402"/>
      <c r="AM59" s="1402"/>
      <c r="AN59" s="1402"/>
    </row>
    <row r="60" spans="1:40" s="1401" customFormat="1" ht="24">
      <c r="A60" s="1066" t="s">
        <v>1023</v>
      </c>
      <c r="B60" s="2406" t="str">
        <f>估价对象房地状况!C19</f>
        <v>较好</v>
      </c>
      <c r="C60" s="1049"/>
      <c r="D60" s="2415">
        <f t="shared" si="14"/>
        <v>0</v>
      </c>
      <c r="E60" s="2437"/>
      <c r="F60" s="2435"/>
      <c r="G60" s="2413"/>
      <c r="H60" s="2414" t="str">
        <f t="shared" si="18"/>
        <v>——</v>
      </c>
      <c r="I60" s="2433">
        <v>0.08</v>
      </c>
      <c r="J60" s="2436">
        <f t="shared" si="15"/>
        <v>0</v>
      </c>
      <c r="K60" s="2436">
        <f t="shared" si="16"/>
        <v>0</v>
      </c>
      <c r="L60" s="2436">
        <v>0</v>
      </c>
      <c r="M60" s="2436">
        <f t="shared" si="17"/>
        <v>0</v>
      </c>
      <c r="N60" s="2436">
        <f t="shared" si="17"/>
        <v>0</v>
      </c>
      <c r="P60" s="2194"/>
      <c r="Q60" s="2194"/>
      <c r="R60" s="2195"/>
      <c r="S60" s="2195"/>
      <c r="T60" s="2195"/>
      <c r="U60" s="2195"/>
      <c r="V60" s="2195"/>
      <c r="W60" s="2194"/>
      <c r="X60" s="2194"/>
      <c r="Y60" s="2194"/>
      <c r="Z60" s="2194"/>
      <c r="AA60" s="2194"/>
      <c r="AB60" s="2194"/>
      <c r="AC60" s="2194"/>
      <c r="AD60" s="2195"/>
      <c r="AE60" s="1402"/>
      <c r="AF60" s="1402"/>
      <c r="AG60" s="1402"/>
      <c r="AH60" s="1402"/>
      <c r="AI60" s="1402"/>
      <c r="AJ60" s="1402"/>
      <c r="AK60" s="1402"/>
      <c r="AL60" s="1402"/>
      <c r="AM60" s="1402"/>
      <c r="AN60" s="1402"/>
    </row>
    <row r="61" spans="1:40" s="1401" customFormat="1" ht="36">
      <c r="A61" s="1066" t="s">
        <v>1024</v>
      </c>
      <c r="B61" s="3092" t="s">
        <v>2926</v>
      </c>
      <c r="C61" s="1049"/>
      <c r="D61" s="2415">
        <f t="shared" si="14"/>
        <v>0</v>
      </c>
      <c r="E61" s="2437"/>
      <c r="F61" s="2435"/>
      <c r="G61" s="2413"/>
      <c r="H61" s="2414" t="str">
        <f t="shared" si="18"/>
        <v>——</v>
      </c>
      <c r="I61" s="2433">
        <v>0.04</v>
      </c>
      <c r="J61" s="2436">
        <f t="shared" si="15"/>
        <v>0</v>
      </c>
      <c r="K61" s="2436">
        <f t="shared" si="16"/>
        <v>0</v>
      </c>
      <c r="L61" s="2436">
        <v>0</v>
      </c>
      <c r="M61" s="2436">
        <f t="shared" si="17"/>
        <v>0</v>
      </c>
      <c r="N61" s="2436">
        <f t="shared" si="17"/>
        <v>0</v>
      </c>
      <c r="P61" s="2194"/>
      <c r="Q61" s="2194"/>
      <c r="R61" s="2195"/>
      <c r="S61" s="2195"/>
      <c r="T61" s="2195"/>
      <c r="U61" s="2195"/>
      <c r="V61" s="2195"/>
      <c r="W61" s="2194"/>
      <c r="X61" s="2194"/>
      <c r="Y61" s="2194"/>
      <c r="Z61" s="2194"/>
      <c r="AA61" s="2194"/>
      <c r="AB61" s="2194"/>
      <c r="AC61" s="2194"/>
      <c r="AD61" s="2195"/>
      <c r="AE61" s="1402"/>
      <c r="AF61" s="1402"/>
      <c r="AG61" s="1402"/>
      <c r="AH61" s="1402"/>
      <c r="AI61" s="1402"/>
      <c r="AJ61" s="1402"/>
      <c r="AK61" s="1402"/>
      <c r="AL61" s="1402"/>
      <c r="AM61" s="1402"/>
      <c r="AN61" s="1402"/>
    </row>
    <row r="62" spans="1:40" s="1401" customFormat="1" ht="24">
      <c r="A62" s="1066" t="s">
        <v>1025</v>
      </c>
      <c r="B62" s="2406" t="str">
        <f>估价对象房地状况!C24</f>
        <v>次干道</v>
      </c>
      <c r="C62" s="1049"/>
      <c r="D62" s="2415">
        <f t="shared" si="14"/>
        <v>0</v>
      </c>
      <c r="E62" s="2437"/>
      <c r="F62" s="2435"/>
      <c r="G62" s="2413"/>
      <c r="H62" s="2414" t="str">
        <f t="shared" si="18"/>
        <v>——</v>
      </c>
      <c r="I62" s="2433">
        <v>0.05</v>
      </c>
      <c r="J62" s="2436">
        <f t="shared" si="15"/>
        <v>0</v>
      </c>
      <c r="K62" s="2436">
        <f t="shared" si="16"/>
        <v>0</v>
      </c>
      <c r="L62" s="2436">
        <v>0</v>
      </c>
      <c r="M62" s="2436">
        <f t="shared" si="17"/>
        <v>0</v>
      </c>
      <c r="N62" s="2436">
        <f t="shared" si="17"/>
        <v>0</v>
      </c>
      <c r="P62" s="2194"/>
      <c r="Q62" s="2194"/>
      <c r="R62" s="2195"/>
      <c r="S62" s="2195"/>
      <c r="T62" s="2195"/>
      <c r="U62" s="2195"/>
      <c r="V62" s="2195"/>
      <c r="W62" s="2194"/>
      <c r="X62" s="2194"/>
      <c r="Y62" s="2194"/>
      <c r="Z62" s="2194"/>
      <c r="AA62" s="2194"/>
      <c r="AB62" s="2194"/>
      <c r="AC62" s="2194"/>
      <c r="AD62" s="2195"/>
      <c r="AE62" s="1402"/>
      <c r="AF62" s="1402"/>
      <c r="AG62" s="1402"/>
      <c r="AH62" s="1402"/>
      <c r="AI62" s="1402"/>
      <c r="AJ62" s="1402"/>
      <c r="AK62" s="1402"/>
      <c r="AL62" s="1402"/>
      <c r="AM62" s="1402"/>
      <c r="AN62" s="1402"/>
    </row>
    <row r="63" spans="1:40" s="1401" customFormat="1" ht="24">
      <c r="A63" s="1066" t="s">
        <v>1026</v>
      </c>
      <c r="B63" s="3091" t="s">
        <v>2924</v>
      </c>
      <c r="C63" s="1049"/>
      <c r="D63" s="2415">
        <f t="shared" si="14"/>
        <v>0</v>
      </c>
      <c r="E63" s="2437"/>
      <c r="F63" s="2435"/>
      <c r="G63" s="2413"/>
      <c r="H63" s="2414" t="str">
        <f t="shared" si="18"/>
        <v>——</v>
      </c>
      <c r="I63" s="2433">
        <v>0.05</v>
      </c>
      <c r="J63" s="2436">
        <f t="shared" si="15"/>
        <v>0</v>
      </c>
      <c r="K63" s="2436">
        <f t="shared" si="16"/>
        <v>0</v>
      </c>
      <c r="L63" s="2436">
        <v>0</v>
      </c>
      <c r="M63" s="2436">
        <f t="shared" si="17"/>
        <v>0</v>
      </c>
      <c r="N63" s="2436">
        <f t="shared" si="17"/>
        <v>0</v>
      </c>
      <c r="P63" s="2194"/>
      <c r="Q63" s="2194"/>
      <c r="R63" s="2195"/>
      <c r="S63" s="2195"/>
      <c r="T63" s="2195"/>
      <c r="U63" s="2195"/>
      <c r="V63" s="2195"/>
      <c r="W63" s="2194"/>
      <c r="X63" s="2194"/>
      <c r="Y63" s="2194"/>
      <c r="Z63" s="2194"/>
      <c r="AA63" s="2194"/>
      <c r="AB63" s="2194"/>
      <c r="AC63" s="2194"/>
      <c r="AD63" s="2195"/>
      <c r="AE63" s="1402"/>
      <c r="AF63" s="1402"/>
      <c r="AG63" s="1402"/>
      <c r="AH63" s="1402"/>
      <c r="AI63" s="1402"/>
      <c r="AJ63" s="1402"/>
      <c r="AK63" s="1402"/>
      <c r="AL63" s="1402"/>
      <c r="AM63" s="1402"/>
      <c r="AN63" s="1402"/>
    </row>
    <row r="64" spans="1:40" s="1401" customFormat="1" ht="24">
      <c r="A64" s="1066" t="s">
        <v>1027</v>
      </c>
      <c r="B64" s="2407" t="str">
        <f>估价对象房地状况!C21</f>
        <v>一般</v>
      </c>
      <c r="C64" s="1049"/>
      <c r="D64" s="2415">
        <f t="shared" si="14"/>
        <v>0</v>
      </c>
      <c r="E64" s="2437"/>
      <c r="F64" s="2435"/>
      <c r="G64" s="2413"/>
      <c r="H64" s="2414" t="str">
        <f t="shared" si="18"/>
        <v>——</v>
      </c>
      <c r="I64" s="2433">
        <v>0.06</v>
      </c>
      <c r="J64" s="2436">
        <f t="shared" si="15"/>
        <v>0</v>
      </c>
      <c r="K64" s="2436">
        <f t="shared" si="16"/>
        <v>0</v>
      </c>
      <c r="L64" s="2436">
        <v>0</v>
      </c>
      <c r="M64" s="2436">
        <f t="shared" si="17"/>
        <v>0</v>
      </c>
      <c r="N64" s="2436">
        <f t="shared" si="17"/>
        <v>0</v>
      </c>
      <c r="P64" s="2194"/>
      <c r="Q64" s="2194"/>
      <c r="R64" s="2195"/>
      <c r="S64" s="2195"/>
      <c r="T64" s="2195"/>
      <c r="U64" s="2195"/>
      <c r="V64" s="2195"/>
      <c r="W64" s="2194"/>
      <c r="X64" s="2194"/>
      <c r="Y64" s="2194"/>
      <c r="Z64" s="2194"/>
      <c r="AA64" s="2194"/>
      <c r="AB64" s="2194"/>
      <c r="AC64" s="2194"/>
      <c r="AD64" s="2195"/>
      <c r="AE64" s="1402"/>
      <c r="AF64" s="1402"/>
      <c r="AG64" s="1402"/>
      <c r="AH64" s="1402"/>
      <c r="AI64" s="1402"/>
      <c r="AJ64" s="1402"/>
      <c r="AK64" s="1402"/>
      <c r="AL64" s="1402"/>
      <c r="AM64" s="1402"/>
      <c r="AN64" s="1402"/>
    </row>
    <row r="65" spans="1:40" s="1401" customFormat="1" ht="24">
      <c r="A65" s="1066" t="s">
        <v>1028</v>
      </c>
      <c r="B65" s="2407" t="str">
        <f>估价对象房地状况!C22</f>
        <v>七通</v>
      </c>
      <c r="C65" s="1049"/>
      <c r="D65" s="2415">
        <f t="shared" si="14"/>
        <v>0</v>
      </c>
      <c r="E65" s="2437"/>
      <c r="F65" s="2435"/>
      <c r="G65" s="2413"/>
      <c r="H65" s="2414" t="str">
        <f t="shared" si="18"/>
        <v>——</v>
      </c>
      <c r="I65" s="2433">
        <v>0.12</v>
      </c>
      <c r="J65" s="2436">
        <f t="shared" si="15"/>
        <v>0</v>
      </c>
      <c r="K65" s="2436">
        <f t="shared" si="16"/>
        <v>0</v>
      </c>
      <c r="L65" s="2436">
        <v>0</v>
      </c>
      <c r="M65" s="2436">
        <f t="shared" si="17"/>
        <v>0</v>
      </c>
      <c r="N65" s="2436">
        <f t="shared" si="17"/>
        <v>0</v>
      </c>
      <c r="P65" s="2194"/>
      <c r="Q65" s="2194"/>
      <c r="R65" s="2195"/>
      <c r="S65" s="2195"/>
      <c r="T65" s="2195"/>
      <c r="U65" s="2195"/>
      <c r="V65" s="2195"/>
      <c r="W65" s="2194"/>
      <c r="X65" s="2194"/>
      <c r="Y65" s="2194"/>
      <c r="Z65" s="2194"/>
      <c r="AA65" s="2194"/>
      <c r="AB65" s="2194"/>
      <c r="AC65" s="2194"/>
      <c r="AD65" s="2195"/>
      <c r="AE65" s="1402"/>
      <c r="AF65" s="1402"/>
      <c r="AG65" s="1402"/>
      <c r="AH65" s="1402"/>
      <c r="AI65" s="1402"/>
      <c r="AJ65" s="1402"/>
      <c r="AK65" s="1402"/>
      <c r="AL65" s="1402"/>
      <c r="AM65" s="1402"/>
      <c r="AN65" s="1402"/>
    </row>
    <row r="66" spans="1:40" s="1401" customFormat="1" ht="24.75" thickBot="1">
      <c r="A66" s="2439" t="s">
        <v>1029</v>
      </c>
      <c r="B66" s="2411" t="str">
        <f>估价对象房地状况!C20</f>
        <v>一般</v>
      </c>
      <c r="C66" s="1049"/>
      <c r="D66" s="2415">
        <f t="shared" si="14"/>
        <v>0</v>
      </c>
      <c r="E66" s="2441"/>
      <c r="F66" s="2435"/>
      <c r="G66" s="2413"/>
      <c r="H66" s="2414" t="str">
        <f t="shared" si="18"/>
        <v>——</v>
      </c>
      <c r="I66" s="2440">
        <v>0.06</v>
      </c>
      <c r="J66" s="2436">
        <f t="shared" si="15"/>
        <v>0</v>
      </c>
      <c r="K66" s="2436">
        <f t="shared" si="16"/>
        <v>0</v>
      </c>
      <c r="L66" s="2436">
        <v>0</v>
      </c>
      <c r="M66" s="2436">
        <f t="shared" si="17"/>
        <v>0</v>
      </c>
      <c r="N66" s="2436">
        <f t="shared" si="17"/>
        <v>0</v>
      </c>
      <c r="P66" s="2194"/>
      <c r="Q66" s="2194"/>
      <c r="R66" s="2195"/>
      <c r="S66" s="2195"/>
      <c r="T66" s="2195"/>
      <c r="U66" s="2195"/>
      <c r="V66" s="2195"/>
      <c r="W66" s="2194"/>
      <c r="X66" s="2194"/>
      <c r="Y66" s="2194"/>
      <c r="Z66" s="2194"/>
      <c r="AA66" s="2194"/>
      <c r="AB66" s="2194"/>
      <c r="AC66" s="2194"/>
      <c r="AD66" s="2195"/>
      <c r="AE66" s="1402"/>
      <c r="AF66" s="1402"/>
      <c r="AG66" s="1402"/>
      <c r="AH66" s="1402"/>
      <c r="AI66" s="1402"/>
      <c r="AJ66" s="1402"/>
      <c r="AK66" s="1402"/>
      <c r="AL66" s="1402"/>
      <c r="AM66" s="1402"/>
      <c r="AN66" s="1402"/>
    </row>
    <row r="67" spans="1:40" s="1401" customFormat="1" ht="15">
      <c r="A67" s="2422" t="s">
        <v>1032</v>
      </c>
      <c r="B67" s="2423">
        <f>1+E69</f>
        <v>1</v>
      </c>
      <c r="C67" s="2442"/>
      <c r="D67" s="2425"/>
      <c r="E67" s="2426"/>
      <c r="F67" s="2427"/>
      <c r="G67" s="2421"/>
      <c r="H67" s="2421"/>
      <c r="I67" s="2421"/>
      <c r="J67" s="1065"/>
      <c r="K67" s="1065"/>
      <c r="L67" s="1065"/>
      <c r="M67" s="1065"/>
      <c r="N67" s="1065"/>
      <c r="P67" s="2194"/>
      <c r="Q67" s="2194"/>
      <c r="R67" s="2195"/>
      <c r="S67" s="2195"/>
      <c r="T67" s="2195"/>
      <c r="U67" s="2195"/>
      <c r="V67" s="2195"/>
      <c r="W67" s="2194"/>
      <c r="X67" s="2194"/>
      <c r="Y67" s="2194"/>
      <c r="Z67" s="2194"/>
      <c r="AA67" s="2194"/>
      <c r="AB67" s="2194"/>
      <c r="AC67" s="2194"/>
      <c r="AD67" s="2195"/>
      <c r="AE67" s="1402"/>
      <c r="AF67" s="1402"/>
      <c r="AG67" s="1402"/>
      <c r="AH67" s="1402"/>
      <c r="AI67" s="1402"/>
      <c r="AJ67" s="1402"/>
      <c r="AK67" s="1402"/>
      <c r="AL67" s="1402"/>
      <c r="AM67" s="1402"/>
      <c r="AN67" s="1402"/>
    </row>
    <row r="68" spans="1:40" s="1401" customFormat="1" ht="24">
      <c r="A68" s="1066" t="s">
        <v>1009</v>
      </c>
      <c r="B68" s="2406"/>
      <c r="C68" s="2428" t="s">
        <v>1011</v>
      </c>
      <c r="D68" s="2429" t="s">
        <v>1012</v>
      </c>
      <c r="E68" s="2430" t="s">
        <v>1014</v>
      </c>
      <c r="F68" s="2431" t="s">
        <v>2252</v>
      </c>
      <c r="G68" s="2429" t="s">
        <v>1015</v>
      </c>
      <c r="H68" s="2412" t="s">
        <v>2416</v>
      </c>
      <c r="I68" s="2429" t="s">
        <v>1013</v>
      </c>
      <c r="J68" s="2432" t="s">
        <v>1016</v>
      </c>
      <c r="K68" s="2432" t="s">
        <v>1017</v>
      </c>
      <c r="L68" s="2432" t="s">
        <v>1018</v>
      </c>
      <c r="M68" s="2432" t="s">
        <v>1019</v>
      </c>
      <c r="N68" s="2432" t="s">
        <v>1020</v>
      </c>
      <c r="P68" s="2194"/>
      <c r="Q68" s="2194"/>
      <c r="R68" s="2195"/>
      <c r="S68" s="2195"/>
      <c r="T68" s="2195"/>
      <c r="U68" s="2195"/>
      <c r="V68" s="2195"/>
      <c r="W68" s="2194"/>
      <c r="X68" s="2194"/>
      <c r="Y68" s="2194"/>
      <c r="Z68" s="2194"/>
      <c r="AA68" s="2194"/>
      <c r="AB68" s="2194"/>
      <c r="AC68" s="2194"/>
      <c r="AD68" s="2195"/>
      <c r="AE68" s="1402"/>
      <c r="AF68" s="1402"/>
      <c r="AG68" s="1402"/>
      <c r="AH68" s="1402"/>
      <c r="AI68" s="1402"/>
      <c r="AJ68" s="1402"/>
      <c r="AK68" s="1402"/>
      <c r="AL68" s="1402"/>
      <c r="AM68" s="1402"/>
      <c r="AN68" s="1402"/>
    </row>
    <row r="69" spans="1:40" s="1401" customFormat="1" ht="24">
      <c r="A69" s="1066" t="s">
        <v>1033</v>
      </c>
      <c r="B69" s="2409" t="str">
        <f>估价对象房地状况!C15</f>
        <v>一般</v>
      </c>
      <c r="C69" s="1158"/>
      <c r="D69" s="2415">
        <f t="shared" ref="D69:D77" si="19">SUMIF($J$68:$N$68,C69,J69:N69)</f>
        <v>0</v>
      </c>
      <c r="E69" s="2434">
        <f>ROUND(SUM(D69:D77),4)</f>
        <v>0</v>
      </c>
      <c r="F69" s="2435" t="str">
        <f>IF(E2="住宅",SUMIF(L1:L12,G2,N1:N12),"——")</f>
        <v>——</v>
      </c>
      <c r="G69" s="2416"/>
      <c r="H69" s="2460" t="str">
        <f t="shared" ref="H69:H77" si="20">IFERROR(ROUNDDOWN($F$69*I69/2,4),"——")</f>
        <v>——</v>
      </c>
      <c r="I69" s="2433">
        <v>0.14000000000000001</v>
      </c>
      <c r="J69" s="2436">
        <f t="shared" ref="J69:J77" si="21">K69+$G69</f>
        <v>0</v>
      </c>
      <c r="K69" s="2436">
        <f t="shared" ref="K69:K77" si="22">$L69+$G69</f>
        <v>0</v>
      </c>
      <c r="L69" s="2436">
        <v>0</v>
      </c>
      <c r="M69" s="2436">
        <f t="shared" ref="M69:N77" si="23">L69-$G69</f>
        <v>0</v>
      </c>
      <c r="N69" s="2436">
        <f t="shared" si="23"/>
        <v>0</v>
      </c>
      <c r="P69" s="2194"/>
      <c r="Q69" s="2194"/>
      <c r="R69" s="2195"/>
      <c r="S69" s="2195"/>
      <c r="T69" s="2195"/>
      <c r="U69" s="2195"/>
      <c r="V69" s="2195"/>
      <c r="W69" s="2194"/>
      <c r="X69" s="2194"/>
      <c r="Y69" s="2194"/>
      <c r="Z69" s="2194"/>
      <c r="AA69" s="2194"/>
      <c r="AB69" s="2194"/>
      <c r="AC69" s="2194"/>
      <c r="AD69" s="2195"/>
      <c r="AE69" s="1402"/>
      <c r="AF69" s="1402"/>
      <c r="AG69" s="1402"/>
      <c r="AH69" s="1402"/>
      <c r="AI69" s="1402"/>
      <c r="AJ69" s="1402"/>
      <c r="AK69" s="1402"/>
      <c r="AL69" s="1402"/>
      <c r="AM69" s="1402"/>
      <c r="AN69" s="1402"/>
    </row>
    <row r="70" spans="1:40" s="1401" customFormat="1" ht="14.25">
      <c r="A70" s="1066" t="s">
        <v>1034</v>
      </c>
      <c r="B70" s="2406" t="str">
        <f>估价对象房地状况!C18</f>
        <v>一般</v>
      </c>
      <c r="C70" s="1158"/>
      <c r="D70" s="2415">
        <f t="shared" si="19"/>
        <v>0</v>
      </c>
      <c r="E70" s="2443"/>
      <c r="F70" s="2444"/>
      <c r="G70" s="2416"/>
      <c r="H70" s="2460" t="str">
        <f t="shared" si="20"/>
        <v>——</v>
      </c>
      <c r="I70" s="2433">
        <v>0.3</v>
      </c>
      <c r="J70" s="2436">
        <f t="shared" si="21"/>
        <v>0</v>
      </c>
      <c r="K70" s="2436">
        <f t="shared" si="22"/>
        <v>0</v>
      </c>
      <c r="L70" s="2436">
        <v>0</v>
      </c>
      <c r="M70" s="2436">
        <f t="shared" si="23"/>
        <v>0</v>
      </c>
      <c r="N70" s="2436">
        <f t="shared" si="23"/>
        <v>0</v>
      </c>
      <c r="P70" s="2194"/>
      <c r="Q70" s="2194"/>
      <c r="R70" s="2195"/>
      <c r="S70" s="2195"/>
      <c r="T70" s="2195"/>
      <c r="U70" s="2195"/>
      <c r="V70" s="2195"/>
      <c r="W70" s="2194"/>
      <c r="X70" s="2194"/>
      <c r="Y70" s="2194"/>
      <c r="Z70" s="2194"/>
      <c r="AA70" s="2194"/>
      <c r="AB70" s="2194"/>
      <c r="AC70" s="2194"/>
      <c r="AD70" s="2195"/>
      <c r="AE70" s="1402"/>
      <c r="AF70" s="1402"/>
      <c r="AG70" s="1402"/>
      <c r="AH70" s="1402"/>
      <c r="AI70" s="1402"/>
      <c r="AJ70" s="1402"/>
      <c r="AK70" s="1402"/>
      <c r="AL70" s="1402"/>
      <c r="AM70" s="1402"/>
      <c r="AN70" s="1402"/>
    </row>
    <row r="71" spans="1:40" s="1401" customFormat="1" ht="24">
      <c r="A71" s="1066" t="s">
        <v>1023</v>
      </c>
      <c r="B71" s="2406" t="str">
        <f>估价对象房地状况!C19</f>
        <v>较好</v>
      </c>
      <c r="C71" s="1158"/>
      <c r="D71" s="2415">
        <f t="shared" si="19"/>
        <v>0</v>
      </c>
      <c r="E71" s="2443"/>
      <c r="F71" s="2444"/>
      <c r="G71" s="2416"/>
      <c r="H71" s="2460" t="str">
        <f t="shared" si="20"/>
        <v>——</v>
      </c>
      <c r="I71" s="2433">
        <v>0.08</v>
      </c>
      <c r="J71" s="2436">
        <f t="shared" si="21"/>
        <v>0</v>
      </c>
      <c r="K71" s="2436">
        <f t="shared" si="22"/>
        <v>0</v>
      </c>
      <c r="L71" s="2436">
        <v>0</v>
      </c>
      <c r="M71" s="2436">
        <f t="shared" si="23"/>
        <v>0</v>
      </c>
      <c r="N71" s="2436">
        <f t="shared" si="23"/>
        <v>0</v>
      </c>
      <c r="P71" s="2194"/>
      <c r="Q71" s="2194"/>
      <c r="R71" s="2195"/>
      <c r="S71" s="2195"/>
      <c r="T71" s="2195"/>
      <c r="U71" s="2195"/>
      <c r="V71" s="2195"/>
      <c r="W71" s="2194"/>
      <c r="X71" s="2194"/>
      <c r="Y71" s="2194"/>
      <c r="Z71" s="2194"/>
      <c r="AA71" s="2194"/>
      <c r="AB71" s="2194"/>
      <c r="AC71" s="2194"/>
      <c r="AD71" s="2195"/>
      <c r="AE71" s="1402"/>
      <c r="AF71" s="1402"/>
      <c r="AG71" s="1402"/>
      <c r="AH71" s="1402"/>
      <c r="AI71" s="1402"/>
      <c r="AJ71" s="1402"/>
      <c r="AK71" s="1402"/>
      <c r="AL71" s="1402"/>
      <c r="AM71" s="1402"/>
      <c r="AN71" s="1402"/>
    </row>
    <row r="72" spans="1:40" s="1401" customFormat="1" ht="14.25">
      <c r="A72" s="1066" t="s">
        <v>1035</v>
      </c>
      <c r="B72" s="2406" t="str">
        <f>估价对象房地状况!C24</f>
        <v>次干道</v>
      </c>
      <c r="C72" s="1158"/>
      <c r="D72" s="2415">
        <f t="shared" si="19"/>
        <v>0</v>
      </c>
      <c r="E72" s="2443"/>
      <c r="F72" s="2444"/>
      <c r="G72" s="2416"/>
      <c r="H72" s="2460" t="str">
        <f t="shared" si="20"/>
        <v>——</v>
      </c>
      <c r="I72" s="2433">
        <v>0.04</v>
      </c>
      <c r="J72" s="2436">
        <f t="shared" si="21"/>
        <v>0</v>
      </c>
      <c r="K72" s="2436">
        <f t="shared" si="22"/>
        <v>0</v>
      </c>
      <c r="L72" s="2436">
        <v>0</v>
      </c>
      <c r="M72" s="2436">
        <f t="shared" si="23"/>
        <v>0</v>
      </c>
      <c r="N72" s="2436">
        <f t="shared" si="23"/>
        <v>0</v>
      </c>
      <c r="P72" s="2194"/>
      <c r="Q72" s="2194"/>
      <c r="R72" s="2195"/>
      <c r="S72" s="2195"/>
      <c r="T72" s="2195"/>
      <c r="U72" s="2195"/>
      <c r="V72" s="2195"/>
      <c r="W72" s="2194"/>
      <c r="X72" s="2194"/>
      <c r="Y72" s="2194"/>
      <c r="Z72" s="2194"/>
      <c r="AA72" s="2194"/>
      <c r="AB72" s="2194"/>
      <c r="AC72" s="2194"/>
      <c r="AD72" s="2195"/>
      <c r="AE72" s="1402"/>
      <c r="AF72" s="1402"/>
      <c r="AG72" s="1402"/>
      <c r="AH72" s="1402"/>
      <c r="AI72" s="1402"/>
      <c r="AJ72" s="1402"/>
      <c r="AK72" s="1402"/>
      <c r="AL72" s="1402"/>
      <c r="AM72" s="1402"/>
      <c r="AN72" s="1402"/>
    </row>
    <row r="73" spans="1:40" s="1401" customFormat="1" ht="24">
      <c r="A73" s="1066" t="s">
        <v>1027</v>
      </c>
      <c r="B73" s="2407" t="str">
        <f>估价对象房地状况!C21</f>
        <v>一般</v>
      </c>
      <c r="C73" s="1158"/>
      <c r="D73" s="2415">
        <f t="shared" si="19"/>
        <v>0</v>
      </c>
      <c r="E73" s="2443"/>
      <c r="F73" s="2444"/>
      <c r="G73" s="2416"/>
      <c r="H73" s="2460" t="str">
        <f t="shared" si="20"/>
        <v>——</v>
      </c>
      <c r="I73" s="2433">
        <v>0.08</v>
      </c>
      <c r="J73" s="2436">
        <f t="shared" si="21"/>
        <v>0</v>
      </c>
      <c r="K73" s="2436">
        <f t="shared" si="22"/>
        <v>0</v>
      </c>
      <c r="L73" s="2436">
        <v>0</v>
      </c>
      <c r="M73" s="2436">
        <f t="shared" si="23"/>
        <v>0</v>
      </c>
      <c r="N73" s="2436">
        <f t="shared" si="23"/>
        <v>0</v>
      </c>
      <c r="P73" s="2194"/>
      <c r="Q73" s="2194"/>
      <c r="R73" s="2195"/>
      <c r="S73" s="2195"/>
      <c r="T73" s="2195"/>
      <c r="U73" s="2195"/>
      <c r="V73" s="2195"/>
      <c r="W73" s="2194"/>
      <c r="X73" s="2194"/>
      <c r="Y73" s="2194"/>
      <c r="Z73" s="2194"/>
      <c r="AA73" s="2194"/>
      <c r="AB73" s="2194"/>
      <c r="AC73" s="2194"/>
      <c r="AD73" s="2195"/>
      <c r="AE73" s="1402"/>
      <c r="AF73" s="1402"/>
      <c r="AG73" s="1402"/>
      <c r="AH73" s="1402"/>
      <c r="AI73" s="1402"/>
      <c r="AJ73" s="1402"/>
      <c r="AK73" s="1402"/>
      <c r="AL73" s="1402"/>
      <c r="AM73" s="1402"/>
      <c r="AN73" s="1402"/>
    </row>
    <row r="74" spans="1:40" s="1401" customFormat="1" ht="24">
      <c r="A74" s="1066" t="s">
        <v>1028</v>
      </c>
      <c r="B74" s="2407" t="str">
        <f>估价对象房地状况!C22</f>
        <v>七通</v>
      </c>
      <c r="C74" s="1158"/>
      <c r="D74" s="2415">
        <f t="shared" si="19"/>
        <v>0</v>
      </c>
      <c r="E74" s="2443"/>
      <c r="F74" s="2444"/>
      <c r="G74" s="2416"/>
      <c r="H74" s="2460" t="str">
        <f t="shared" si="20"/>
        <v>——</v>
      </c>
      <c r="I74" s="2433">
        <v>0.12</v>
      </c>
      <c r="J74" s="2436">
        <f t="shared" si="21"/>
        <v>0</v>
      </c>
      <c r="K74" s="2436">
        <f t="shared" si="22"/>
        <v>0</v>
      </c>
      <c r="L74" s="2436">
        <v>0</v>
      </c>
      <c r="M74" s="2436">
        <f t="shared" si="23"/>
        <v>0</v>
      </c>
      <c r="N74" s="2436">
        <f t="shared" si="23"/>
        <v>0</v>
      </c>
      <c r="P74" s="2194"/>
      <c r="Q74" s="2194"/>
      <c r="R74" s="2195"/>
      <c r="S74" s="2195"/>
      <c r="T74" s="2195"/>
      <c r="U74" s="2195"/>
      <c r="V74" s="2195"/>
      <c r="W74" s="2194"/>
      <c r="X74" s="2194"/>
      <c r="Y74" s="2194"/>
      <c r="Z74" s="2194"/>
      <c r="AA74" s="2194"/>
      <c r="AB74" s="2194"/>
      <c r="AC74" s="2194"/>
      <c r="AD74" s="2195"/>
      <c r="AE74" s="1402"/>
      <c r="AF74" s="1402"/>
      <c r="AG74" s="1402"/>
      <c r="AH74" s="1402"/>
      <c r="AI74" s="1402"/>
      <c r="AJ74" s="1402"/>
      <c r="AK74" s="1402"/>
      <c r="AL74" s="1402"/>
      <c r="AM74" s="1402"/>
      <c r="AN74" s="1402"/>
    </row>
    <row r="75" spans="1:40" s="1401" customFormat="1" ht="24">
      <c r="A75" s="1066" t="s">
        <v>1026</v>
      </c>
      <c r="B75" s="3091" t="s">
        <v>2924</v>
      </c>
      <c r="C75" s="1158"/>
      <c r="D75" s="2415">
        <f t="shared" si="19"/>
        <v>0</v>
      </c>
      <c r="E75" s="2443"/>
      <c r="F75" s="2444"/>
      <c r="G75" s="2416"/>
      <c r="H75" s="2460" t="str">
        <f t="shared" si="20"/>
        <v>——</v>
      </c>
      <c r="I75" s="2433">
        <v>0.05</v>
      </c>
      <c r="J75" s="2436">
        <f t="shared" si="21"/>
        <v>0</v>
      </c>
      <c r="K75" s="2436">
        <f t="shared" si="22"/>
        <v>0</v>
      </c>
      <c r="L75" s="2436">
        <v>0</v>
      </c>
      <c r="M75" s="2436">
        <f t="shared" si="23"/>
        <v>0</v>
      </c>
      <c r="N75" s="2436">
        <f t="shared" si="23"/>
        <v>0</v>
      </c>
      <c r="P75" s="2194"/>
      <c r="Q75" s="2194"/>
      <c r="R75" s="2195"/>
      <c r="S75" s="2195"/>
      <c r="T75" s="2195"/>
      <c r="U75" s="2195"/>
      <c r="V75" s="2195"/>
      <c r="W75" s="2194"/>
      <c r="X75" s="2194"/>
      <c r="Y75" s="2194"/>
      <c r="Z75" s="2194"/>
      <c r="AA75" s="2194"/>
      <c r="AB75" s="2194"/>
      <c r="AC75" s="2194"/>
      <c r="AD75" s="2195"/>
      <c r="AE75" s="1402"/>
      <c r="AF75" s="1402"/>
      <c r="AG75" s="1402"/>
      <c r="AH75" s="1402"/>
      <c r="AI75" s="1402"/>
      <c r="AJ75" s="1402"/>
      <c r="AK75" s="1402"/>
      <c r="AL75" s="1402"/>
      <c r="AM75" s="1402"/>
      <c r="AN75" s="1402"/>
    </row>
    <row r="76" spans="1:40" ht="24">
      <c r="A76" s="1066" t="s">
        <v>1029</v>
      </c>
      <c r="B76" s="2409" t="str">
        <f>估价对象房地状况!C20</f>
        <v>一般</v>
      </c>
      <c r="C76" s="1158"/>
      <c r="D76" s="2415">
        <f t="shared" si="19"/>
        <v>0</v>
      </c>
      <c r="E76" s="2443"/>
      <c r="F76" s="2444"/>
      <c r="G76" s="2416"/>
      <c r="H76" s="2460" t="str">
        <f t="shared" si="20"/>
        <v>——</v>
      </c>
      <c r="I76" s="2433">
        <v>0.15</v>
      </c>
      <c r="J76" s="2436">
        <f t="shared" si="21"/>
        <v>0</v>
      </c>
      <c r="K76" s="2436">
        <f t="shared" si="22"/>
        <v>0</v>
      </c>
      <c r="L76" s="2436">
        <v>0</v>
      </c>
      <c r="M76" s="2436">
        <f t="shared" si="23"/>
        <v>0</v>
      </c>
      <c r="N76" s="2436">
        <f t="shared" si="23"/>
        <v>0</v>
      </c>
      <c r="P76" s="2197"/>
      <c r="Q76" s="2197"/>
      <c r="R76" s="2198"/>
      <c r="S76" s="2198"/>
      <c r="T76" s="2198"/>
      <c r="U76" s="2198"/>
      <c r="V76" s="2198"/>
      <c r="W76" s="2197"/>
      <c r="X76" s="2197"/>
      <c r="Y76" s="2197"/>
      <c r="Z76" s="2197"/>
      <c r="AA76" s="2197"/>
      <c r="AB76" s="2197"/>
      <c r="AC76" s="2197"/>
      <c r="AD76" s="2198"/>
      <c r="AJ76" s="1402"/>
      <c r="AN76" s="1403"/>
    </row>
    <row r="77" spans="1:40" ht="24.75" thickBot="1">
      <c r="A77" s="2439" t="s">
        <v>1036</v>
      </c>
      <c r="B77" s="1848"/>
      <c r="C77" s="1158"/>
      <c r="D77" s="2415">
        <f t="shared" si="19"/>
        <v>0</v>
      </c>
      <c r="E77" s="2445"/>
      <c r="F77" s="2444"/>
      <c r="G77" s="2416"/>
      <c r="H77" s="2460" t="str">
        <f t="shared" si="20"/>
        <v>——</v>
      </c>
      <c r="I77" s="2440">
        <v>0.04</v>
      </c>
      <c r="J77" s="2436">
        <f t="shared" si="21"/>
        <v>0</v>
      </c>
      <c r="K77" s="2436">
        <f t="shared" si="22"/>
        <v>0</v>
      </c>
      <c r="L77" s="2436">
        <v>0</v>
      </c>
      <c r="M77" s="2436">
        <f t="shared" si="23"/>
        <v>0</v>
      </c>
      <c r="N77" s="2436">
        <f t="shared" si="23"/>
        <v>0</v>
      </c>
      <c r="AC77" s="1404"/>
      <c r="AD77" s="1403"/>
      <c r="AJ77" s="1402"/>
      <c r="AN77" s="1403"/>
    </row>
    <row r="78" spans="1:40" ht="15">
      <c r="A78" s="2422" t="s">
        <v>1037</v>
      </c>
      <c r="B78" s="2423">
        <f>1+E80</f>
        <v>1</v>
      </c>
      <c r="C78" s="2442"/>
      <c r="D78" s="2425"/>
      <c r="E78" s="2426"/>
      <c r="F78" s="2427"/>
      <c r="G78" s="2421"/>
      <c r="H78" s="2421"/>
      <c r="I78" s="2421"/>
      <c r="J78" s="1065"/>
      <c r="K78" s="1065"/>
      <c r="L78" s="1065"/>
      <c r="M78" s="1065"/>
      <c r="N78" s="1065"/>
      <c r="AC78" s="1404"/>
      <c r="AD78" s="1403"/>
      <c r="AJ78" s="1402"/>
      <c r="AN78" s="1403"/>
    </row>
    <row r="79" spans="1:40" ht="24">
      <c r="A79" s="1066" t="s">
        <v>1009</v>
      </c>
      <c r="B79" s="2406"/>
      <c r="C79" s="2428" t="s">
        <v>1011</v>
      </c>
      <c r="D79" s="2429" t="s">
        <v>1012</v>
      </c>
      <c r="E79" s="2430" t="s">
        <v>1014</v>
      </c>
      <c r="F79" s="2431" t="s">
        <v>2253</v>
      </c>
      <c r="G79" s="2429" t="s">
        <v>1015</v>
      </c>
      <c r="H79" s="2412" t="s">
        <v>2416</v>
      </c>
      <c r="I79" s="2429" t="s">
        <v>1013</v>
      </c>
      <c r="J79" s="2432" t="s">
        <v>1016</v>
      </c>
      <c r="K79" s="2432" t="s">
        <v>1017</v>
      </c>
      <c r="L79" s="2432" t="s">
        <v>1018</v>
      </c>
      <c r="M79" s="2432" t="s">
        <v>1019</v>
      </c>
      <c r="N79" s="2432" t="s">
        <v>1020</v>
      </c>
      <c r="AC79" s="1404"/>
      <c r="AD79" s="1403"/>
      <c r="AJ79" s="1402"/>
      <c r="AN79" s="1403"/>
    </row>
    <row r="80" spans="1:40" ht="24">
      <c r="A80" s="1066" t="s">
        <v>1038</v>
      </c>
      <c r="B80" s="2406">
        <f>估价对象房地状况!G15</f>
        <v>0</v>
      </c>
      <c r="C80" s="1049"/>
      <c r="D80" s="2415">
        <f t="shared" ref="D80:D87" si="24">SUMIF($J$79:$N$79,C80,J80:N80)</f>
        <v>0</v>
      </c>
      <c r="E80" s="2434">
        <f>ROUND(SUM(D80:D87),4)</f>
        <v>0</v>
      </c>
      <c r="F80" s="2435" t="str">
        <f>IF(E2="工业",SUMIF(L1:L12,G2,N1:N12),"——")</f>
        <v>——</v>
      </c>
      <c r="G80" s="2413"/>
      <c r="H80" s="2459" t="str">
        <f t="shared" ref="H80:H87" si="25">IFERROR(ROUNDDOWN($F$80*I80/2,4),"——")</f>
        <v>——</v>
      </c>
      <c r="I80" s="2433">
        <v>0.26</v>
      </c>
      <c r="J80" s="2436">
        <f t="shared" ref="J80:J87" si="26">K80+$G80</f>
        <v>0</v>
      </c>
      <c r="K80" s="2436">
        <f t="shared" ref="K80:K87" si="27">$L80+$G80</f>
        <v>0</v>
      </c>
      <c r="L80" s="2436">
        <v>0</v>
      </c>
      <c r="M80" s="2436">
        <f t="shared" ref="M80:N87" si="28">L80-$G80</f>
        <v>0</v>
      </c>
      <c r="N80" s="2436">
        <f t="shared" si="28"/>
        <v>0</v>
      </c>
      <c r="AC80" s="1404"/>
      <c r="AD80" s="1403"/>
      <c r="AJ80" s="1402"/>
      <c r="AN80" s="1403"/>
    </row>
    <row r="81" spans="1:40" ht="14.25">
      <c r="A81" s="1066" t="s">
        <v>1034</v>
      </c>
      <c r="B81" s="2406">
        <f>估价对象房地状况!G16</f>
        <v>0</v>
      </c>
      <c r="C81" s="1049"/>
      <c r="D81" s="2415">
        <f t="shared" si="24"/>
        <v>0</v>
      </c>
      <c r="E81" s="2443"/>
      <c r="F81" s="2444"/>
      <c r="G81" s="2413"/>
      <c r="H81" s="2459" t="str">
        <f t="shared" si="25"/>
        <v>——</v>
      </c>
      <c r="I81" s="2433">
        <v>0.33</v>
      </c>
      <c r="J81" s="2436">
        <f t="shared" si="26"/>
        <v>0</v>
      </c>
      <c r="K81" s="2436">
        <f t="shared" si="27"/>
        <v>0</v>
      </c>
      <c r="L81" s="2436">
        <v>0</v>
      </c>
      <c r="M81" s="2436">
        <f t="shared" si="28"/>
        <v>0</v>
      </c>
      <c r="N81" s="2436">
        <f t="shared" si="28"/>
        <v>0</v>
      </c>
      <c r="AC81" s="1404"/>
      <c r="AD81" s="1403"/>
      <c r="AJ81" s="1402"/>
      <c r="AN81" s="1403"/>
    </row>
    <row r="82" spans="1:40" ht="24">
      <c r="A82" s="1066" t="s">
        <v>1023</v>
      </c>
      <c r="B82" s="2406">
        <f>估价对象房地状况!G17</f>
        <v>0</v>
      </c>
      <c r="C82" s="1049"/>
      <c r="D82" s="2415">
        <f t="shared" si="24"/>
        <v>0</v>
      </c>
      <c r="E82" s="2443"/>
      <c r="F82" s="2444"/>
      <c r="G82" s="2413"/>
      <c r="H82" s="2459" t="str">
        <f t="shared" si="25"/>
        <v>——</v>
      </c>
      <c r="I82" s="2433">
        <v>0.05</v>
      </c>
      <c r="J82" s="2436">
        <f t="shared" si="26"/>
        <v>0</v>
      </c>
      <c r="K82" s="2436">
        <f t="shared" si="27"/>
        <v>0</v>
      </c>
      <c r="L82" s="2436">
        <v>0</v>
      </c>
      <c r="M82" s="2436">
        <f t="shared" si="28"/>
        <v>0</v>
      </c>
      <c r="N82" s="2436">
        <f t="shared" si="28"/>
        <v>0</v>
      </c>
      <c r="AC82" s="1404"/>
      <c r="AD82" s="1403"/>
      <c r="AJ82" s="1402"/>
      <c r="AN82" s="1403"/>
    </row>
    <row r="83" spans="1:40" ht="14.25">
      <c r="A83" s="1066" t="s">
        <v>1035</v>
      </c>
      <c r="B83" s="2406">
        <f>估价对象房地状况!G22</f>
        <v>0</v>
      </c>
      <c r="C83" s="1049"/>
      <c r="D83" s="2415">
        <f t="shared" si="24"/>
        <v>0</v>
      </c>
      <c r="E83" s="2443"/>
      <c r="F83" s="2444"/>
      <c r="G83" s="2413"/>
      <c r="H83" s="2459" t="str">
        <f t="shared" si="25"/>
        <v>——</v>
      </c>
      <c r="I83" s="2433">
        <v>0.04</v>
      </c>
      <c r="J83" s="2436">
        <f t="shared" si="26"/>
        <v>0</v>
      </c>
      <c r="K83" s="2436">
        <f t="shared" si="27"/>
        <v>0</v>
      </c>
      <c r="L83" s="2436">
        <v>0</v>
      </c>
      <c r="M83" s="2436">
        <f t="shared" si="28"/>
        <v>0</v>
      </c>
      <c r="N83" s="2436">
        <f t="shared" si="28"/>
        <v>0</v>
      </c>
      <c r="AC83" s="1404"/>
      <c r="AD83" s="1403"/>
      <c r="AJ83" s="1402"/>
      <c r="AN83" s="1403"/>
    </row>
    <row r="84" spans="1:40" ht="24">
      <c r="A84" s="1066" t="s">
        <v>1027</v>
      </c>
      <c r="B84" s="2407">
        <f>估价对象房地状况!G19</f>
        <v>0</v>
      </c>
      <c r="C84" s="1049"/>
      <c r="D84" s="2415">
        <f t="shared" si="24"/>
        <v>0</v>
      </c>
      <c r="E84" s="2443"/>
      <c r="F84" s="2444"/>
      <c r="G84" s="2413"/>
      <c r="H84" s="2459" t="str">
        <f t="shared" si="25"/>
        <v>——</v>
      </c>
      <c r="I84" s="2433">
        <v>0.06</v>
      </c>
      <c r="J84" s="2436">
        <f t="shared" si="26"/>
        <v>0</v>
      </c>
      <c r="K84" s="2436">
        <f t="shared" si="27"/>
        <v>0</v>
      </c>
      <c r="L84" s="2436">
        <v>0</v>
      </c>
      <c r="M84" s="2436">
        <f t="shared" si="28"/>
        <v>0</v>
      </c>
      <c r="N84" s="2436">
        <f t="shared" si="28"/>
        <v>0</v>
      </c>
      <c r="AC84" s="1404"/>
      <c r="AD84" s="1403"/>
      <c r="AJ84" s="1402"/>
      <c r="AN84" s="1403"/>
    </row>
    <row r="85" spans="1:40" ht="24">
      <c r="A85" s="1066" t="s">
        <v>1028</v>
      </c>
      <c r="B85" s="2407">
        <f>估价对象房地状况!G20</f>
        <v>0</v>
      </c>
      <c r="C85" s="1049"/>
      <c r="D85" s="2415">
        <f t="shared" si="24"/>
        <v>0</v>
      </c>
      <c r="E85" s="2443"/>
      <c r="F85" s="2444"/>
      <c r="G85" s="2413"/>
      <c r="H85" s="2459" t="str">
        <f t="shared" si="25"/>
        <v>——</v>
      </c>
      <c r="I85" s="2433">
        <v>0.15</v>
      </c>
      <c r="J85" s="2436">
        <f t="shared" si="26"/>
        <v>0</v>
      </c>
      <c r="K85" s="2436">
        <f t="shared" si="27"/>
        <v>0</v>
      </c>
      <c r="L85" s="2436">
        <v>0</v>
      </c>
      <c r="M85" s="2436">
        <f t="shared" si="28"/>
        <v>0</v>
      </c>
      <c r="N85" s="2436">
        <f t="shared" si="28"/>
        <v>0</v>
      </c>
      <c r="AC85" s="1404"/>
      <c r="AD85" s="1403"/>
      <c r="AJ85" s="1402"/>
      <c r="AN85" s="1403"/>
    </row>
    <row r="86" spans="1:40" ht="24">
      <c r="A86" s="1066" t="s">
        <v>1026</v>
      </c>
      <c r="B86" s="3091" t="s">
        <v>2924</v>
      </c>
      <c r="C86" s="1049"/>
      <c r="D86" s="2415">
        <f t="shared" si="24"/>
        <v>0</v>
      </c>
      <c r="E86" s="2443"/>
      <c r="F86" s="2444"/>
      <c r="G86" s="2413"/>
      <c r="H86" s="2459" t="str">
        <f t="shared" si="25"/>
        <v>——</v>
      </c>
      <c r="I86" s="2433">
        <v>0.05</v>
      </c>
      <c r="J86" s="2436">
        <f t="shared" si="26"/>
        <v>0</v>
      </c>
      <c r="K86" s="2436">
        <f t="shared" si="27"/>
        <v>0</v>
      </c>
      <c r="L86" s="2436">
        <v>0</v>
      </c>
      <c r="M86" s="2436">
        <f t="shared" si="28"/>
        <v>0</v>
      </c>
      <c r="N86" s="2436">
        <f t="shared" si="28"/>
        <v>0</v>
      </c>
      <c r="AC86" s="1404"/>
      <c r="AD86" s="1403"/>
      <c r="AJ86" s="1402"/>
      <c r="AN86" s="1403"/>
    </row>
    <row r="87" spans="1:40" ht="15" thickBot="1">
      <c r="A87" s="2439" t="s">
        <v>1039</v>
      </c>
      <c r="B87" s="2408">
        <f>估价对象房地状况!G18</f>
        <v>0</v>
      </c>
      <c r="C87" s="1049"/>
      <c r="D87" s="2415">
        <f t="shared" si="24"/>
        <v>0</v>
      </c>
      <c r="E87" s="2445"/>
      <c r="F87" s="2444"/>
      <c r="G87" s="2413"/>
      <c r="H87" s="2459" t="str">
        <f t="shared" si="25"/>
        <v>——</v>
      </c>
      <c r="I87" s="2440">
        <v>0.06</v>
      </c>
      <c r="J87" s="2436">
        <f t="shared" si="26"/>
        <v>0</v>
      </c>
      <c r="K87" s="2436">
        <f t="shared" si="27"/>
        <v>0</v>
      </c>
      <c r="L87" s="2436">
        <v>0</v>
      </c>
      <c r="M87" s="2436">
        <f t="shared" si="28"/>
        <v>0</v>
      </c>
      <c r="N87" s="2436">
        <f t="shared" si="28"/>
        <v>0</v>
      </c>
      <c r="AC87" s="1404"/>
      <c r="AD87" s="1403"/>
      <c r="AJ87" s="1402"/>
      <c r="AN87" s="1403"/>
    </row>
    <row r="90" spans="1:40">
      <c r="A90" s="3552" t="s">
        <v>1634</v>
      </c>
      <c r="B90" s="3552"/>
      <c r="C90" s="3552"/>
      <c r="D90" s="3552"/>
      <c r="E90" s="3552"/>
      <c r="F90" s="3552"/>
      <c r="G90" s="3552"/>
      <c r="H90" s="3552"/>
      <c r="I90" s="3552"/>
      <c r="J90" s="3552"/>
      <c r="K90" s="2448"/>
      <c r="L90" s="2448"/>
      <c r="M90" s="2448"/>
      <c r="N90" s="2448"/>
    </row>
    <row r="91" spans="1:40">
      <c r="A91" s="3553" t="s">
        <v>1444</v>
      </c>
      <c r="B91" s="3553" t="s">
        <v>1635</v>
      </c>
      <c r="C91" s="1139" t="s">
        <v>1636</v>
      </c>
      <c r="D91" s="1140"/>
      <c r="E91" s="1140"/>
      <c r="F91" s="1140"/>
      <c r="G91" s="1140"/>
      <c r="H91" s="1140"/>
      <c r="I91" s="1140"/>
      <c r="J91" s="1141"/>
      <c r="K91" s="1133"/>
      <c r="L91" s="1133"/>
      <c r="M91" s="1133"/>
      <c r="N91" s="1133"/>
    </row>
    <row r="92" spans="1:40">
      <c r="A92" s="3553"/>
      <c r="B92" s="3553"/>
      <c r="C92" s="2447" t="s">
        <v>907</v>
      </c>
      <c r="D92" s="2447" t="s">
        <v>885</v>
      </c>
      <c r="E92" s="2447" t="s">
        <v>886</v>
      </c>
      <c r="F92" s="2447" t="s">
        <v>910</v>
      </c>
      <c r="G92" s="2447" t="s">
        <v>888</v>
      </c>
      <c r="H92" s="2447" t="s">
        <v>889</v>
      </c>
      <c r="I92" s="2447" t="s">
        <v>890</v>
      </c>
      <c r="J92" s="2447" t="s">
        <v>891</v>
      </c>
      <c r="K92" s="2447" t="s">
        <v>915</v>
      </c>
      <c r="L92" s="2447" t="s">
        <v>893</v>
      </c>
      <c r="M92" s="2447" t="s">
        <v>894</v>
      </c>
      <c r="N92" s="2447" t="s">
        <v>918</v>
      </c>
    </row>
    <row r="93" spans="1:40">
      <c r="A93" s="3560" t="s">
        <v>2761</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561"/>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561"/>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561"/>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561"/>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561"/>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561"/>
      <c r="B99" s="1142" t="s">
        <v>1637</v>
      </c>
      <c r="C99" s="1144">
        <f>$I$3</f>
        <v>8</v>
      </c>
      <c r="D99" s="1144">
        <f t="shared" ref="D99:N99" si="29">$I$3</f>
        <v>8</v>
      </c>
      <c r="E99" s="1144">
        <f t="shared" si="29"/>
        <v>8</v>
      </c>
      <c r="F99" s="1144">
        <f t="shared" si="29"/>
        <v>8</v>
      </c>
      <c r="G99" s="1144">
        <f t="shared" si="29"/>
        <v>8</v>
      </c>
      <c r="H99" s="1144">
        <f t="shared" si="29"/>
        <v>8</v>
      </c>
      <c r="I99" s="1144">
        <f t="shared" si="29"/>
        <v>8</v>
      </c>
      <c r="J99" s="1144">
        <f t="shared" si="29"/>
        <v>8</v>
      </c>
      <c r="K99" s="1144">
        <f t="shared" si="29"/>
        <v>8</v>
      </c>
      <c r="L99" s="1144">
        <f t="shared" si="29"/>
        <v>8</v>
      </c>
      <c r="M99" s="1144">
        <f t="shared" si="29"/>
        <v>8</v>
      </c>
      <c r="N99" s="1144">
        <f t="shared" si="29"/>
        <v>8</v>
      </c>
    </row>
    <row r="100" spans="1:14">
      <c r="A100" s="3562"/>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560" t="s">
        <v>1638</v>
      </c>
      <c r="B101" s="1146" t="s">
        <v>906</v>
      </c>
      <c r="C101" s="1147">
        <f>$G$3</f>
        <v>1.01</v>
      </c>
      <c r="D101" s="1147">
        <f t="shared" ref="D101:N101" si="30">$G$3</f>
        <v>1.01</v>
      </c>
      <c r="E101" s="1147">
        <f t="shared" si="30"/>
        <v>1.01</v>
      </c>
      <c r="F101" s="1147">
        <f t="shared" si="30"/>
        <v>1.01</v>
      </c>
      <c r="G101" s="1147">
        <f t="shared" si="30"/>
        <v>1.01</v>
      </c>
      <c r="H101" s="1147">
        <f t="shared" si="30"/>
        <v>1.01</v>
      </c>
      <c r="I101" s="1147">
        <f t="shared" si="30"/>
        <v>1.01</v>
      </c>
      <c r="J101" s="1147">
        <f t="shared" si="30"/>
        <v>1.01</v>
      </c>
      <c r="K101" s="1147">
        <f t="shared" si="30"/>
        <v>1.01</v>
      </c>
      <c r="L101" s="1147">
        <f t="shared" si="30"/>
        <v>1.01</v>
      </c>
      <c r="M101" s="1147">
        <f t="shared" si="30"/>
        <v>1.01</v>
      </c>
      <c r="N101" s="1147">
        <f t="shared" si="30"/>
        <v>1.01</v>
      </c>
    </row>
    <row r="102" spans="1:14">
      <c r="A102" s="3561"/>
      <c r="B102" s="1142">
        <v>1</v>
      </c>
      <c r="C102" s="1143">
        <f>1.9362/C101</f>
        <v>1.917029702970297</v>
      </c>
      <c r="D102" s="1143">
        <f>1.9362/D101</f>
        <v>1.917029702970297</v>
      </c>
      <c r="E102" s="1143">
        <f>1.8629/E101</f>
        <v>1.8444554455445545</v>
      </c>
      <c r="F102" s="1143">
        <f>1.8629/F101</f>
        <v>1.8444554455445545</v>
      </c>
      <c r="G102" s="1143">
        <f>1.8629/G101</f>
        <v>1.8444554455445545</v>
      </c>
      <c r="H102" s="1143">
        <f>1.8629/H101</f>
        <v>1.8444554455445545</v>
      </c>
      <c r="I102" s="1143">
        <f>1.8629/I101</f>
        <v>1.8444554455445545</v>
      </c>
      <c r="J102" s="1143">
        <f>1.942/J101</f>
        <v>1.9227722772277227</v>
      </c>
      <c r="K102" s="1143">
        <f>1.942/K101</f>
        <v>1.9227722772277227</v>
      </c>
      <c r="L102" s="1143">
        <f>1.942/L101</f>
        <v>1.9227722772277227</v>
      </c>
      <c r="M102" s="1143">
        <f>1.942/M101</f>
        <v>1.9227722772277227</v>
      </c>
      <c r="N102" s="1143">
        <f>1.942/N101</f>
        <v>1.9227722772277227</v>
      </c>
    </row>
    <row r="103" spans="1:14">
      <c r="A103" s="3561"/>
      <c r="B103" s="1142">
        <v>2</v>
      </c>
      <c r="C103" s="1143">
        <f>1.4198/C101</f>
        <v>1.4057425742574257</v>
      </c>
      <c r="D103" s="1143">
        <f>1.4198/D101</f>
        <v>1.4057425742574257</v>
      </c>
      <c r="E103" s="1143">
        <f>1.3372/E101</f>
        <v>1.3239603960396038</v>
      </c>
      <c r="F103" s="1143">
        <f>1.3372/F101</f>
        <v>1.3239603960396038</v>
      </c>
      <c r="G103" s="1143">
        <f>1.3372/G101</f>
        <v>1.3239603960396038</v>
      </c>
      <c r="H103" s="1143">
        <f>1.3372/H101</f>
        <v>1.3239603960396038</v>
      </c>
      <c r="I103" s="1143">
        <f>1.3372/I101</f>
        <v>1.3239603960396038</v>
      </c>
      <c r="J103" s="1143">
        <f>1.2799/J101</f>
        <v>1.2672277227722772</v>
      </c>
      <c r="K103" s="1143">
        <f>1.2799/K101</f>
        <v>1.2672277227722772</v>
      </c>
      <c r="L103" s="1143">
        <f>1.2799/L101</f>
        <v>1.2672277227722772</v>
      </c>
      <c r="M103" s="1143">
        <f>1.2799/M101</f>
        <v>1.2672277227722772</v>
      </c>
      <c r="N103" s="1143">
        <f>1.2799/N101</f>
        <v>1.2672277227722772</v>
      </c>
    </row>
    <row r="104" spans="1:14">
      <c r="A104" s="3561"/>
      <c r="B104" s="1142">
        <v>3</v>
      </c>
      <c r="C104" s="1143">
        <f>1.1594/C101</f>
        <v>1.1479207920792078</v>
      </c>
      <c r="D104" s="1143">
        <f>1.1594/D101</f>
        <v>1.1479207920792078</v>
      </c>
      <c r="E104" s="1143">
        <f>1.0788/E101</f>
        <v>1.0681188118811882</v>
      </c>
      <c r="F104" s="1143">
        <f>1.0788/F101</f>
        <v>1.0681188118811882</v>
      </c>
      <c r="G104" s="1143">
        <f>1.0788/G101</f>
        <v>1.0681188118811882</v>
      </c>
      <c r="H104" s="1143">
        <f>1.0788/H101</f>
        <v>1.0681188118811882</v>
      </c>
      <c r="I104" s="1143">
        <f>1.0788/I101</f>
        <v>1.0681188118811882</v>
      </c>
      <c r="J104" s="1143">
        <f>1.0072/J101</f>
        <v>0.99722772277227734</v>
      </c>
      <c r="K104" s="1143">
        <f>1.0072/K101</f>
        <v>0.99722772277227734</v>
      </c>
      <c r="L104" s="1143">
        <f>1.0072/L101</f>
        <v>0.99722772277227734</v>
      </c>
      <c r="M104" s="1143">
        <f>1.0072/M101</f>
        <v>0.99722772277227734</v>
      </c>
      <c r="N104" s="1143">
        <f>1.0072/N101</f>
        <v>0.99722772277227734</v>
      </c>
    </row>
    <row r="105" spans="1:14">
      <c r="A105" s="3561"/>
      <c r="B105" s="1142">
        <v>4</v>
      </c>
      <c r="C105" s="1143">
        <f>0.9622/C101</f>
        <v>0.95267326732673274</v>
      </c>
      <c r="D105" s="1143">
        <f>0.9622/D101</f>
        <v>0.95267326732673274</v>
      </c>
      <c r="E105" s="1143">
        <f>0.8656/E101</f>
        <v>0.85702970297029701</v>
      </c>
      <c r="F105" s="1143">
        <f>0.8656/F101</f>
        <v>0.85702970297029701</v>
      </c>
      <c r="G105" s="1143">
        <f>0.8656/G101</f>
        <v>0.85702970297029701</v>
      </c>
      <c r="H105" s="1143">
        <f>0.8656/H101</f>
        <v>0.85702970297029701</v>
      </c>
      <c r="I105" s="1143">
        <f>0.8656/I101</f>
        <v>0.85702970297029701</v>
      </c>
      <c r="J105" s="1143">
        <f>0.7525/J101</f>
        <v>0.74504950495049505</v>
      </c>
      <c r="K105" s="1143">
        <f>0.7525/K101</f>
        <v>0.74504950495049505</v>
      </c>
      <c r="L105" s="1143">
        <f>0.7525/L101</f>
        <v>0.74504950495049505</v>
      </c>
      <c r="M105" s="1143">
        <f>0.7525/M101</f>
        <v>0.74504950495049505</v>
      </c>
      <c r="N105" s="1143">
        <f>0.7525/N101</f>
        <v>0.74504950495049505</v>
      </c>
    </row>
    <row r="106" spans="1:14">
      <c r="A106" s="3561"/>
      <c r="B106" s="1142">
        <v>5</v>
      </c>
      <c r="C106" s="1143">
        <f>0.8417/C101</f>
        <v>0.83336633663366333</v>
      </c>
      <c r="D106" s="1143">
        <f>0.8417/D101</f>
        <v>0.83336633663366333</v>
      </c>
      <c r="E106" s="1143">
        <f>0.7371/E101</f>
        <v>0.72980198019801978</v>
      </c>
      <c r="F106" s="1143">
        <f>0.7371/F101</f>
        <v>0.72980198019801978</v>
      </c>
      <c r="G106" s="1143">
        <f>0.7371/G101</f>
        <v>0.72980198019801978</v>
      </c>
      <c r="H106" s="1143">
        <f>0.7371/H101</f>
        <v>0.72980198019801978</v>
      </c>
      <c r="I106" s="1143">
        <f>0.7371/I101</f>
        <v>0.72980198019801978</v>
      </c>
      <c r="J106" s="1143">
        <f>0.5659/J101</f>
        <v>0.56029702970297024</v>
      </c>
      <c r="K106" s="1143">
        <f>0.5659/K101</f>
        <v>0.56029702970297024</v>
      </c>
      <c r="L106" s="1143">
        <f>0.5659/L101</f>
        <v>0.56029702970297024</v>
      </c>
      <c r="M106" s="1143">
        <f>0.5659/M101</f>
        <v>0.56029702970297024</v>
      </c>
      <c r="N106" s="1143">
        <f>0.5659/N101</f>
        <v>0.56029702970297024</v>
      </c>
    </row>
    <row r="107" spans="1:14">
      <c r="A107" s="3561"/>
      <c r="B107" s="1142">
        <v>6</v>
      </c>
      <c r="C107" s="1143">
        <f>0.7608/C101</f>
        <v>0.75326732673267327</v>
      </c>
      <c r="D107" s="1143">
        <f>0.7608/D101</f>
        <v>0.75326732673267327</v>
      </c>
      <c r="E107" s="1143">
        <f>0.6482/E101</f>
        <v>0.6417821782178218</v>
      </c>
      <c r="F107" s="1143">
        <f>0.6482/F101</f>
        <v>0.6417821782178218</v>
      </c>
      <c r="G107" s="1143">
        <f>0.6482/G101</f>
        <v>0.6417821782178218</v>
      </c>
      <c r="H107" s="1143">
        <f>0.6482/H101</f>
        <v>0.6417821782178218</v>
      </c>
      <c r="I107" s="1143">
        <f>0.6482/I101</f>
        <v>0.6417821782178218</v>
      </c>
      <c r="J107" s="1143">
        <f>0.4525/J101</f>
        <v>0.44801980198019803</v>
      </c>
      <c r="K107" s="1143">
        <f>0.4525/K101</f>
        <v>0.44801980198019803</v>
      </c>
      <c r="L107" s="1143">
        <f>0.4525/L101</f>
        <v>0.44801980198019803</v>
      </c>
      <c r="M107" s="1143">
        <f>0.4525/M101</f>
        <v>0.44801980198019803</v>
      </c>
      <c r="N107" s="1143">
        <f>0.4525/N101</f>
        <v>0.44801980198019803</v>
      </c>
    </row>
    <row r="108" spans="1:14">
      <c r="A108" s="3561"/>
      <c r="B108" s="3563" t="s">
        <v>1639</v>
      </c>
      <c r="C108" s="1144">
        <f>C99</f>
        <v>8</v>
      </c>
      <c r="D108" s="1144">
        <f t="shared" ref="D108:N108" si="31">D99</f>
        <v>8</v>
      </c>
      <c r="E108" s="1144">
        <f t="shared" si="31"/>
        <v>8</v>
      </c>
      <c r="F108" s="1144">
        <f t="shared" si="31"/>
        <v>8</v>
      </c>
      <c r="G108" s="1144">
        <f t="shared" si="31"/>
        <v>8</v>
      </c>
      <c r="H108" s="1144">
        <f t="shared" si="31"/>
        <v>8</v>
      </c>
      <c r="I108" s="1144">
        <f t="shared" si="31"/>
        <v>8</v>
      </c>
      <c r="J108" s="1144">
        <f t="shared" si="31"/>
        <v>8</v>
      </c>
      <c r="K108" s="1144">
        <f t="shared" si="31"/>
        <v>8</v>
      </c>
      <c r="L108" s="1144">
        <f t="shared" si="31"/>
        <v>8</v>
      </c>
      <c r="M108" s="1144">
        <f t="shared" si="31"/>
        <v>8</v>
      </c>
      <c r="N108" s="1144">
        <f t="shared" si="31"/>
        <v>8</v>
      </c>
    </row>
    <row r="109" spans="1:14">
      <c r="A109" s="3562"/>
      <c r="B109" s="3564"/>
      <c r="C109" s="1145">
        <f>(-0.163*(C108^2)-0.59*C108+7617)*(10^(-4))/C101</f>
        <v>0.75265821782178222</v>
      </c>
      <c r="D109" s="1145">
        <f>(-0.163*(D108^2)-0.59*D108+7617)*(10^(-4))/D101</f>
        <v>0.75265821782178222</v>
      </c>
      <c r="E109" s="1145">
        <f>(-0.161*(E108^2)-7.509*E108+6533)*(10^(-4))/E101</f>
        <v>0.63986376237623765</v>
      </c>
      <c r="F109" s="1145">
        <f>(-0.161*(F108^2)-7.509*F108+6533)*(10^(-4))/F101</f>
        <v>0.63986376237623765</v>
      </c>
      <c r="G109" s="1145">
        <f>(-0.161*(G108^2)-7.509*G108+6533)*(10^(-4))/G101</f>
        <v>0.63986376237623765</v>
      </c>
      <c r="H109" s="1145">
        <f>(-0.161*(H108^2)-7.509*H108+6533)*(10^(-4))/H101</f>
        <v>0.63986376237623765</v>
      </c>
      <c r="I109" s="1145">
        <f>(-0.161*(I108^2)-7.509*I108+6533)*(10^(-4))/I101</f>
        <v>0.63986376237623765</v>
      </c>
      <c r="J109" s="1145">
        <f>(-0.214*(J108^2)-21.991*J108+4665)*(10^(-4))/J101</f>
        <v>0.44310653465346539</v>
      </c>
      <c r="K109" s="1145">
        <f>(-0.214*(K108^2)-21.991*K108+4665)*(10^(-4))/K101</f>
        <v>0.44310653465346539</v>
      </c>
      <c r="L109" s="1145">
        <f>(-0.214*(L108^2)-21.991*L108+4665)*(10^(-4))/L101</f>
        <v>0.44310653465346539</v>
      </c>
      <c r="M109" s="1145">
        <f>(-0.214*(M108^2)-21.991*M108+4665)*(10^(-4))/M101</f>
        <v>0.44310653465346539</v>
      </c>
      <c r="N109" s="1145">
        <f>(-0.214*(N108^2)-21.991*N108+4665)*(10^(-4))/N101</f>
        <v>0.44310653465346539</v>
      </c>
    </row>
    <row r="110" spans="1:14">
      <c r="A110" s="3547" t="s">
        <v>1640</v>
      </c>
      <c r="B110" s="3547"/>
      <c r="C110" s="3547"/>
      <c r="D110" s="3547"/>
      <c r="E110" s="3547"/>
      <c r="F110" s="3547"/>
      <c r="G110" s="3547"/>
      <c r="H110" s="3547"/>
      <c r="I110" s="3547"/>
      <c r="J110" s="3547"/>
      <c r="K110" s="2446"/>
      <c r="L110" s="2446"/>
      <c r="M110" s="2446"/>
      <c r="N110" s="2446"/>
    </row>
    <row r="112" spans="1:14" ht="12.75" thickBot="1"/>
    <row r="113" spans="1:13" ht="25.5" thickBot="1">
      <c r="A113" s="1015" t="s">
        <v>896</v>
      </c>
      <c r="B113" s="2449">
        <f>G3</f>
        <v>1.01</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0.92400000000000004</v>
      </c>
      <c r="C115" s="1029">
        <f>B115</f>
        <v>0.92400000000000004</v>
      </c>
      <c r="D115" s="1029">
        <f>ROUND(0.8331-0.0109*B113,4)</f>
        <v>0.82210000000000005</v>
      </c>
      <c r="E115" s="1029">
        <f>D115</f>
        <v>0.82210000000000005</v>
      </c>
      <c r="F115" s="1029">
        <f>E115</f>
        <v>0.82210000000000005</v>
      </c>
      <c r="G115" s="1029">
        <f>F115</f>
        <v>0.82210000000000005</v>
      </c>
      <c r="H115" s="1029">
        <f>G115</f>
        <v>0.82210000000000005</v>
      </c>
      <c r="I115" s="1029">
        <f>ROUND(0.689-0.0155*B113,4)</f>
        <v>0.67330000000000001</v>
      </c>
      <c r="J115" s="1029">
        <f t="shared" ref="J115:M118" si="32">I115</f>
        <v>0.67330000000000001</v>
      </c>
      <c r="K115" s="1029">
        <f t="shared" si="32"/>
        <v>0.67330000000000001</v>
      </c>
      <c r="L115" s="1029">
        <f t="shared" si="32"/>
        <v>0.67330000000000001</v>
      </c>
      <c r="M115" s="1030">
        <f t="shared" si="32"/>
        <v>0.67330000000000001</v>
      </c>
    </row>
    <row r="116" spans="1:13" ht="12.75">
      <c r="A116" s="1028" t="s">
        <v>901</v>
      </c>
      <c r="B116" s="1029">
        <f>ROUND(0.949-0.012*B113,4)</f>
        <v>0.93689999999999996</v>
      </c>
      <c r="C116" s="1029">
        <f>B116</f>
        <v>0.93689999999999996</v>
      </c>
      <c r="D116" s="1029">
        <f>ROUND(0.8567-0.013*B113,4)</f>
        <v>0.84360000000000002</v>
      </c>
      <c r="E116" s="1029">
        <f t="shared" ref="E116:H117" si="33">D116</f>
        <v>0.84360000000000002</v>
      </c>
      <c r="F116" s="1029">
        <f t="shared" si="33"/>
        <v>0.84360000000000002</v>
      </c>
      <c r="G116" s="1029">
        <f t="shared" si="33"/>
        <v>0.84360000000000002</v>
      </c>
      <c r="H116" s="1029">
        <f t="shared" si="33"/>
        <v>0.84360000000000002</v>
      </c>
      <c r="I116" s="1029">
        <f>ROUND(0.7694-0.014*B113,4)</f>
        <v>0.75529999999999997</v>
      </c>
      <c r="J116" s="1029">
        <f t="shared" si="32"/>
        <v>0.75529999999999997</v>
      </c>
      <c r="K116" s="1029">
        <f t="shared" si="32"/>
        <v>0.75529999999999997</v>
      </c>
      <c r="L116" s="1029">
        <f t="shared" si="32"/>
        <v>0.75529999999999997</v>
      </c>
      <c r="M116" s="1030">
        <f t="shared" si="32"/>
        <v>0.75529999999999997</v>
      </c>
    </row>
    <row r="117" spans="1:13" ht="12.75">
      <c r="A117" s="1031" t="s">
        <v>902</v>
      </c>
      <c r="B117" s="1029">
        <f>ROUND(0.8808-0.006*B113,4)</f>
        <v>0.87470000000000003</v>
      </c>
      <c r="C117" s="1029">
        <f>B117</f>
        <v>0.87470000000000003</v>
      </c>
      <c r="D117" s="1029">
        <f>ROUND(0.8748-0.008*B113,4)</f>
        <v>0.86670000000000003</v>
      </c>
      <c r="E117" s="1029">
        <f t="shared" si="33"/>
        <v>0.86670000000000003</v>
      </c>
      <c r="F117" s="1029">
        <f t="shared" si="33"/>
        <v>0.86670000000000003</v>
      </c>
      <c r="G117" s="1029">
        <f t="shared" si="33"/>
        <v>0.86670000000000003</v>
      </c>
      <c r="H117" s="1029">
        <f t="shared" si="33"/>
        <v>0.86670000000000003</v>
      </c>
      <c r="I117" s="1029">
        <f>ROUND(0.7412-0.0095*B113,4)</f>
        <v>0.73160000000000003</v>
      </c>
      <c r="J117" s="1029">
        <f t="shared" si="32"/>
        <v>0.73160000000000003</v>
      </c>
      <c r="K117" s="1029">
        <f t="shared" si="32"/>
        <v>0.73160000000000003</v>
      </c>
      <c r="L117" s="1029">
        <f t="shared" si="32"/>
        <v>0.73160000000000003</v>
      </c>
      <c r="M117" s="1030">
        <f t="shared" si="32"/>
        <v>0.73160000000000003</v>
      </c>
    </row>
    <row r="118" spans="1:13" ht="13.5" thickBot="1">
      <c r="A118" s="1032" t="s">
        <v>903</v>
      </c>
      <c r="B118" s="1033">
        <f>ROUND(0.7275-0.01*B113,4)</f>
        <v>0.71740000000000004</v>
      </c>
      <c r="C118" s="1033">
        <f>B118</f>
        <v>0.71740000000000004</v>
      </c>
      <c r="D118" s="1033">
        <f>ROUND(0.7043-0.012*B113,4)</f>
        <v>0.69220000000000004</v>
      </c>
      <c r="E118" s="1033">
        <f>D118</f>
        <v>0.69220000000000004</v>
      </c>
      <c r="F118" s="1033">
        <f>E118</f>
        <v>0.69220000000000004</v>
      </c>
      <c r="G118" s="1033">
        <f>ROUND(0.6299-0.0122*B113,4)</f>
        <v>0.61760000000000004</v>
      </c>
      <c r="H118" s="1033">
        <f>G118</f>
        <v>0.61760000000000004</v>
      </c>
      <c r="I118" s="1033">
        <f>ROUND(0.5667-0.0136*B113,4)</f>
        <v>0.55300000000000005</v>
      </c>
      <c r="J118" s="1033">
        <f t="shared" si="32"/>
        <v>0.55300000000000005</v>
      </c>
      <c r="K118" s="1033">
        <f t="shared" si="32"/>
        <v>0.55300000000000005</v>
      </c>
      <c r="L118" s="1033">
        <f t="shared" si="32"/>
        <v>0.55300000000000005</v>
      </c>
      <c r="M118" s="1034">
        <f t="shared" si="32"/>
        <v>0.55300000000000005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4" type="noConversion"/>
  <conditionalFormatting sqref="F47">
    <cfRule type="cellIs" dxfId="120" priority="5" stopIfTrue="1" operator="notEqual">
      <formula>"——"</formula>
    </cfRule>
  </conditionalFormatting>
  <conditionalFormatting sqref="F58">
    <cfRule type="cellIs" dxfId="119" priority="4" stopIfTrue="1" operator="notEqual">
      <formula>"——"</formula>
    </cfRule>
  </conditionalFormatting>
  <conditionalFormatting sqref="F69">
    <cfRule type="cellIs" dxfId="118" priority="3" stopIfTrue="1" operator="notEqual">
      <formula>"——"</formula>
    </cfRule>
  </conditionalFormatting>
  <conditionalFormatting sqref="F80">
    <cfRule type="cellIs" dxfId="117" priority="2" stopIfTrue="1" operator="notEqual">
      <formula>"——"</formula>
    </cfRule>
  </conditionalFormatting>
  <conditionalFormatting sqref="H58:H66 H47:H55 H69:H77 H80:H87">
    <cfRule type="cellIs" dxfId="11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553" t="s">
        <v>1008</v>
      </c>
      <c r="B18" s="1153" t="s">
        <v>1447</v>
      </c>
      <c r="C18" s="1130" t="s">
        <v>1448</v>
      </c>
      <c r="D18" s="1131"/>
      <c r="E18" s="1153">
        <v>1</v>
      </c>
      <c r="F18" s="1132" t="s">
        <v>1449</v>
      </c>
      <c r="G18" s="1133"/>
      <c r="H18" s="1104"/>
      <c r="I18" s="1104"/>
    </row>
    <row r="19" spans="1:9" s="1598" customFormat="1" ht="19.5" customHeight="1">
      <c r="A19" s="3553"/>
      <c r="B19" s="3553" t="s">
        <v>1450</v>
      </c>
      <c r="C19" s="1130" t="s">
        <v>1451</v>
      </c>
      <c r="D19" s="1131"/>
      <c r="E19" s="1153">
        <v>0.9</v>
      </c>
      <c r="F19" s="1132" t="s">
        <v>1452</v>
      </c>
      <c r="G19" s="1133"/>
      <c r="H19" s="1104"/>
      <c r="I19" s="1104"/>
    </row>
    <row r="20" spans="1:9" s="1598" customFormat="1" ht="19.5" customHeight="1">
      <c r="A20" s="3553"/>
      <c r="B20" s="3553"/>
      <c r="C20" s="1130" t="s">
        <v>1453</v>
      </c>
      <c r="D20" s="1131"/>
      <c r="E20" s="1153">
        <v>1.1000000000000001</v>
      </c>
      <c r="F20" s="1132" t="s">
        <v>1454</v>
      </c>
      <c r="G20" s="1133"/>
      <c r="H20" s="1104"/>
      <c r="I20" s="1104"/>
    </row>
    <row r="21" spans="1:9" s="1598" customFormat="1" ht="19.5" customHeight="1">
      <c r="A21" s="3553"/>
      <c r="B21" s="3553"/>
      <c r="C21" s="1130" t="s">
        <v>1455</v>
      </c>
      <c r="D21" s="1131"/>
      <c r="E21" s="1153">
        <v>0.8</v>
      </c>
      <c r="F21" s="1132" t="s">
        <v>1456</v>
      </c>
      <c r="G21" s="1133"/>
      <c r="H21" s="1104"/>
      <c r="I21" s="1104"/>
    </row>
    <row r="22" spans="1:9" s="1598" customFormat="1" ht="19.5" customHeight="1">
      <c r="A22" s="3553"/>
      <c r="B22" s="3553"/>
      <c r="C22" s="1130" t="s">
        <v>1457</v>
      </c>
      <c r="D22" s="1131"/>
      <c r="E22" s="1153">
        <v>0.5</v>
      </c>
      <c r="F22" s="1132"/>
      <c r="G22" s="1133"/>
      <c r="H22" s="1104"/>
      <c r="I22" s="1104"/>
    </row>
    <row r="23" spans="1:9" s="1598" customFormat="1" ht="19.5" customHeight="1">
      <c r="A23" s="3553" t="s">
        <v>1030</v>
      </c>
      <c r="B23" s="1153" t="s">
        <v>1447</v>
      </c>
      <c r="C23" s="1130" t="s">
        <v>1458</v>
      </c>
      <c r="D23" s="1131"/>
      <c r="E23" s="1153">
        <v>1</v>
      </c>
      <c r="F23" s="1132" t="s">
        <v>1459</v>
      </c>
      <c r="G23" s="1133"/>
      <c r="H23" s="1104"/>
      <c r="I23" s="1104"/>
    </row>
    <row r="24" spans="1:9" s="1598" customFormat="1" ht="19.5" customHeight="1">
      <c r="A24" s="3553"/>
      <c r="B24" s="3553" t="s">
        <v>1450</v>
      </c>
      <c r="C24" s="1130" t="s">
        <v>1460</v>
      </c>
      <c r="D24" s="1131"/>
      <c r="E24" s="1153">
        <v>0.5</v>
      </c>
      <c r="F24" s="1132"/>
      <c r="G24" s="1133"/>
      <c r="H24" s="1104"/>
      <c r="I24" s="1104"/>
    </row>
    <row r="25" spans="1:9" s="1598" customFormat="1" ht="19.5" customHeight="1">
      <c r="A25" s="3553"/>
      <c r="B25" s="3553"/>
      <c r="C25" s="1130" t="s">
        <v>1461</v>
      </c>
      <c r="D25" s="1131"/>
      <c r="E25" s="1153">
        <v>1.1000000000000001</v>
      </c>
      <c r="F25" s="1132"/>
      <c r="G25" s="1133"/>
      <c r="H25" s="1104"/>
      <c r="I25" s="1104"/>
    </row>
    <row r="26" spans="1:9" s="1598" customFormat="1" ht="19.5" customHeight="1">
      <c r="A26" s="3553"/>
      <c r="B26" s="3553"/>
      <c r="C26" s="1130" t="s">
        <v>1462</v>
      </c>
      <c r="D26" s="1131"/>
      <c r="E26" s="1153">
        <v>1.1000000000000001</v>
      </c>
      <c r="F26" s="1132"/>
      <c r="G26" s="1133"/>
      <c r="H26" s="1104"/>
      <c r="I26" s="1104"/>
    </row>
    <row r="27" spans="1:9" s="1598" customFormat="1" ht="19.5" customHeight="1">
      <c r="A27" s="3553"/>
      <c r="B27" s="3553"/>
      <c r="C27" s="1130" t="s">
        <v>1463</v>
      </c>
      <c r="D27" s="1131"/>
      <c r="E27" s="1153">
        <v>0.9</v>
      </c>
      <c r="F27" s="1132" t="s">
        <v>1464</v>
      </c>
      <c r="G27" s="1133"/>
      <c r="H27" s="1104"/>
      <c r="I27" s="1104"/>
    </row>
    <row r="28" spans="1:9" s="1598" customFormat="1" ht="19.5" customHeight="1">
      <c r="A28" s="3553"/>
      <c r="B28" s="3553"/>
      <c r="C28" s="1130" t="s">
        <v>1465</v>
      </c>
      <c r="D28" s="1131"/>
      <c r="E28" s="1153">
        <v>0.9</v>
      </c>
      <c r="F28" s="1132" t="s">
        <v>1466</v>
      </c>
      <c r="G28" s="1133"/>
      <c r="H28" s="1104"/>
      <c r="I28" s="1104"/>
    </row>
    <row r="29" spans="1:9" s="1598" customFormat="1" ht="19.5" customHeight="1">
      <c r="A29" s="3553"/>
      <c r="B29" s="3553"/>
      <c r="C29" s="1130" t="s">
        <v>1467</v>
      </c>
      <c r="D29" s="1131"/>
      <c r="E29" s="1153">
        <v>0.9</v>
      </c>
      <c r="F29" s="1132" t="s">
        <v>1468</v>
      </c>
      <c r="G29" s="1133"/>
      <c r="H29" s="1104"/>
      <c r="I29" s="1104"/>
    </row>
    <row r="30" spans="1:9" s="1598" customFormat="1" ht="19.5" customHeight="1">
      <c r="A30" s="3553"/>
      <c r="B30" s="3553"/>
      <c r="C30" s="1130" t="s">
        <v>1469</v>
      </c>
      <c r="D30" s="1131"/>
      <c r="E30" s="1153">
        <v>0.9</v>
      </c>
      <c r="F30" s="1132" t="s">
        <v>1470</v>
      </c>
      <c r="G30" s="1133"/>
      <c r="H30" s="1104"/>
      <c r="I30" s="1104"/>
    </row>
    <row r="31" spans="1:9" s="1598" customFormat="1" ht="19.5" customHeight="1">
      <c r="A31" s="3553"/>
      <c r="B31" s="3553"/>
      <c r="C31" s="1130" t="s">
        <v>1471</v>
      </c>
      <c r="D31" s="1131"/>
      <c r="E31" s="1153">
        <v>0.8</v>
      </c>
      <c r="F31" s="1132" t="s">
        <v>1472</v>
      </c>
      <c r="G31" s="1133"/>
      <c r="H31" s="1104"/>
      <c r="I31" s="1104"/>
    </row>
    <row r="32" spans="1:9" s="1598" customFormat="1" ht="19.5" customHeight="1">
      <c r="A32" s="3553"/>
      <c r="B32" s="3553"/>
      <c r="C32" s="1130" t="s">
        <v>1473</v>
      </c>
      <c r="D32" s="1131"/>
      <c r="E32" s="1153">
        <v>0.8</v>
      </c>
      <c r="F32" s="1132" t="s">
        <v>1474</v>
      </c>
      <c r="G32" s="1133"/>
      <c r="H32" s="1104"/>
      <c r="I32" s="1104"/>
    </row>
    <row r="33" spans="1:9" s="1598" customFormat="1" ht="19.5" customHeight="1">
      <c r="A33" s="3553" t="s">
        <v>1475</v>
      </c>
      <c r="B33" s="1153" t="s">
        <v>1447</v>
      </c>
      <c r="C33" s="1130" t="s">
        <v>1476</v>
      </c>
      <c r="D33" s="1131"/>
      <c r="E33" s="1153">
        <v>1</v>
      </c>
      <c r="F33" s="1132" t="s">
        <v>1477</v>
      </c>
      <c r="G33" s="1133"/>
      <c r="H33" s="1104"/>
      <c r="I33" s="1104"/>
    </row>
    <row r="34" spans="1:9" s="1598" customFormat="1" ht="19.5" customHeight="1">
      <c r="A34" s="3553"/>
      <c r="B34" s="1153" t="s">
        <v>1450</v>
      </c>
      <c r="C34" s="1130" t="s">
        <v>1478</v>
      </c>
      <c r="D34" s="1131"/>
      <c r="E34" s="1153">
        <v>1.5</v>
      </c>
      <c r="F34" s="1132" t="s">
        <v>1479</v>
      </c>
      <c r="G34" s="1133"/>
      <c r="H34" s="1104"/>
      <c r="I34" s="1104"/>
    </row>
    <row r="35" spans="1:9" s="1598" customFormat="1" ht="19.5" customHeight="1">
      <c r="A35" s="3553" t="s">
        <v>1433</v>
      </c>
      <c r="B35" s="1153" t="s">
        <v>1447</v>
      </c>
      <c r="C35" s="1130" t="s">
        <v>1480</v>
      </c>
      <c r="D35" s="1131"/>
      <c r="E35" s="1153">
        <v>1</v>
      </c>
      <c r="F35" s="1132" t="s">
        <v>1481</v>
      </c>
      <c r="G35" s="1133"/>
      <c r="H35" s="1104"/>
      <c r="I35" s="1104"/>
    </row>
    <row r="36" spans="1:9" s="1598" customFormat="1" ht="19.5" customHeight="1">
      <c r="A36" s="3553"/>
      <c r="B36" s="3553" t="s">
        <v>1450</v>
      </c>
      <c r="C36" s="1130" t="s">
        <v>1482</v>
      </c>
      <c r="D36" s="1131"/>
      <c r="E36" s="1153">
        <v>1</v>
      </c>
      <c r="F36" s="1132" t="s">
        <v>1483</v>
      </c>
      <c r="G36" s="1133"/>
      <c r="H36" s="1104"/>
      <c r="I36" s="1104"/>
    </row>
    <row r="37" spans="1:9" s="1598" customFormat="1" ht="19.5" customHeight="1">
      <c r="A37" s="3553"/>
      <c r="B37" s="3553"/>
      <c r="C37" s="1130" t="s">
        <v>1484</v>
      </c>
      <c r="D37" s="1131"/>
      <c r="E37" s="1153">
        <v>1.5</v>
      </c>
      <c r="F37" s="1132" t="s">
        <v>1485</v>
      </c>
      <c r="G37" s="1133"/>
      <c r="H37" s="1104"/>
      <c r="I37" s="1104"/>
    </row>
    <row r="38" spans="1:9" s="1598" customFormat="1" ht="19.5" customHeight="1">
      <c r="A38" s="3553"/>
      <c r="B38" s="3553"/>
      <c r="C38" s="1130" t="s">
        <v>1486</v>
      </c>
      <c r="D38" s="1131"/>
      <c r="E38" s="1153">
        <v>1</v>
      </c>
      <c r="F38" s="1132" t="s">
        <v>1487</v>
      </c>
      <c r="G38" s="1133"/>
      <c r="H38" s="1104"/>
      <c r="I38" s="1104"/>
    </row>
    <row r="39" spans="1:9" s="1598" customFormat="1" ht="19.5" customHeight="1">
      <c r="A39" s="3553"/>
      <c r="B39" s="3553"/>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553" t="s">
        <v>1502</v>
      </c>
      <c r="C61" s="1067" t="s">
        <v>1503</v>
      </c>
      <c r="D61" s="1067" t="s">
        <v>1504</v>
      </c>
      <c r="E61" s="1138">
        <v>0.5</v>
      </c>
      <c r="F61" s="1153">
        <v>80</v>
      </c>
      <c r="H61" s="1104">
        <f>SUMIF(C59:C119,基准地价!C8,E59:E119)</f>
        <v>0</v>
      </c>
    </row>
    <row r="62" spans="1:8" s="1104" customFormat="1" ht="24">
      <c r="A62" s="1153">
        <v>2</v>
      </c>
      <c r="B62" s="3553"/>
      <c r="C62" s="1067" t="s">
        <v>1505</v>
      </c>
      <c r="D62" s="1067" t="s">
        <v>1506</v>
      </c>
      <c r="E62" s="1138">
        <v>0.5</v>
      </c>
      <c r="F62" s="1153">
        <v>80</v>
      </c>
    </row>
    <row r="63" spans="1:8" s="1104" customFormat="1" ht="36">
      <c r="A63" s="1153">
        <v>3</v>
      </c>
      <c r="B63" s="3553"/>
      <c r="C63" s="1067" t="s">
        <v>1507</v>
      </c>
      <c r="D63" s="1067" t="s">
        <v>1508</v>
      </c>
      <c r="E63" s="1138">
        <v>0.5</v>
      </c>
      <c r="F63" s="1153">
        <v>80</v>
      </c>
    </row>
    <row r="64" spans="1:8" s="1104" customFormat="1" ht="36">
      <c r="A64" s="1153">
        <v>4</v>
      </c>
      <c r="B64" s="3553"/>
      <c r="C64" s="1067" t="s">
        <v>1509</v>
      </c>
      <c r="D64" s="1067" t="s">
        <v>1510</v>
      </c>
      <c r="E64" s="1138">
        <v>0.4</v>
      </c>
      <c r="F64" s="1153">
        <v>60</v>
      </c>
    </row>
    <row r="65" spans="1:6" s="1104" customFormat="1" ht="36">
      <c r="A65" s="1153">
        <v>5</v>
      </c>
      <c r="B65" s="3553"/>
      <c r="C65" s="1067" t="s">
        <v>1511</v>
      </c>
      <c r="D65" s="1067" t="s">
        <v>1512</v>
      </c>
      <c r="E65" s="1138">
        <v>0.2</v>
      </c>
      <c r="F65" s="1153">
        <v>30</v>
      </c>
    </row>
    <row r="66" spans="1:6" s="1104" customFormat="1" ht="36">
      <c r="A66" s="1153">
        <v>6</v>
      </c>
      <c r="B66" s="3553"/>
      <c r="C66" s="1067" t="s">
        <v>1513</v>
      </c>
      <c r="D66" s="1067" t="s">
        <v>1514</v>
      </c>
      <c r="E66" s="1138">
        <v>0.3</v>
      </c>
      <c r="F66" s="1153">
        <v>50</v>
      </c>
    </row>
    <row r="67" spans="1:6" s="1104" customFormat="1" ht="36">
      <c r="A67" s="1153">
        <v>7</v>
      </c>
      <c r="B67" s="3553"/>
      <c r="C67" s="1067" t="s">
        <v>1515</v>
      </c>
      <c r="D67" s="1067" t="s">
        <v>1516</v>
      </c>
      <c r="E67" s="1138">
        <v>0.2</v>
      </c>
      <c r="F67" s="1153">
        <v>30</v>
      </c>
    </row>
    <row r="68" spans="1:6" s="1104" customFormat="1" ht="36">
      <c r="A68" s="1153">
        <v>8</v>
      </c>
      <c r="B68" s="3553"/>
      <c r="C68" s="1067" t="s">
        <v>1517</v>
      </c>
      <c r="D68" s="1067" t="s">
        <v>1518</v>
      </c>
      <c r="E68" s="1138">
        <v>0.2</v>
      </c>
      <c r="F68" s="1153">
        <v>30</v>
      </c>
    </row>
    <row r="69" spans="1:6" s="1104" customFormat="1" ht="36">
      <c r="A69" s="1153">
        <v>9</v>
      </c>
      <c r="B69" s="3553"/>
      <c r="C69" s="1067" t="s">
        <v>1519</v>
      </c>
      <c r="D69" s="1067" t="s">
        <v>1520</v>
      </c>
      <c r="E69" s="1138">
        <v>0.2</v>
      </c>
      <c r="F69" s="1153">
        <v>30</v>
      </c>
    </row>
    <row r="70" spans="1:6" s="1104" customFormat="1" ht="48">
      <c r="A70" s="1153">
        <v>10</v>
      </c>
      <c r="B70" s="3553"/>
      <c r="C70" s="1067" t="s">
        <v>1521</v>
      </c>
      <c r="D70" s="1067" t="s">
        <v>1522</v>
      </c>
      <c r="E70" s="1138">
        <v>0.2</v>
      </c>
      <c r="F70" s="1153">
        <v>30</v>
      </c>
    </row>
    <row r="71" spans="1:6" s="1104" customFormat="1" ht="48">
      <c r="A71" s="1153">
        <v>11</v>
      </c>
      <c r="B71" s="3553"/>
      <c r="C71" s="1067" t="s">
        <v>1523</v>
      </c>
      <c r="D71" s="1067" t="s">
        <v>1524</v>
      </c>
      <c r="E71" s="1138">
        <v>0.2</v>
      </c>
      <c r="F71" s="1153">
        <v>30</v>
      </c>
    </row>
    <row r="72" spans="1:6" s="1104" customFormat="1" ht="36">
      <c r="A72" s="1153">
        <v>12</v>
      </c>
      <c r="B72" s="3553"/>
      <c r="C72" s="1067" t="s">
        <v>1525</v>
      </c>
      <c r="D72" s="1067" t="s">
        <v>1526</v>
      </c>
      <c r="E72" s="1138">
        <v>0.5</v>
      </c>
      <c r="F72" s="1153">
        <v>80</v>
      </c>
    </row>
    <row r="73" spans="1:6" s="1104" customFormat="1" ht="24">
      <c r="A73" s="1153">
        <v>13</v>
      </c>
      <c r="B73" s="3553"/>
      <c r="C73" s="1067" t="s">
        <v>1527</v>
      </c>
      <c r="D73" s="1067" t="s">
        <v>1528</v>
      </c>
      <c r="E73" s="1138">
        <v>0.4</v>
      </c>
      <c r="F73" s="1153">
        <v>60</v>
      </c>
    </row>
    <row r="74" spans="1:6" s="1104" customFormat="1" ht="24">
      <c r="A74" s="1153">
        <v>14</v>
      </c>
      <c r="B74" s="3553"/>
      <c r="C74" s="1067" t="s">
        <v>1529</v>
      </c>
      <c r="D74" s="1067" t="s">
        <v>1530</v>
      </c>
      <c r="E74" s="1138">
        <v>0.2</v>
      </c>
      <c r="F74" s="1153">
        <v>30</v>
      </c>
    </row>
    <row r="75" spans="1:6" s="1104" customFormat="1" ht="24">
      <c r="A75" s="1153">
        <v>15</v>
      </c>
      <c r="B75" s="3553"/>
      <c r="C75" s="1067" t="s">
        <v>1531</v>
      </c>
      <c r="D75" s="1067" t="s">
        <v>1532</v>
      </c>
      <c r="E75" s="1138">
        <v>0.2</v>
      </c>
      <c r="F75" s="1153">
        <v>30</v>
      </c>
    </row>
    <row r="76" spans="1:6" s="1104" customFormat="1" ht="24">
      <c r="A76" s="1153">
        <v>16</v>
      </c>
      <c r="B76" s="3553" t="s">
        <v>1533</v>
      </c>
      <c r="C76" s="1067" t="s">
        <v>1534</v>
      </c>
      <c r="D76" s="1067" t="s">
        <v>1535</v>
      </c>
      <c r="E76" s="1138">
        <v>0.5</v>
      </c>
      <c r="F76" s="1153">
        <v>80</v>
      </c>
    </row>
    <row r="77" spans="1:6" s="1104" customFormat="1" ht="24">
      <c r="A77" s="1153">
        <v>17</v>
      </c>
      <c r="B77" s="3553"/>
      <c r="C77" s="1067" t="s">
        <v>1536</v>
      </c>
      <c r="D77" s="1067" t="s">
        <v>1537</v>
      </c>
      <c r="E77" s="1138">
        <v>0.5</v>
      </c>
      <c r="F77" s="1153">
        <v>80</v>
      </c>
    </row>
    <row r="78" spans="1:6" s="1104" customFormat="1" ht="24">
      <c r="A78" s="1153">
        <v>18</v>
      </c>
      <c r="B78" s="3553"/>
      <c r="C78" s="1067" t="s">
        <v>1538</v>
      </c>
      <c r="D78" s="1067" t="s">
        <v>1539</v>
      </c>
      <c r="E78" s="1138">
        <v>0.2</v>
      </c>
      <c r="F78" s="1153">
        <v>30</v>
      </c>
    </row>
    <row r="79" spans="1:6" s="1104" customFormat="1" ht="24">
      <c r="A79" s="1153">
        <v>19</v>
      </c>
      <c r="B79" s="3553"/>
      <c r="C79" s="1067" t="s">
        <v>1540</v>
      </c>
      <c r="D79" s="1067" t="s">
        <v>1541</v>
      </c>
      <c r="E79" s="1138">
        <v>0.5</v>
      </c>
      <c r="F79" s="1153">
        <v>80</v>
      </c>
    </row>
    <row r="80" spans="1:6" s="1104" customFormat="1" ht="36">
      <c r="A80" s="1153">
        <v>20</v>
      </c>
      <c r="B80" s="3553"/>
      <c r="C80" s="1067" t="s">
        <v>1542</v>
      </c>
      <c r="D80" s="1067" t="s">
        <v>1543</v>
      </c>
      <c r="E80" s="1138">
        <v>0.2</v>
      </c>
      <c r="F80" s="1153">
        <v>30</v>
      </c>
    </row>
    <row r="81" spans="1:6" s="1104" customFormat="1" ht="36">
      <c r="A81" s="1153">
        <v>21</v>
      </c>
      <c r="B81" s="3553"/>
      <c r="C81" s="1067" t="s">
        <v>1544</v>
      </c>
      <c r="D81" s="1067" t="s">
        <v>1545</v>
      </c>
      <c r="E81" s="1138">
        <v>0.2</v>
      </c>
      <c r="F81" s="1153">
        <v>30</v>
      </c>
    </row>
    <row r="82" spans="1:6" s="1104" customFormat="1" ht="48">
      <c r="A82" s="1153">
        <v>22</v>
      </c>
      <c r="B82" s="3553"/>
      <c r="C82" s="1067" t="s">
        <v>1546</v>
      </c>
      <c r="D82" s="1067" t="s">
        <v>1547</v>
      </c>
      <c r="E82" s="1138">
        <v>0.2</v>
      </c>
      <c r="F82" s="1153">
        <v>30</v>
      </c>
    </row>
    <row r="83" spans="1:6" s="1104" customFormat="1" ht="48">
      <c r="A83" s="1153">
        <v>23</v>
      </c>
      <c r="B83" s="3553"/>
      <c r="C83" s="1067" t="s">
        <v>1548</v>
      </c>
      <c r="D83" s="1067" t="s">
        <v>1549</v>
      </c>
      <c r="E83" s="1138">
        <v>0.2</v>
      </c>
      <c r="F83" s="1153">
        <v>30</v>
      </c>
    </row>
    <row r="84" spans="1:6" s="1104" customFormat="1" ht="36">
      <c r="A84" s="1153">
        <v>24</v>
      </c>
      <c r="B84" s="3553"/>
      <c r="C84" s="1067" t="s">
        <v>1550</v>
      </c>
      <c r="D84" s="1067" t="s">
        <v>1551</v>
      </c>
      <c r="E84" s="1138">
        <v>0.2</v>
      </c>
      <c r="F84" s="1153">
        <v>30</v>
      </c>
    </row>
    <row r="85" spans="1:6" s="1104" customFormat="1" ht="36">
      <c r="A85" s="1153">
        <v>25</v>
      </c>
      <c r="B85" s="3553"/>
      <c r="C85" s="1067" t="s">
        <v>1552</v>
      </c>
      <c r="D85" s="1067" t="s">
        <v>1553</v>
      </c>
      <c r="E85" s="1138">
        <v>0.5</v>
      </c>
      <c r="F85" s="1153">
        <v>80</v>
      </c>
    </row>
    <row r="86" spans="1:6" s="1104" customFormat="1" ht="36">
      <c r="A86" s="1153">
        <v>26</v>
      </c>
      <c r="B86" s="3553"/>
      <c r="C86" s="1067" t="s">
        <v>1554</v>
      </c>
      <c r="D86" s="1067" t="s">
        <v>1555</v>
      </c>
      <c r="E86" s="1138">
        <v>0.2</v>
      </c>
      <c r="F86" s="1153">
        <v>30</v>
      </c>
    </row>
    <row r="87" spans="1:6" s="1104" customFormat="1" ht="36">
      <c r="A87" s="1153">
        <v>27</v>
      </c>
      <c r="B87" s="3553"/>
      <c r="C87" s="1067" t="s">
        <v>1556</v>
      </c>
      <c r="D87" s="1067" t="s">
        <v>1557</v>
      </c>
      <c r="E87" s="1138">
        <v>0.2</v>
      </c>
      <c r="F87" s="1153">
        <v>30</v>
      </c>
    </row>
    <row r="88" spans="1:6" s="1104" customFormat="1" ht="36">
      <c r="A88" s="1153">
        <v>28</v>
      </c>
      <c r="B88" s="3553"/>
      <c r="C88" s="1067" t="s">
        <v>1558</v>
      </c>
      <c r="D88" s="1067" t="s">
        <v>1559</v>
      </c>
      <c r="E88" s="1138">
        <v>0.2</v>
      </c>
      <c r="F88" s="1153">
        <v>30</v>
      </c>
    </row>
    <row r="89" spans="1:6" s="1104" customFormat="1" ht="24">
      <c r="A89" s="1153">
        <v>29</v>
      </c>
      <c r="B89" s="3553"/>
      <c r="C89" s="1067" t="s">
        <v>1560</v>
      </c>
      <c r="D89" s="1067" t="s">
        <v>1561</v>
      </c>
      <c r="E89" s="1138">
        <v>0.2</v>
      </c>
      <c r="F89" s="1153">
        <v>30</v>
      </c>
    </row>
    <row r="90" spans="1:6" s="1104" customFormat="1" ht="24">
      <c r="A90" s="1153">
        <v>30</v>
      </c>
      <c r="B90" s="3553"/>
      <c r="C90" s="1067" t="s">
        <v>1562</v>
      </c>
      <c r="D90" s="1067" t="s">
        <v>1563</v>
      </c>
      <c r="E90" s="1138">
        <v>0.2</v>
      </c>
      <c r="F90" s="1153">
        <v>30</v>
      </c>
    </row>
    <row r="91" spans="1:6" s="1104" customFormat="1" ht="36">
      <c r="A91" s="1153">
        <v>31</v>
      </c>
      <c r="B91" s="3553"/>
      <c r="C91" s="1067" t="s">
        <v>1564</v>
      </c>
      <c r="D91" s="1067" t="s">
        <v>1565</v>
      </c>
      <c r="E91" s="1138">
        <v>0.2</v>
      </c>
      <c r="F91" s="1153">
        <v>30</v>
      </c>
    </row>
    <row r="92" spans="1:6" s="1104" customFormat="1" ht="24">
      <c r="A92" s="1153">
        <v>32</v>
      </c>
      <c r="B92" s="3553" t="s">
        <v>1566</v>
      </c>
      <c r="C92" s="1153" t="s">
        <v>1567</v>
      </c>
      <c r="D92" s="1067" t="s">
        <v>1568</v>
      </c>
      <c r="E92" s="1138">
        <v>0.2</v>
      </c>
      <c r="F92" s="1153">
        <v>30</v>
      </c>
    </row>
    <row r="93" spans="1:6" s="1104" customFormat="1" ht="36">
      <c r="A93" s="1153">
        <v>33</v>
      </c>
      <c r="B93" s="3553"/>
      <c r="C93" s="1153" t="s">
        <v>1569</v>
      </c>
      <c r="D93" s="1067" t="s">
        <v>1570</v>
      </c>
      <c r="E93" s="1138">
        <v>0.2</v>
      </c>
      <c r="F93" s="1153">
        <v>30</v>
      </c>
    </row>
    <row r="94" spans="1:6" s="1104" customFormat="1" ht="48">
      <c r="A94" s="1153">
        <v>34</v>
      </c>
      <c r="B94" s="3553"/>
      <c r="C94" s="1153" t="s">
        <v>1571</v>
      </c>
      <c r="D94" s="1067" t="s">
        <v>1572</v>
      </c>
      <c r="E94" s="1138">
        <v>0.2</v>
      </c>
      <c r="F94" s="1153">
        <v>30</v>
      </c>
    </row>
    <row r="95" spans="1:6" s="1104" customFormat="1" ht="36">
      <c r="A95" s="1153">
        <v>35</v>
      </c>
      <c r="B95" s="3553"/>
      <c r="C95" s="1153" t="s">
        <v>1573</v>
      </c>
      <c r="D95" s="1067" t="s">
        <v>1574</v>
      </c>
      <c r="E95" s="1138">
        <v>0.2</v>
      </c>
      <c r="F95" s="1153">
        <v>30</v>
      </c>
    </row>
    <row r="96" spans="1:6" s="1104" customFormat="1" ht="48">
      <c r="A96" s="1153">
        <v>36</v>
      </c>
      <c r="B96" s="3553"/>
      <c r="C96" s="1067" t="s">
        <v>1575</v>
      </c>
      <c r="D96" s="1067" t="s">
        <v>1576</v>
      </c>
      <c r="E96" s="1138">
        <v>0.2</v>
      </c>
      <c r="F96" s="1153">
        <v>30</v>
      </c>
    </row>
    <row r="97" spans="1:6" s="1104" customFormat="1" ht="36">
      <c r="A97" s="1153">
        <v>37</v>
      </c>
      <c r="B97" s="3553"/>
      <c r="C97" s="1153" t="s">
        <v>1577</v>
      </c>
      <c r="D97" s="1067" t="s">
        <v>1578</v>
      </c>
      <c r="E97" s="1138">
        <v>0.2</v>
      </c>
      <c r="F97" s="1153">
        <v>30</v>
      </c>
    </row>
    <row r="98" spans="1:6" s="1104" customFormat="1" ht="36">
      <c r="A98" s="1153">
        <v>38</v>
      </c>
      <c r="B98" s="3553"/>
      <c r="C98" s="1153" t="s">
        <v>1579</v>
      </c>
      <c r="D98" s="1067" t="s">
        <v>1580</v>
      </c>
      <c r="E98" s="1138">
        <v>0.2</v>
      </c>
      <c r="F98" s="1153">
        <v>30</v>
      </c>
    </row>
    <row r="99" spans="1:6" s="1104" customFormat="1" ht="36">
      <c r="A99" s="1153">
        <v>39</v>
      </c>
      <c r="B99" s="3553" t="s">
        <v>1581</v>
      </c>
      <c r="C99" s="1153" t="s">
        <v>1582</v>
      </c>
      <c r="D99" s="1067" t="s">
        <v>1583</v>
      </c>
      <c r="E99" s="1138">
        <v>0.3</v>
      </c>
      <c r="F99" s="1153">
        <v>50</v>
      </c>
    </row>
    <row r="100" spans="1:6" s="1104" customFormat="1" ht="24">
      <c r="A100" s="1153">
        <v>40</v>
      </c>
      <c r="B100" s="3553"/>
      <c r="C100" s="1153" t="s">
        <v>1584</v>
      </c>
      <c r="D100" s="1067" t="s">
        <v>1585</v>
      </c>
      <c r="E100" s="1138">
        <v>0.2</v>
      </c>
      <c r="F100" s="1153">
        <v>30</v>
      </c>
    </row>
    <row r="101" spans="1:6" s="1104" customFormat="1" ht="36">
      <c r="A101" s="1153">
        <v>41</v>
      </c>
      <c r="B101" s="3553"/>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553" t="s">
        <v>1596</v>
      </c>
      <c r="C105" s="1153" t="s">
        <v>1597</v>
      </c>
      <c r="D105" s="1067" t="s">
        <v>1598</v>
      </c>
      <c r="E105" s="1138">
        <v>0.2</v>
      </c>
      <c r="F105" s="1153">
        <v>30</v>
      </c>
    </row>
    <row r="106" spans="1:6" s="1104" customFormat="1" ht="36">
      <c r="A106" s="1153">
        <v>46</v>
      </c>
      <c r="B106" s="3553"/>
      <c r="C106" s="1153" t="s">
        <v>1599</v>
      </c>
      <c r="D106" s="1067" t="s">
        <v>1600</v>
      </c>
      <c r="E106" s="1138">
        <v>0.2</v>
      </c>
      <c r="F106" s="1153">
        <v>30</v>
      </c>
    </row>
    <row r="107" spans="1:6" s="1104" customFormat="1" ht="36">
      <c r="A107" s="1153">
        <v>47</v>
      </c>
      <c r="B107" s="3553" t="s">
        <v>1601</v>
      </c>
      <c r="C107" s="1153" t="s">
        <v>1602</v>
      </c>
      <c r="D107" s="1067" t="s">
        <v>1603</v>
      </c>
      <c r="E107" s="1138">
        <v>0.3</v>
      </c>
      <c r="F107" s="1153">
        <v>50</v>
      </c>
    </row>
    <row r="108" spans="1:6" s="1104" customFormat="1" ht="36">
      <c r="A108" s="1153">
        <v>48</v>
      </c>
      <c r="B108" s="3553"/>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553" t="s">
        <v>1612</v>
      </c>
      <c r="C111" s="1153" t="s">
        <v>1613</v>
      </c>
      <c r="D111" s="1067" t="s">
        <v>1614</v>
      </c>
      <c r="E111" s="1138">
        <v>0.2</v>
      </c>
      <c r="F111" s="1153">
        <v>30</v>
      </c>
    </row>
    <row r="112" spans="1:6" s="1104" customFormat="1" ht="24">
      <c r="A112" s="1153">
        <v>52</v>
      </c>
      <c r="B112" s="3553"/>
      <c r="C112" s="1153" t="s">
        <v>1615</v>
      </c>
      <c r="D112" s="1067" t="s">
        <v>1616</v>
      </c>
      <c r="E112" s="1138">
        <v>0.2</v>
      </c>
      <c r="F112" s="1153">
        <v>30</v>
      </c>
    </row>
    <row r="113" spans="1:14" s="1104" customFormat="1" ht="24">
      <c r="A113" s="1153">
        <v>53</v>
      </c>
      <c r="B113" s="3553"/>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553" t="s">
        <v>1625</v>
      </c>
      <c r="C116" s="1153" t="s">
        <v>1626</v>
      </c>
      <c r="D116" s="1067" t="s">
        <v>1627</v>
      </c>
      <c r="E116" s="1138">
        <v>0.2</v>
      </c>
      <c r="F116" s="1153">
        <v>30</v>
      </c>
    </row>
    <row r="117" spans="1:14" ht="36">
      <c r="A117" s="1153">
        <v>57</v>
      </c>
      <c r="B117" s="3553"/>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552" t="s">
        <v>1634</v>
      </c>
      <c r="B121" s="3552"/>
      <c r="C121" s="3552"/>
      <c r="D121" s="3552"/>
      <c r="E121" s="3552"/>
      <c r="F121" s="3552"/>
      <c r="G121" s="3552"/>
      <c r="H121" s="3552"/>
      <c r="I121" s="3552"/>
      <c r="J121" s="3552"/>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565" t="s">
        <v>1040</v>
      </c>
      <c r="B1" s="3565"/>
      <c r="C1" s="3565"/>
      <c r="D1" s="3565"/>
      <c r="E1" s="3565"/>
      <c r="F1" s="3565"/>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566" t="s">
        <v>1053</v>
      </c>
      <c r="B2" s="3566"/>
      <c r="C2" s="3566"/>
      <c r="D2" s="3566"/>
      <c r="E2" s="3566"/>
      <c r="F2" s="3566"/>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567"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568"/>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2420</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2421</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569" t="s">
        <v>2079</v>
      </c>
      <c r="B1" s="3569"/>
    </row>
    <row r="2" spans="1:6" ht="14.25" thickBot="1">
      <c r="A2" s="1849"/>
      <c r="B2" s="1849"/>
    </row>
    <row r="3" spans="1:6" ht="14.25" thickBot="1">
      <c r="A3" s="1849"/>
      <c r="B3" s="1849"/>
      <c r="C3" s="1850" t="s">
        <v>2080</v>
      </c>
      <c r="D3" s="1850" t="s">
        <v>2081</v>
      </c>
      <c r="E3" s="1850" t="s">
        <v>2082</v>
      </c>
      <c r="F3" s="1850" t="s">
        <v>2083</v>
      </c>
    </row>
    <row r="4" spans="1:6" ht="14.25" thickBot="1">
      <c r="A4" s="1851" t="s">
        <v>2084</v>
      </c>
      <c r="B4" s="1852" t="s">
        <v>2085</v>
      </c>
      <c r="C4" s="1850"/>
      <c r="D4" s="1850"/>
      <c r="E4" s="1850"/>
      <c r="F4" s="1850"/>
    </row>
    <row r="5" spans="1:6" ht="14.25" thickBot="1">
      <c r="A5" s="1853" t="s">
        <v>2086</v>
      </c>
      <c r="B5" s="1854" t="s">
        <v>2087</v>
      </c>
      <c r="C5" s="1855">
        <v>8.8999999999999996E-2</v>
      </c>
      <c r="D5" s="1855">
        <v>7.3999999999999996E-2</v>
      </c>
      <c r="E5" s="1855">
        <v>7.4999999999999997E-2</v>
      </c>
      <c r="F5" s="1856">
        <v>0.1</v>
      </c>
    </row>
    <row r="6" spans="1:6" ht="14.25" thickBot="1">
      <c r="A6" s="1853" t="s">
        <v>1097</v>
      </c>
      <c r="B6" s="1857" t="s">
        <v>2088</v>
      </c>
      <c r="C6" s="1858">
        <v>0.1</v>
      </c>
      <c r="D6" s="1858">
        <v>9.0999999999999998E-2</v>
      </c>
      <c r="E6" s="1858">
        <v>9.0999999999999998E-2</v>
      </c>
      <c r="F6" s="1859">
        <v>0.1</v>
      </c>
    </row>
    <row r="7" spans="1:6" ht="14.25" thickBot="1">
      <c r="A7" s="1853" t="s">
        <v>1097</v>
      </c>
      <c r="B7" s="1860" t="s">
        <v>1085</v>
      </c>
      <c r="C7" s="1858">
        <v>8.5999999999999993E-2</v>
      </c>
      <c r="D7" s="1858">
        <v>9.6000000000000002E-2</v>
      </c>
      <c r="E7" s="1858">
        <v>7.5999999999999998E-2</v>
      </c>
      <c r="F7" s="1859">
        <v>0.1</v>
      </c>
    </row>
    <row r="8" spans="1:6" ht="14.25" thickBot="1">
      <c r="A8" s="1853" t="s">
        <v>1097</v>
      </c>
      <c r="B8" s="1857" t="s">
        <v>1098</v>
      </c>
      <c r="C8" s="1858">
        <v>9.9000000000000005E-2</v>
      </c>
      <c r="D8" s="1858">
        <v>9.8000000000000004E-2</v>
      </c>
      <c r="E8" s="1858">
        <v>9.8000000000000004E-2</v>
      </c>
      <c r="F8" s="1859">
        <v>0.1</v>
      </c>
    </row>
    <row r="9" spans="1:6" ht="14.25" thickBot="1">
      <c r="A9" s="1861" t="s">
        <v>1097</v>
      </c>
      <c r="B9" s="1862" t="s">
        <v>1112</v>
      </c>
      <c r="C9" s="1863">
        <v>0.05</v>
      </c>
      <c r="D9" s="1864"/>
      <c r="E9" s="1864"/>
      <c r="F9" s="1865"/>
    </row>
    <row r="10" spans="1:6" ht="14.25" thickBot="1">
      <c r="A10" s="1853" t="s">
        <v>1156</v>
      </c>
      <c r="B10" s="1854" t="s">
        <v>2089</v>
      </c>
      <c r="C10" s="1855">
        <v>8.8999999999999996E-2</v>
      </c>
      <c r="D10" s="1855">
        <v>7.2999999999999995E-2</v>
      </c>
      <c r="E10" s="1855">
        <v>8.2000000000000003E-2</v>
      </c>
      <c r="F10" s="1856">
        <v>0.1</v>
      </c>
    </row>
    <row r="11" spans="1:6" ht="14.25" thickBot="1">
      <c r="A11" s="1853" t="s">
        <v>1156</v>
      </c>
      <c r="B11" s="1860" t="s">
        <v>1072</v>
      </c>
      <c r="C11" s="1858">
        <v>8.8999999999999996E-2</v>
      </c>
      <c r="D11" s="1858">
        <v>7.2999999999999995E-2</v>
      </c>
      <c r="E11" s="1858">
        <v>8.2000000000000003E-2</v>
      </c>
      <c r="F11" s="1859">
        <v>0.1</v>
      </c>
    </row>
    <row r="12" spans="1:6" ht="14.25" thickBot="1">
      <c r="A12" s="1853" t="s">
        <v>1156</v>
      </c>
      <c r="B12" s="1860" t="s">
        <v>1086</v>
      </c>
      <c r="C12" s="1858">
        <v>6.0999999999999999E-2</v>
      </c>
      <c r="D12" s="1858">
        <v>7.0999999999999994E-2</v>
      </c>
      <c r="E12" s="1858">
        <v>9.6000000000000002E-2</v>
      </c>
      <c r="F12" s="1859">
        <v>0.1</v>
      </c>
    </row>
    <row r="13" spans="1:6" ht="14.25" thickBot="1">
      <c r="A13" s="1853" t="s">
        <v>1156</v>
      </c>
      <c r="B13" s="1860" t="s">
        <v>1099</v>
      </c>
      <c r="C13" s="1858">
        <v>6.9000000000000006E-2</v>
      </c>
      <c r="D13" s="1858">
        <v>6.5000000000000002E-2</v>
      </c>
      <c r="E13" s="1858">
        <v>6.6000000000000003E-2</v>
      </c>
      <c r="F13" s="1859">
        <v>0.1</v>
      </c>
    </row>
    <row r="14" spans="1:6" ht="14.25" thickBot="1">
      <c r="A14" s="1853" t="s">
        <v>1156</v>
      </c>
      <c r="B14" s="1860" t="s">
        <v>1113</v>
      </c>
      <c r="C14" s="1858">
        <v>0.1</v>
      </c>
      <c r="D14" s="1858">
        <v>6.5000000000000002E-2</v>
      </c>
      <c r="E14" s="1858">
        <v>7.0000000000000007E-2</v>
      </c>
      <c r="F14" s="1859">
        <v>0.1</v>
      </c>
    </row>
    <row r="15" spans="1:6" ht="14.25" thickBot="1">
      <c r="A15" s="1853" t="s">
        <v>1156</v>
      </c>
      <c r="B15" s="1860" t="s">
        <v>1124</v>
      </c>
      <c r="C15" s="1858">
        <v>9.8000000000000004E-2</v>
      </c>
      <c r="D15" s="1858">
        <v>8.8999999999999996E-2</v>
      </c>
      <c r="E15" s="1858">
        <v>8.8999999999999996E-2</v>
      </c>
      <c r="F15" s="1859">
        <v>0.1</v>
      </c>
    </row>
    <row r="16" spans="1:6" ht="14.25" thickBot="1">
      <c r="A16" s="1853" t="s">
        <v>1156</v>
      </c>
      <c r="B16" s="1860" t="s">
        <v>1135</v>
      </c>
      <c r="C16" s="1858">
        <v>7.0000000000000007E-2</v>
      </c>
      <c r="D16" s="1858">
        <v>9.2999999999999999E-2</v>
      </c>
      <c r="E16" s="1858">
        <v>9.6000000000000002E-2</v>
      </c>
      <c r="F16" s="1859">
        <v>0.1</v>
      </c>
    </row>
    <row r="17" spans="1:6" ht="14.25" thickBot="1">
      <c r="A17" s="1853" t="s">
        <v>1156</v>
      </c>
      <c r="B17" s="1860" t="s">
        <v>1146</v>
      </c>
      <c r="C17" s="1858">
        <v>9.5000000000000001E-2</v>
      </c>
      <c r="D17" s="1858">
        <v>0.1</v>
      </c>
      <c r="E17" s="1858">
        <v>0.1</v>
      </c>
      <c r="F17" s="1866"/>
    </row>
    <row r="18" spans="1:6" ht="14.25" thickBot="1">
      <c r="A18" s="1853" t="s">
        <v>1156</v>
      </c>
      <c r="B18" s="1860" t="s">
        <v>1158</v>
      </c>
      <c r="C18" s="1858">
        <v>7.3999999999999996E-2</v>
      </c>
      <c r="D18" s="1858">
        <v>9.9000000000000005E-2</v>
      </c>
      <c r="E18" s="1858">
        <v>0.1</v>
      </c>
      <c r="F18" s="1866"/>
    </row>
    <row r="19" spans="1:6" ht="14.25" thickBot="1">
      <c r="A19" s="1853" t="s">
        <v>1156</v>
      </c>
      <c r="B19" s="1860" t="s">
        <v>1168</v>
      </c>
      <c r="C19" s="1858">
        <v>9.9000000000000005E-2</v>
      </c>
      <c r="D19" s="1858">
        <v>7.5999999999999998E-2</v>
      </c>
      <c r="E19" s="1858">
        <v>8.6999999999999994E-2</v>
      </c>
      <c r="F19" s="1866"/>
    </row>
    <row r="20" spans="1:6" ht="14.25" thickBot="1">
      <c r="A20" s="1853" t="s">
        <v>1156</v>
      </c>
      <c r="B20" s="1860" t="s">
        <v>1178</v>
      </c>
      <c r="C20" s="1858">
        <v>9.8000000000000004E-2</v>
      </c>
      <c r="D20" s="1858">
        <v>8.5000000000000006E-2</v>
      </c>
      <c r="E20" s="1858">
        <v>8.2000000000000003E-2</v>
      </c>
      <c r="F20" s="1866"/>
    </row>
    <row r="21" spans="1:6" ht="14.25" thickBot="1">
      <c r="A21" s="1853" t="s">
        <v>1156</v>
      </c>
      <c r="B21" s="1860" t="s">
        <v>1188</v>
      </c>
      <c r="C21" s="1858">
        <v>6.6000000000000003E-2</v>
      </c>
      <c r="D21" s="1858">
        <v>6.4000000000000001E-2</v>
      </c>
      <c r="E21" s="1858">
        <v>6.5000000000000002E-2</v>
      </c>
      <c r="F21" s="1866"/>
    </row>
    <row r="22" spans="1:6" ht="14.25" thickBot="1">
      <c r="A22" s="1853" t="s">
        <v>1156</v>
      </c>
      <c r="B22" s="1860" t="s">
        <v>2090</v>
      </c>
      <c r="C22" s="1858">
        <v>0.08</v>
      </c>
      <c r="D22" s="1858">
        <v>9.8000000000000004E-2</v>
      </c>
      <c r="E22" s="1858">
        <v>9.8000000000000004E-2</v>
      </c>
      <c r="F22" s="1866"/>
    </row>
    <row r="23" spans="1:6" ht="14.25" thickBot="1">
      <c r="A23" s="1853" t="s">
        <v>1156</v>
      </c>
      <c r="B23" s="1860" t="s">
        <v>1208</v>
      </c>
      <c r="C23" s="1858">
        <v>9.9000000000000005E-2</v>
      </c>
      <c r="D23" s="1858">
        <v>9.8000000000000004E-2</v>
      </c>
      <c r="E23" s="1858">
        <v>9.0999999999999998E-2</v>
      </c>
      <c r="F23" s="1866"/>
    </row>
    <row r="24" spans="1:6" ht="14.25" thickBot="1">
      <c r="A24" s="1853" t="s">
        <v>1156</v>
      </c>
      <c r="B24" s="1860" t="s">
        <v>1218</v>
      </c>
      <c r="C24" s="1858">
        <v>8.8999999999999996E-2</v>
      </c>
      <c r="D24" s="1858">
        <v>9.7000000000000003E-2</v>
      </c>
      <c r="E24" s="1858">
        <v>7.0000000000000007E-2</v>
      </c>
      <c r="F24" s="1866"/>
    </row>
    <row r="25" spans="1:6" ht="14.25" thickBot="1">
      <c r="A25" s="1853" t="s">
        <v>1156</v>
      </c>
      <c r="B25" s="1860" t="s">
        <v>1228</v>
      </c>
      <c r="C25" s="1858">
        <v>8.8999999999999996E-2</v>
      </c>
      <c r="D25" s="1858">
        <v>0.1</v>
      </c>
      <c r="E25" s="1858">
        <v>8.1000000000000003E-2</v>
      </c>
      <c r="F25" s="1866"/>
    </row>
    <row r="26" spans="1:6" ht="14.25" thickBot="1">
      <c r="A26" s="1853" t="s">
        <v>1156</v>
      </c>
      <c r="B26" s="1860" t="s">
        <v>1238</v>
      </c>
      <c r="C26" s="1867"/>
      <c r="D26" s="1858">
        <v>9.6000000000000002E-2</v>
      </c>
      <c r="E26" s="1858">
        <v>9.2999999999999999E-2</v>
      </c>
      <c r="F26" s="1866"/>
    </row>
    <row r="27" spans="1:6" ht="14.25" thickBot="1">
      <c r="A27" s="1853" t="s">
        <v>1156</v>
      </c>
      <c r="B27" s="1860" t="s">
        <v>1248</v>
      </c>
      <c r="C27" s="1867"/>
      <c r="D27" s="1858">
        <v>7.5999999999999998E-2</v>
      </c>
      <c r="E27" s="1858">
        <v>9.1999999999999998E-2</v>
      </c>
      <c r="F27" s="1866"/>
    </row>
    <row r="28" spans="1:6" ht="14.25" thickBot="1">
      <c r="A28" s="1861" t="s">
        <v>1156</v>
      </c>
      <c r="B28" s="1862" t="s">
        <v>1258</v>
      </c>
      <c r="C28" s="1864"/>
      <c r="D28" s="1863">
        <v>7.5999999999999998E-2</v>
      </c>
      <c r="E28" s="1863">
        <v>9.1999999999999998E-2</v>
      </c>
      <c r="F28" s="1865"/>
    </row>
    <row r="29" spans="1:6" ht="14.25" thickBot="1">
      <c r="A29" s="1853" t="s">
        <v>1327</v>
      </c>
      <c r="B29" s="1854" t="s">
        <v>2091</v>
      </c>
      <c r="C29" s="1855">
        <v>6.4000000000000001E-2</v>
      </c>
      <c r="D29" s="1855">
        <v>6.5000000000000002E-2</v>
      </c>
      <c r="E29" s="1855">
        <v>6.9000000000000006E-2</v>
      </c>
      <c r="F29" s="1856">
        <v>0.1</v>
      </c>
    </row>
    <row r="30" spans="1:6" ht="14.25" thickBot="1">
      <c r="A30" s="1853" t="s">
        <v>1327</v>
      </c>
      <c r="B30" s="1860" t="s">
        <v>1073</v>
      </c>
      <c r="C30" s="1858">
        <v>6.4000000000000001E-2</v>
      </c>
      <c r="D30" s="1858">
        <v>9.9000000000000005E-2</v>
      </c>
      <c r="E30" s="1858">
        <v>0.1</v>
      </c>
      <c r="F30" s="1859">
        <v>0.1</v>
      </c>
    </row>
    <row r="31" spans="1:6" ht="14.25" thickBot="1">
      <c r="A31" s="1853" t="s">
        <v>1327</v>
      </c>
      <c r="B31" s="1860" t="s">
        <v>1087</v>
      </c>
      <c r="C31" s="1858">
        <v>0.1</v>
      </c>
      <c r="D31" s="1858">
        <v>9.5000000000000001E-2</v>
      </c>
      <c r="E31" s="1858">
        <v>8.8999999999999996E-2</v>
      </c>
      <c r="F31" s="1859">
        <v>0.1</v>
      </c>
    </row>
    <row r="32" spans="1:6" ht="14.25" thickBot="1">
      <c r="A32" s="1853" t="s">
        <v>1327</v>
      </c>
      <c r="B32" s="1860" t="s">
        <v>1100</v>
      </c>
      <c r="C32" s="1858">
        <v>0.05</v>
      </c>
      <c r="D32" s="1858">
        <v>0.05</v>
      </c>
      <c r="E32" s="1858">
        <v>8.7999999999999995E-2</v>
      </c>
      <c r="F32" s="1859">
        <v>0.1</v>
      </c>
    </row>
    <row r="33" spans="1:6" ht="14.25" thickBot="1">
      <c r="A33" s="1853" t="s">
        <v>1327</v>
      </c>
      <c r="B33" s="1860" t="s">
        <v>1114</v>
      </c>
      <c r="C33" s="1858">
        <v>7.4999999999999997E-2</v>
      </c>
      <c r="D33" s="1858">
        <v>9.4E-2</v>
      </c>
      <c r="E33" s="1858">
        <v>9.7000000000000003E-2</v>
      </c>
      <c r="F33" s="1859">
        <v>0.1</v>
      </c>
    </row>
    <row r="34" spans="1:6" ht="14.25" thickBot="1">
      <c r="A34" s="1853" t="s">
        <v>1327</v>
      </c>
      <c r="B34" s="1860" t="s">
        <v>1125</v>
      </c>
      <c r="C34" s="1858">
        <v>9.8000000000000004E-2</v>
      </c>
      <c r="D34" s="1858">
        <v>8.5999999999999993E-2</v>
      </c>
      <c r="E34" s="1858">
        <v>9.7000000000000003E-2</v>
      </c>
      <c r="F34" s="1859">
        <v>0.1</v>
      </c>
    </row>
    <row r="35" spans="1:6" ht="14.25" thickBot="1">
      <c r="A35" s="1853" t="s">
        <v>1327</v>
      </c>
      <c r="B35" s="1860" t="s">
        <v>1136</v>
      </c>
      <c r="C35" s="1858">
        <v>5.8999999999999997E-2</v>
      </c>
      <c r="D35" s="1858">
        <v>6.5000000000000002E-2</v>
      </c>
      <c r="E35" s="1858">
        <v>7.0000000000000007E-2</v>
      </c>
      <c r="F35" s="1859">
        <v>0.1</v>
      </c>
    </row>
    <row r="36" spans="1:6" ht="14.25" thickBot="1">
      <c r="A36" s="1853" t="s">
        <v>1327</v>
      </c>
      <c r="B36" s="1860" t="s">
        <v>1147</v>
      </c>
      <c r="C36" s="1858">
        <v>6.3E-2</v>
      </c>
      <c r="D36" s="1858">
        <v>0.1</v>
      </c>
      <c r="E36" s="1858">
        <v>0.1</v>
      </c>
      <c r="F36" s="1859">
        <v>0.1</v>
      </c>
    </row>
    <row r="37" spans="1:6" ht="14.25" thickBot="1">
      <c r="A37" s="1853" t="s">
        <v>1327</v>
      </c>
      <c r="B37" s="1860" t="s">
        <v>1159</v>
      </c>
      <c r="C37" s="1858">
        <v>7.3999999999999996E-2</v>
      </c>
      <c r="D37" s="1858">
        <v>0.1</v>
      </c>
      <c r="E37" s="1858">
        <v>0.1</v>
      </c>
      <c r="F37" s="1859">
        <v>0.1</v>
      </c>
    </row>
    <row r="38" spans="1:6" ht="14.25" thickBot="1">
      <c r="A38" s="1853" t="s">
        <v>1327</v>
      </c>
      <c r="B38" s="1860" t="s">
        <v>1169</v>
      </c>
      <c r="C38" s="1858">
        <v>0.1</v>
      </c>
      <c r="D38" s="1858">
        <v>9.6000000000000002E-2</v>
      </c>
      <c r="E38" s="1858">
        <v>9.6000000000000002E-2</v>
      </c>
      <c r="F38" s="1866"/>
    </row>
    <row r="39" spans="1:6" ht="14.25" thickBot="1">
      <c r="A39" s="1853" t="s">
        <v>1327</v>
      </c>
      <c r="B39" s="1860" t="s">
        <v>1179</v>
      </c>
      <c r="C39" s="1858">
        <v>0.1</v>
      </c>
      <c r="D39" s="1858">
        <v>9.6000000000000002E-2</v>
      </c>
      <c r="E39" s="1858">
        <v>9.6000000000000002E-2</v>
      </c>
      <c r="F39" s="1866"/>
    </row>
    <row r="40" spans="1:6" ht="14.25" thickBot="1">
      <c r="A40" s="1853" t="s">
        <v>1327</v>
      </c>
      <c r="B40" s="1860" t="s">
        <v>1189</v>
      </c>
      <c r="C40" s="1858">
        <v>9.6000000000000002E-2</v>
      </c>
      <c r="D40" s="1858">
        <v>0.1</v>
      </c>
      <c r="E40" s="1858">
        <v>9.9000000000000005E-2</v>
      </c>
      <c r="F40" s="1866"/>
    </row>
    <row r="41" spans="1:6" ht="14.25" thickBot="1">
      <c r="A41" s="1853" t="s">
        <v>1327</v>
      </c>
      <c r="B41" s="1860" t="s">
        <v>1199</v>
      </c>
      <c r="C41" s="1858">
        <v>9.6000000000000002E-2</v>
      </c>
      <c r="D41" s="1858">
        <v>9.8000000000000004E-2</v>
      </c>
      <c r="E41" s="1858">
        <v>9.8000000000000004E-2</v>
      </c>
      <c r="F41" s="1866"/>
    </row>
    <row r="42" spans="1:6" ht="14.25" thickBot="1">
      <c r="A42" s="1853" t="s">
        <v>1327</v>
      </c>
      <c r="B42" s="1860" t="s">
        <v>1209</v>
      </c>
      <c r="C42" s="1858">
        <v>0.1</v>
      </c>
      <c r="D42" s="1858">
        <v>8.7999999999999995E-2</v>
      </c>
      <c r="E42" s="1858">
        <v>0.1</v>
      </c>
      <c r="F42" s="1866"/>
    </row>
    <row r="43" spans="1:6" ht="14.25" thickBot="1">
      <c r="A43" s="1853" t="s">
        <v>1327</v>
      </c>
      <c r="B43" s="1860" t="s">
        <v>1219</v>
      </c>
      <c r="C43" s="1858">
        <v>9.8000000000000004E-2</v>
      </c>
      <c r="D43" s="1858">
        <v>9.7000000000000003E-2</v>
      </c>
      <c r="E43" s="1858">
        <v>9.6000000000000002E-2</v>
      </c>
      <c r="F43" s="1866"/>
    </row>
    <row r="44" spans="1:6" ht="14.25" thickBot="1">
      <c r="A44" s="1853" t="s">
        <v>1327</v>
      </c>
      <c r="B44" s="1860" t="s">
        <v>1229</v>
      </c>
      <c r="C44" s="1858">
        <v>8.5999999999999993E-2</v>
      </c>
      <c r="D44" s="1858">
        <v>7.9000000000000001E-2</v>
      </c>
      <c r="E44" s="1858">
        <v>7.0999999999999994E-2</v>
      </c>
      <c r="F44" s="1866"/>
    </row>
    <row r="45" spans="1:6" ht="14.25" thickBot="1">
      <c r="A45" s="1853" t="s">
        <v>1327</v>
      </c>
      <c r="B45" s="1860" t="s">
        <v>1239</v>
      </c>
      <c r="C45" s="1858">
        <v>9.8000000000000004E-2</v>
      </c>
      <c r="D45" s="1858">
        <v>9.6000000000000002E-2</v>
      </c>
      <c r="E45" s="1858">
        <v>9.6000000000000002E-2</v>
      </c>
      <c r="F45" s="1866"/>
    </row>
    <row r="46" spans="1:6" ht="14.25" thickBot="1">
      <c r="A46" s="1853" t="s">
        <v>1327</v>
      </c>
      <c r="B46" s="1860" t="s">
        <v>1249</v>
      </c>
      <c r="C46" s="1858">
        <v>8.5999999999999993E-2</v>
      </c>
      <c r="D46" s="1858">
        <v>9.8000000000000004E-2</v>
      </c>
      <c r="E46" s="1858">
        <v>8.7999999999999995E-2</v>
      </c>
      <c r="F46" s="1866"/>
    </row>
    <row r="47" spans="1:6" ht="14.25" thickBot="1">
      <c r="A47" s="1853" t="s">
        <v>1327</v>
      </c>
      <c r="B47" s="1860" t="s">
        <v>1259</v>
      </c>
      <c r="C47" s="1858">
        <v>9.6000000000000002E-2</v>
      </c>
      <c r="D47" s="1867"/>
      <c r="E47" s="1858">
        <v>6.9000000000000006E-2</v>
      </c>
      <c r="F47" s="1866"/>
    </row>
    <row r="48" spans="1:6" ht="14.25" thickBot="1">
      <c r="A48" s="1861" t="s">
        <v>1327</v>
      </c>
      <c r="B48" s="1862" t="s">
        <v>1268</v>
      </c>
      <c r="C48" s="1863">
        <v>9.8000000000000004E-2</v>
      </c>
      <c r="D48" s="1864"/>
      <c r="E48" s="1863">
        <v>9.5000000000000001E-2</v>
      </c>
      <c r="F48" s="1865"/>
    </row>
    <row r="49" spans="1:6" ht="14.25" thickBot="1">
      <c r="A49" s="1853" t="s">
        <v>925</v>
      </c>
      <c r="B49" s="1854" t="s">
        <v>2092</v>
      </c>
      <c r="C49" s="1855">
        <v>9.7000000000000003E-2</v>
      </c>
      <c r="D49" s="1855">
        <v>9.5000000000000001E-2</v>
      </c>
      <c r="E49" s="1855">
        <v>9.7000000000000003E-2</v>
      </c>
      <c r="F49" s="1856">
        <v>0.1</v>
      </c>
    </row>
    <row r="50" spans="1:6" ht="14.25" thickBot="1">
      <c r="A50" s="1853" t="s">
        <v>925</v>
      </c>
      <c r="B50" s="1857" t="s">
        <v>1074</v>
      </c>
      <c r="C50" s="1858">
        <v>7.4999999999999997E-2</v>
      </c>
      <c r="D50" s="1858">
        <v>9.5000000000000001E-2</v>
      </c>
      <c r="E50" s="1858">
        <v>0.1</v>
      </c>
      <c r="F50" s="1859">
        <v>0.1</v>
      </c>
    </row>
    <row r="51" spans="1:6" ht="14.25" thickBot="1">
      <c r="A51" s="1853" t="s">
        <v>925</v>
      </c>
      <c r="B51" s="1857" t="s">
        <v>1088</v>
      </c>
      <c r="C51" s="1858">
        <v>9.8000000000000004E-2</v>
      </c>
      <c r="D51" s="1858">
        <v>8.8999999999999996E-2</v>
      </c>
      <c r="E51" s="1858">
        <v>0.1</v>
      </c>
      <c r="F51" s="1859">
        <v>0.1</v>
      </c>
    </row>
    <row r="52" spans="1:6" ht="14.25" thickBot="1">
      <c r="A52" s="1853" t="s">
        <v>925</v>
      </c>
      <c r="B52" s="1857" t="s">
        <v>1101</v>
      </c>
      <c r="C52" s="1858">
        <v>9.8000000000000004E-2</v>
      </c>
      <c r="D52" s="1858">
        <v>9.7000000000000003E-2</v>
      </c>
      <c r="E52" s="1858">
        <v>8.1000000000000003E-2</v>
      </c>
      <c r="F52" s="1859">
        <v>0.1</v>
      </c>
    </row>
    <row r="53" spans="1:6" ht="14.25" thickBot="1">
      <c r="A53" s="1853" t="s">
        <v>925</v>
      </c>
      <c r="B53" s="1857" t="s">
        <v>1115</v>
      </c>
      <c r="C53" s="1858">
        <v>9.7000000000000003E-2</v>
      </c>
      <c r="D53" s="1858">
        <v>7.5999999999999998E-2</v>
      </c>
      <c r="E53" s="1858">
        <v>7.0999999999999994E-2</v>
      </c>
      <c r="F53" s="1859">
        <v>0.1</v>
      </c>
    </row>
    <row r="54" spans="1:6" ht="14.25" thickBot="1">
      <c r="A54" s="1853" t="s">
        <v>925</v>
      </c>
      <c r="B54" s="1857" t="s">
        <v>1126</v>
      </c>
      <c r="C54" s="1858">
        <v>7.5999999999999998E-2</v>
      </c>
      <c r="D54" s="1858">
        <v>0.1</v>
      </c>
      <c r="E54" s="1858">
        <v>9.9000000000000005E-2</v>
      </c>
      <c r="F54" s="1859">
        <v>0.1</v>
      </c>
    </row>
    <row r="55" spans="1:6" ht="14.25" thickBot="1">
      <c r="A55" s="1853" t="s">
        <v>925</v>
      </c>
      <c r="B55" s="1857" t="s">
        <v>1137</v>
      </c>
      <c r="C55" s="1858">
        <v>0.1</v>
      </c>
      <c r="D55" s="1858">
        <v>0.1</v>
      </c>
      <c r="E55" s="1858">
        <v>9.6000000000000002E-2</v>
      </c>
      <c r="F55" s="1859">
        <v>0.1</v>
      </c>
    </row>
    <row r="56" spans="1:6" ht="14.25" thickBot="1">
      <c r="A56" s="1853" t="s">
        <v>925</v>
      </c>
      <c r="B56" s="1857" t="s">
        <v>1148</v>
      </c>
      <c r="C56" s="1858">
        <v>0.1</v>
      </c>
      <c r="D56" s="1858">
        <v>9.6000000000000002E-2</v>
      </c>
      <c r="E56" s="1858">
        <v>5.1999999999999998E-2</v>
      </c>
      <c r="F56" s="1859">
        <v>0.1</v>
      </c>
    </row>
    <row r="57" spans="1:6" ht="14.25" thickBot="1">
      <c r="A57" s="1853" t="s">
        <v>925</v>
      </c>
      <c r="B57" s="1857" t="s">
        <v>1160</v>
      </c>
      <c r="C57" s="1858">
        <v>9.7000000000000003E-2</v>
      </c>
      <c r="D57" s="1858">
        <v>9.6000000000000002E-2</v>
      </c>
      <c r="E57" s="1858">
        <v>9.6000000000000002E-2</v>
      </c>
      <c r="F57" s="1859">
        <v>0.1</v>
      </c>
    </row>
    <row r="58" spans="1:6" ht="14.25" thickBot="1">
      <c r="A58" s="1853" t="s">
        <v>925</v>
      </c>
      <c r="B58" s="1857" t="s">
        <v>1170</v>
      </c>
      <c r="C58" s="1858">
        <v>9.6000000000000002E-2</v>
      </c>
      <c r="D58" s="1858">
        <v>9.9000000000000005E-2</v>
      </c>
      <c r="E58" s="1858">
        <v>9.6000000000000002E-2</v>
      </c>
      <c r="F58" s="1859">
        <v>0.1</v>
      </c>
    </row>
    <row r="59" spans="1:6" ht="14.25" thickBot="1">
      <c r="A59" s="1853" t="s">
        <v>925</v>
      </c>
      <c r="B59" s="1857" t="s">
        <v>1180</v>
      </c>
      <c r="C59" s="1858">
        <v>7.1999999999999995E-2</v>
      </c>
      <c r="D59" s="1858">
        <v>9.6000000000000002E-2</v>
      </c>
      <c r="E59" s="1858">
        <v>7.0999999999999994E-2</v>
      </c>
      <c r="F59" s="1859">
        <v>0.1</v>
      </c>
    </row>
    <row r="60" spans="1:6" ht="14.25" thickBot="1">
      <c r="A60" s="1853" t="s">
        <v>925</v>
      </c>
      <c r="B60" s="1857" t="s">
        <v>1190</v>
      </c>
      <c r="C60" s="1858">
        <v>9.6000000000000002E-2</v>
      </c>
      <c r="D60" s="1858">
        <v>8.8999999999999996E-2</v>
      </c>
      <c r="E60" s="1858">
        <v>9.6000000000000002E-2</v>
      </c>
      <c r="F60" s="1859">
        <v>0.1</v>
      </c>
    </row>
    <row r="61" spans="1:6" ht="14.25" thickBot="1">
      <c r="A61" s="1853" t="s">
        <v>925</v>
      </c>
      <c r="B61" s="1857" t="s">
        <v>1200</v>
      </c>
      <c r="C61" s="1858">
        <v>8.8999999999999996E-2</v>
      </c>
      <c r="D61" s="1858">
        <v>9.8000000000000004E-2</v>
      </c>
      <c r="E61" s="1858">
        <v>8.7999999999999995E-2</v>
      </c>
      <c r="F61" s="1866"/>
    </row>
    <row r="62" spans="1:6" ht="14.25" thickBot="1">
      <c r="A62" s="1853" t="s">
        <v>925</v>
      </c>
      <c r="B62" s="1857" t="s">
        <v>1210</v>
      </c>
      <c r="C62" s="1858">
        <v>9.8000000000000004E-2</v>
      </c>
      <c r="D62" s="1858">
        <v>9.2999999999999999E-2</v>
      </c>
      <c r="E62" s="1858">
        <v>9.7000000000000003E-2</v>
      </c>
      <c r="F62" s="1866"/>
    </row>
    <row r="63" spans="1:6" ht="14.25" thickBot="1">
      <c r="A63" s="1853" t="s">
        <v>925</v>
      </c>
      <c r="B63" s="1857" t="s">
        <v>1220</v>
      </c>
      <c r="C63" s="1858">
        <v>9.6000000000000002E-2</v>
      </c>
      <c r="D63" s="1858">
        <v>9.8000000000000004E-2</v>
      </c>
      <c r="E63" s="1858">
        <v>0.09</v>
      </c>
      <c r="F63" s="1866"/>
    </row>
    <row r="64" spans="1:6" ht="14.25" thickBot="1">
      <c r="A64" s="1853" t="s">
        <v>925</v>
      </c>
      <c r="B64" s="1857" t="s">
        <v>1230</v>
      </c>
      <c r="C64" s="1858">
        <v>9.9000000000000005E-2</v>
      </c>
      <c r="D64" s="1858">
        <v>9.7000000000000003E-2</v>
      </c>
      <c r="E64" s="1858">
        <v>9.9000000000000005E-2</v>
      </c>
      <c r="F64" s="1866"/>
    </row>
    <row r="65" spans="1:6" ht="14.25" thickBot="1">
      <c r="A65" s="1853" t="s">
        <v>925</v>
      </c>
      <c r="B65" s="1857" t="s">
        <v>1240</v>
      </c>
      <c r="C65" s="1858">
        <v>9.8000000000000004E-2</v>
      </c>
      <c r="D65" s="1858">
        <v>9.6000000000000002E-2</v>
      </c>
      <c r="E65" s="1858">
        <v>9.6000000000000002E-2</v>
      </c>
      <c r="F65" s="1866"/>
    </row>
    <row r="66" spans="1:6" ht="14.25" thickBot="1">
      <c r="A66" s="1853" t="s">
        <v>925</v>
      </c>
      <c r="B66" s="1857" t="s">
        <v>1250</v>
      </c>
      <c r="C66" s="1858">
        <v>9.6000000000000002E-2</v>
      </c>
      <c r="D66" s="1858">
        <v>9.1999999999999998E-2</v>
      </c>
      <c r="E66" s="1858">
        <v>9.6000000000000002E-2</v>
      </c>
      <c r="F66" s="1866"/>
    </row>
    <row r="67" spans="1:6" ht="14.25" thickBot="1">
      <c r="A67" s="1853" t="s">
        <v>925</v>
      </c>
      <c r="B67" s="1857" t="s">
        <v>1260</v>
      </c>
      <c r="C67" s="1858">
        <v>9.4E-2</v>
      </c>
      <c r="D67" s="1858">
        <v>0.1</v>
      </c>
      <c r="E67" s="1858">
        <v>8.7999999999999995E-2</v>
      </c>
      <c r="F67" s="1866"/>
    </row>
    <row r="68" spans="1:6" ht="14.25" thickBot="1">
      <c r="A68" s="1853" t="s">
        <v>925</v>
      </c>
      <c r="B68" s="1857" t="s">
        <v>1269</v>
      </c>
      <c r="C68" s="1858">
        <v>0.1</v>
      </c>
      <c r="D68" s="1858">
        <v>8.7999999999999995E-2</v>
      </c>
      <c r="E68" s="1858">
        <v>9.7000000000000003E-2</v>
      </c>
      <c r="F68" s="1866"/>
    </row>
    <row r="69" spans="1:6" ht="14.25" thickBot="1">
      <c r="A69" s="1853" t="s">
        <v>925</v>
      </c>
      <c r="B69" s="1857" t="s">
        <v>1278</v>
      </c>
      <c r="C69" s="1858">
        <v>6.4000000000000001E-2</v>
      </c>
      <c r="D69" s="1858">
        <v>0.1</v>
      </c>
      <c r="E69" s="1858">
        <v>0.1</v>
      </c>
      <c r="F69" s="1866"/>
    </row>
    <row r="70" spans="1:6" ht="14.25" thickBot="1">
      <c r="A70" s="1853" t="s">
        <v>925</v>
      </c>
      <c r="B70" s="1857" t="s">
        <v>1286</v>
      </c>
      <c r="C70" s="1858">
        <v>9.0999999999999998E-2</v>
      </c>
      <c r="D70" s="1867"/>
      <c r="E70" s="1867"/>
      <c r="F70" s="1866"/>
    </row>
    <row r="71" spans="1:6" ht="14.25" thickBot="1">
      <c r="A71" s="1853" t="s">
        <v>925</v>
      </c>
      <c r="B71" s="1857" t="s">
        <v>1293</v>
      </c>
      <c r="C71" s="1858">
        <v>0.1</v>
      </c>
      <c r="D71" s="1867"/>
      <c r="E71" s="1867"/>
      <c r="F71" s="1866"/>
    </row>
    <row r="72" spans="1:6" ht="14.25" thickBot="1">
      <c r="A72" s="1853" t="s">
        <v>925</v>
      </c>
      <c r="B72" s="1857" t="s">
        <v>2093</v>
      </c>
      <c r="C72" s="1867"/>
      <c r="D72" s="1867"/>
      <c r="E72" s="1867"/>
      <c r="F72" s="1859">
        <v>0.05</v>
      </c>
    </row>
    <row r="73" spans="1:6" ht="14.25" thickBot="1">
      <c r="A73" s="1853" t="s">
        <v>925</v>
      </c>
      <c r="B73" s="1857" t="s">
        <v>2094</v>
      </c>
      <c r="C73" s="1867"/>
      <c r="D73" s="1867"/>
      <c r="E73" s="1867"/>
      <c r="F73" s="1859">
        <v>0.05</v>
      </c>
    </row>
    <row r="74" spans="1:6" ht="14.25" thickBot="1">
      <c r="A74" s="1853" t="s">
        <v>925</v>
      </c>
      <c r="B74" s="1857" t="s">
        <v>2095</v>
      </c>
      <c r="C74" s="1867"/>
      <c r="D74" s="1867"/>
      <c r="E74" s="1867"/>
      <c r="F74" s="1859">
        <v>0.05</v>
      </c>
    </row>
    <row r="75" spans="1:6" ht="14.25" thickBot="1">
      <c r="A75" s="1861" t="s">
        <v>925</v>
      </c>
      <c r="B75" s="1868" t="s">
        <v>2096</v>
      </c>
      <c r="C75" s="1864"/>
      <c r="D75" s="1864"/>
      <c r="E75" s="1864"/>
      <c r="F75" s="1869">
        <v>0.05</v>
      </c>
    </row>
    <row r="76" spans="1:6" ht="14.25" thickBot="1">
      <c r="A76" s="1853" t="s">
        <v>1408</v>
      </c>
      <c r="B76" s="1854" t="s">
        <v>2097</v>
      </c>
      <c r="C76" s="1855">
        <v>0.1</v>
      </c>
      <c r="D76" s="1855">
        <v>0.1</v>
      </c>
      <c r="E76" s="1855">
        <v>0.1</v>
      </c>
      <c r="F76" s="1856">
        <v>0.1</v>
      </c>
    </row>
    <row r="77" spans="1:6" ht="14.25" thickBot="1">
      <c r="A77" s="1853" t="s">
        <v>1408</v>
      </c>
      <c r="B77" s="1857" t="s">
        <v>1075</v>
      </c>
      <c r="C77" s="1858">
        <v>8.7999999999999995E-2</v>
      </c>
      <c r="D77" s="1858">
        <v>8.6999999999999994E-2</v>
      </c>
      <c r="E77" s="1858">
        <v>7.9000000000000001E-2</v>
      </c>
      <c r="F77" s="1859">
        <v>0.1</v>
      </c>
    </row>
    <row r="78" spans="1:6" ht="14.25" thickBot="1">
      <c r="A78" s="1853" t="s">
        <v>1408</v>
      </c>
      <c r="B78" s="1857" t="s">
        <v>1089</v>
      </c>
      <c r="C78" s="1858">
        <v>8.6999999999999994E-2</v>
      </c>
      <c r="D78" s="1858">
        <v>8.4000000000000005E-2</v>
      </c>
      <c r="E78" s="1858">
        <v>9.6000000000000002E-2</v>
      </c>
      <c r="F78" s="1859">
        <v>0.1</v>
      </c>
    </row>
    <row r="79" spans="1:6" ht="14.25" thickBot="1">
      <c r="A79" s="1853" t="s">
        <v>1408</v>
      </c>
      <c r="B79" s="1857" t="s">
        <v>1102</v>
      </c>
      <c r="C79" s="1858">
        <v>9.8000000000000004E-2</v>
      </c>
      <c r="D79" s="1858">
        <v>9.8000000000000004E-2</v>
      </c>
      <c r="E79" s="1858">
        <v>9.0999999999999998E-2</v>
      </c>
      <c r="F79" s="1859">
        <v>0.1</v>
      </c>
    </row>
    <row r="80" spans="1:6" ht="14.25" thickBot="1">
      <c r="A80" s="1853" t="s">
        <v>1408</v>
      </c>
      <c r="B80" s="1857" t="s">
        <v>1116</v>
      </c>
      <c r="C80" s="1858">
        <v>9.6000000000000002E-2</v>
      </c>
      <c r="D80" s="1858">
        <v>9.6000000000000002E-2</v>
      </c>
      <c r="E80" s="1858">
        <v>0.1</v>
      </c>
      <c r="F80" s="1859">
        <v>0.1</v>
      </c>
    </row>
    <row r="81" spans="1:6" ht="14.25" thickBot="1">
      <c r="A81" s="1853" t="s">
        <v>1408</v>
      </c>
      <c r="B81" s="1857" t="s">
        <v>1127</v>
      </c>
      <c r="C81" s="1858">
        <v>9.9000000000000005E-2</v>
      </c>
      <c r="D81" s="1858">
        <v>9.9000000000000005E-2</v>
      </c>
      <c r="E81" s="1858">
        <v>9.8000000000000004E-2</v>
      </c>
      <c r="F81" s="1859">
        <v>0.1</v>
      </c>
    </row>
    <row r="82" spans="1:6" ht="14.25" thickBot="1">
      <c r="A82" s="1853" t="s">
        <v>1408</v>
      </c>
      <c r="B82" s="1857" t="s">
        <v>1138</v>
      </c>
      <c r="C82" s="1858">
        <v>9.9000000000000005E-2</v>
      </c>
      <c r="D82" s="1858">
        <v>9.9000000000000005E-2</v>
      </c>
      <c r="E82" s="1858">
        <v>9.7000000000000003E-2</v>
      </c>
      <c r="F82" s="1859">
        <v>0.1</v>
      </c>
    </row>
    <row r="83" spans="1:6" ht="14.25" thickBot="1">
      <c r="A83" s="1853" t="s">
        <v>1408</v>
      </c>
      <c r="B83" s="1857" t="s">
        <v>1149</v>
      </c>
      <c r="C83" s="1858">
        <v>9.8000000000000004E-2</v>
      </c>
      <c r="D83" s="1858">
        <v>9.8000000000000004E-2</v>
      </c>
      <c r="E83" s="1858">
        <v>9.8000000000000004E-2</v>
      </c>
      <c r="F83" s="1859">
        <v>0.1</v>
      </c>
    </row>
    <row r="84" spans="1:6" ht="14.25" thickBot="1">
      <c r="A84" s="1853" t="s">
        <v>1408</v>
      </c>
      <c r="B84" s="1857" t="s">
        <v>1161</v>
      </c>
      <c r="C84" s="1858">
        <v>9.9000000000000005E-2</v>
      </c>
      <c r="D84" s="1858">
        <v>9.9000000000000005E-2</v>
      </c>
      <c r="E84" s="1858">
        <v>9.9000000000000005E-2</v>
      </c>
      <c r="F84" s="1859">
        <v>0.1</v>
      </c>
    </row>
    <row r="85" spans="1:6" ht="14.25" thickBot="1">
      <c r="A85" s="1853" t="s">
        <v>1408</v>
      </c>
      <c r="B85" s="1857" t="s">
        <v>1171</v>
      </c>
      <c r="C85" s="1858">
        <v>9.9000000000000005E-2</v>
      </c>
      <c r="D85" s="1858">
        <v>9.9000000000000005E-2</v>
      </c>
      <c r="E85" s="1858">
        <v>9.9000000000000005E-2</v>
      </c>
      <c r="F85" s="1859">
        <v>0.1</v>
      </c>
    </row>
    <row r="86" spans="1:6" ht="14.25" thickBot="1">
      <c r="A86" s="1853" t="s">
        <v>1408</v>
      </c>
      <c r="B86" s="1857" t="s">
        <v>1181</v>
      </c>
      <c r="C86" s="1858">
        <v>0.1</v>
      </c>
      <c r="D86" s="1858">
        <v>0.1</v>
      </c>
      <c r="E86" s="1858">
        <v>7.6999999999999999E-2</v>
      </c>
      <c r="F86" s="1859">
        <v>0.1</v>
      </c>
    </row>
    <row r="87" spans="1:6" ht="14.25" thickBot="1">
      <c r="A87" s="1853" t="s">
        <v>1408</v>
      </c>
      <c r="B87" s="1857" t="s">
        <v>1191</v>
      </c>
      <c r="C87" s="1858">
        <v>0.1</v>
      </c>
      <c r="D87" s="1858">
        <v>0.1</v>
      </c>
      <c r="E87" s="1858">
        <v>9.8000000000000004E-2</v>
      </c>
      <c r="F87" s="1866"/>
    </row>
    <row r="88" spans="1:6" ht="14.25" thickBot="1">
      <c r="A88" s="1853" t="s">
        <v>1408</v>
      </c>
      <c r="B88" s="1857" t="s">
        <v>1201</v>
      </c>
      <c r="C88" s="1858">
        <v>9.1999999999999998E-2</v>
      </c>
      <c r="D88" s="1858">
        <v>8.5000000000000006E-2</v>
      </c>
      <c r="E88" s="1858">
        <v>9.6000000000000002E-2</v>
      </c>
      <c r="F88" s="1866"/>
    </row>
    <row r="89" spans="1:6" ht="14.25" thickBot="1">
      <c r="A89" s="1853" t="s">
        <v>1408</v>
      </c>
      <c r="B89" s="1857" t="s">
        <v>1211</v>
      </c>
      <c r="C89" s="1858">
        <v>0.1</v>
      </c>
      <c r="D89" s="1858">
        <v>0.1</v>
      </c>
      <c r="E89" s="1858">
        <v>9.7000000000000003E-2</v>
      </c>
      <c r="F89" s="1866"/>
    </row>
    <row r="90" spans="1:6" ht="14.25" thickBot="1">
      <c r="A90" s="1853" t="s">
        <v>1408</v>
      </c>
      <c r="B90" s="1857" t="s">
        <v>1221</v>
      </c>
      <c r="C90" s="1858">
        <v>9.8000000000000004E-2</v>
      </c>
      <c r="D90" s="1858">
        <v>9.8000000000000004E-2</v>
      </c>
      <c r="E90" s="1858">
        <v>8.7999999999999995E-2</v>
      </c>
      <c r="F90" s="1866"/>
    </row>
    <row r="91" spans="1:6" ht="14.25" thickBot="1">
      <c r="A91" s="1853" t="s">
        <v>1408</v>
      </c>
      <c r="B91" s="1857" t="s">
        <v>1231</v>
      </c>
      <c r="C91" s="1858">
        <v>9.9000000000000005E-2</v>
      </c>
      <c r="D91" s="1858">
        <v>9.9000000000000005E-2</v>
      </c>
      <c r="E91" s="1858">
        <v>9.0999999999999998E-2</v>
      </c>
      <c r="F91" s="1866"/>
    </row>
    <row r="92" spans="1:6" ht="14.25" thickBot="1">
      <c r="A92" s="1853" t="s">
        <v>1408</v>
      </c>
      <c r="B92" s="1857" t="s">
        <v>1241</v>
      </c>
      <c r="C92" s="1858">
        <v>9.6000000000000002E-2</v>
      </c>
      <c r="D92" s="1858">
        <v>9.6000000000000002E-2</v>
      </c>
      <c r="E92" s="1858">
        <v>7.2999999999999995E-2</v>
      </c>
      <c r="F92" s="1866"/>
    </row>
    <row r="93" spans="1:6" ht="14.25" thickBot="1">
      <c r="A93" s="1853" t="s">
        <v>1408</v>
      </c>
      <c r="B93" s="1857" t="s">
        <v>1251</v>
      </c>
      <c r="C93" s="1858">
        <v>9.6000000000000002E-2</v>
      </c>
      <c r="D93" s="1858">
        <v>9.6000000000000002E-2</v>
      </c>
      <c r="E93" s="1858">
        <v>9.9000000000000005E-2</v>
      </c>
      <c r="F93" s="1866"/>
    </row>
    <row r="94" spans="1:6" ht="14.25" thickBot="1">
      <c r="A94" s="1853" t="s">
        <v>1408</v>
      </c>
      <c r="B94" s="1857" t="s">
        <v>1261</v>
      </c>
      <c r="C94" s="1858">
        <v>7.5999999999999998E-2</v>
      </c>
      <c r="D94" s="1858">
        <v>7.3999999999999996E-2</v>
      </c>
      <c r="E94" s="1858">
        <v>9.7000000000000003E-2</v>
      </c>
      <c r="F94" s="1866"/>
    </row>
    <row r="95" spans="1:6" ht="14.25" thickBot="1">
      <c r="A95" s="1853" t="s">
        <v>1408</v>
      </c>
      <c r="B95" s="1857" t="s">
        <v>1270</v>
      </c>
      <c r="C95" s="1858">
        <v>9.9000000000000005E-2</v>
      </c>
      <c r="D95" s="1858">
        <v>9.4E-2</v>
      </c>
      <c r="E95" s="1858">
        <v>9.6000000000000002E-2</v>
      </c>
      <c r="F95" s="1866"/>
    </row>
    <row r="96" spans="1:6" ht="14.25" thickBot="1">
      <c r="A96" s="1853" t="s">
        <v>1408</v>
      </c>
      <c r="B96" s="1857" t="s">
        <v>1279</v>
      </c>
      <c r="C96" s="1858">
        <v>9.9000000000000005E-2</v>
      </c>
      <c r="D96" s="1858">
        <v>9.9000000000000005E-2</v>
      </c>
      <c r="E96" s="1858">
        <v>9.9000000000000005E-2</v>
      </c>
      <c r="F96" s="1866"/>
    </row>
    <row r="97" spans="1:6" ht="14.25" thickBot="1">
      <c r="A97" s="1853" t="s">
        <v>1408</v>
      </c>
      <c r="B97" s="1857" t="s">
        <v>1287</v>
      </c>
      <c r="C97" s="1858">
        <v>9.8000000000000004E-2</v>
      </c>
      <c r="D97" s="1858">
        <v>9.8000000000000004E-2</v>
      </c>
      <c r="E97" s="1858">
        <v>9.7000000000000003E-2</v>
      </c>
      <c r="F97" s="1866"/>
    </row>
    <row r="98" spans="1:6" ht="14.25" thickBot="1">
      <c r="A98" s="1853" t="s">
        <v>1408</v>
      </c>
      <c r="B98" s="1857" t="s">
        <v>1294</v>
      </c>
      <c r="C98" s="1858">
        <v>0.1</v>
      </c>
      <c r="D98" s="1858">
        <v>0.1</v>
      </c>
      <c r="E98" s="1858">
        <v>9.7000000000000003E-2</v>
      </c>
      <c r="F98" s="1866"/>
    </row>
    <row r="99" spans="1:6" ht="14.25" thickBot="1">
      <c r="A99" s="1853" t="s">
        <v>1408</v>
      </c>
      <c r="B99" s="1857" t="s">
        <v>1301</v>
      </c>
      <c r="C99" s="1858">
        <v>0.1</v>
      </c>
      <c r="D99" s="1858">
        <v>0.1</v>
      </c>
      <c r="E99" s="1867"/>
      <c r="F99" s="1866"/>
    </row>
    <row r="100" spans="1:6" ht="14.25" thickBot="1">
      <c r="A100" s="1853" t="s">
        <v>1408</v>
      </c>
      <c r="B100" s="1857" t="s">
        <v>1308</v>
      </c>
      <c r="C100" s="1858">
        <v>0.09</v>
      </c>
      <c r="D100" s="1858">
        <v>8.8999999999999996E-2</v>
      </c>
      <c r="E100" s="1867"/>
      <c r="F100" s="1866"/>
    </row>
    <row r="101" spans="1:6" ht="14.25" thickBot="1">
      <c r="A101" s="1853" t="s">
        <v>1408</v>
      </c>
      <c r="B101" s="1857" t="s">
        <v>1315</v>
      </c>
      <c r="C101" s="1858">
        <v>9.8000000000000004E-2</v>
      </c>
      <c r="D101" s="1858">
        <v>9.7000000000000003E-2</v>
      </c>
      <c r="E101" s="1867"/>
      <c r="F101" s="1866"/>
    </row>
    <row r="102" spans="1:6" ht="14.25" thickBot="1">
      <c r="A102" s="1853" t="s">
        <v>1408</v>
      </c>
      <c r="B102" s="1857" t="s">
        <v>2098</v>
      </c>
      <c r="C102" s="1867"/>
      <c r="D102" s="1867"/>
      <c r="E102" s="1867"/>
      <c r="F102" s="1859">
        <v>0.05</v>
      </c>
    </row>
    <row r="103" spans="1:6" ht="24.75" thickBot="1">
      <c r="A103" s="1853" t="s">
        <v>1408</v>
      </c>
      <c r="B103" s="1857" t="s">
        <v>2099</v>
      </c>
      <c r="C103" s="1867"/>
      <c r="D103" s="1867"/>
      <c r="E103" s="1867"/>
      <c r="F103" s="1859">
        <v>0.05</v>
      </c>
    </row>
    <row r="104" spans="1:6" ht="14.25" thickBot="1">
      <c r="A104" s="1853" t="s">
        <v>1408</v>
      </c>
      <c r="B104" s="1857" t="s">
        <v>2100</v>
      </c>
      <c r="C104" s="1867"/>
      <c r="D104" s="1867"/>
      <c r="E104" s="1867"/>
      <c r="F104" s="1859">
        <v>0.05</v>
      </c>
    </row>
    <row r="105" spans="1:6" ht="14.25" thickBot="1">
      <c r="A105" s="1853" t="s">
        <v>1408</v>
      </c>
      <c r="B105" s="1857" t="s">
        <v>2101</v>
      </c>
      <c r="C105" s="1867"/>
      <c r="D105" s="1867"/>
      <c r="E105" s="1867"/>
      <c r="F105" s="1859">
        <v>0.05</v>
      </c>
    </row>
    <row r="106" spans="1:6" ht="14.25" thickBot="1">
      <c r="A106" s="1853" t="s">
        <v>1408</v>
      </c>
      <c r="B106" s="1857" t="s">
        <v>2102</v>
      </c>
      <c r="C106" s="1867"/>
      <c r="D106" s="1867"/>
      <c r="E106" s="1867"/>
      <c r="F106" s="1859">
        <v>0.05</v>
      </c>
    </row>
    <row r="107" spans="1:6" ht="24.75" thickBot="1">
      <c r="A107" s="1853" t="s">
        <v>1408</v>
      </c>
      <c r="B107" s="1857" t="s">
        <v>2103</v>
      </c>
      <c r="C107" s="1867"/>
      <c r="D107" s="1867"/>
      <c r="E107" s="1867"/>
      <c r="F107" s="1859">
        <v>0.05</v>
      </c>
    </row>
    <row r="108" spans="1:6" ht="24.75" thickBot="1">
      <c r="A108" s="1853" t="s">
        <v>1408</v>
      </c>
      <c r="B108" s="1857" t="s">
        <v>2104</v>
      </c>
      <c r="C108" s="1867"/>
      <c r="D108" s="1867"/>
      <c r="E108" s="1867"/>
      <c r="F108" s="1859">
        <v>0.05</v>
      </c>
    </row>
    <row r="109" spans="1:6" ht="24.75" thickBot="1">
      <c r="A109" s="1861" t="s">
        <v>1408</v>
      </c>
      <c r="B109" s="1868" t="s">
        <v>2105</v>
      </c>
      <c r="C109" s="1864"/>
      <c r="D109" s="1864"/>
      <c r="E109" s="1864"/>
      <c r="F109" s="1869">
        <v>0.05</v>
      </c>
    </row>
    <row r="110" spans="1:6" ht="14.25" thickBot="1">
      <c r="A110" s="1853" t="s">
        <v>1410</v>
      </c>
      <c r="B110" s="1854" t="s">
        <v>2106</v>
      </c>
      <c r="C110" s="1855">
        <v>0.129</v>
      </c>
      <c r="D110" s="1855">
        <v>0.129</v>
      </c>
      <c r="E110" s="1855">
        <v>0.126</v>
      </c>
      <c r="F110" s="1856">
        <v>0.13</v>
      </c>
    </row>
    <row r="111" spans="1:6" ht="14.25" thickBot="1">
      <c r="A111" s="1853" t="s">
        <v>1410</v>
      </c>
      <c r="B111" s="1857" t="s">
        <v>1076</v>
      </c>
      <c r="C111" s="1858">
        <v>0.11</v>
      </c>
      <c r="D111" s="1858">
        <v>0.11</v>
      </c>
      <c r="E111" s="1858">
        <v>9.9000000000000005E-2</v>
      </c>
      <c r="F111" s="1859">
        <v>0.128</v>
      </c>
    </row>
    <row r="112" spans="1:6" ht="14.25" thickBot="1">
      <c r="A112" s="1853" t="s">
        <v>1410</v>
      </c>
      <c r="B112" s="1857" t="s">
        <v>1090</v>
      </c>
      <c r="C112" s="1858">
        <v>0.125</v>
      </c>
      <c r="D112" s="1858">
        <v>0.125</v>
      </c>
      <c r="E112" s="1858">
        <v>0.12</v>
      </c>
      <c r="F112" s="1859">
        <v>0.125</v>
      </c>
    </row>
    <row r="113" spans="1:6" ht="14.25" thickBot="1">
      <c r="A113" s="1853" t="s">
        <v>1410</v>
      </c>
      <c r="B113" s="1857" t="s">
        <v>1103</v>
      </c>
      <c r="C113" s="1858">
        <v>0.13</v>
      </c>
      <c r="D113" s="1858">
        <v>0.13</v>
      </c>
      <c r="E113" s="1858">
        <v>0.13</v>
      </c>
      <c r="F113" s="1859">
        <v>0.13</v>
      </c>
    </row>
    <row r="114" spans="1:6" ht="14.25" thickBot="1">
      <c r="A114" s="1853" t="s">
        <v>1410</v>
      </c>
      <c r="B114" s="1857" t="s">
        <v>1117</v>
      </c>
      <c r="C114" s="1858">
        <v>0.123</v>
      </c>
      <c r="D114" s="1858">
        <v>0.123</v>
      </c>
      <c r="E114" s="1858">
        <v>0.12</v>
      </c>
      <c r="F114" s="1859">
        <v>0.13</v>
      </c>
    </row>
    <row r="115" spans="1:6" ht="14.25" thickBot="1">
      <c r="A115" s="1853" t="s">
        <v>1410</v>
      </c>
      <c r="B115" s="1857" t="s">
        <v>1128</v>
      </c>
      <c r="C115" s="1858">
        <v>0.125</v>
      </c>
      <c r="D115" s="1858">
        <v>0.125</v>
      </c>
      <c r="E115" s="1858">
        <v>0.11700000000000001</v>
      </c>
      <c r="F115" s="1859">
        <v>0.13</v>
      </c>
    </row>
    <row r="116" spans="1:6" ht="14.25" thickBot="1">
      <c r="A116" s="1853" t="s">
        <v>1410</v>
      </c>
      <c r="B116" s="1857" t="s">
        <v>1139</v>
      </c>
      <c r="C116" s="1858">
        <v>0.11700000000000001</v>
      </c>
      <c r="D116" s="1858">
        <v>0.11700000000000001</v>
      </c>
      <c r="E116" s="1858">
        <v>8.7999999999999995E-2</v>
      </c>
      <c r="F116" s="1859">
        <v>0.13</v>
      </c>
    </row>
    <row r="117" spans="1:6" ht="14.25" thickBot="1">
      <c r="A117" s="1853" t="s">
        <v>1410</v>
      </c>
      <c r="B117" s="1857" t="s">
        <v>1150</v>
      </c>
      <c r="C117" s="1858">
        <v>0.13</v>
      </c>
      <c r="D117" s="1858">
        <v>0.13</v>
      </c>
      <c r="E117" s="1858">
        <v>0.129</v>
      </c>
      <c r="F117" s="1859">
        <v>0.13</v>
      </c>
    </row>
    <row r="118" spans="1:6" ht="14.25" thickBot="1">
      <c r="A118" s="1853" t="s">
        <v>1410</v>
      </c>
      <c r="B118" s="1857" t="s">
        <v>1162</v>
      </c>
      <c r="C118" s="1858">
        <v>0.123</v>
      </c>
      <c r="D118" s="1858">
        <v>0.123</v>
      </c>
      <c r="E118" s="1858">
        <v>0.11600000000000001</v>
      </c>
      <c r="F118" s="1859">
        <v>0.13</v>
      </c>
    </row>
    <row r="119" spans="1:6" ht="14.25" thickBot="1">
      <c r="A119" s="1853" t="s">
        <v>1410</v>
      </c>
      <c r="B119" s="1857" t="s">
        <v>1172</v>
      </c>
      <c r="C119" s="1858">
        <v>0.127</v>
      </c>
      <c r="D119" s="1858">
        <v>0.127</v>
      </c>
      <c r="E119" s="1858">
        <v>0.124</v>
      </c>
      <c r="F119" s="1859">
        <v>0.13</v>
      </c>
    </row>
    <row r="120" spans="1:6" ht="14.25" thickBot="1">
      <c r="A120" s="1853" t="s">
        <v>1410</v>
      </c>
      <c r="B120" s="1857" t="s">
        <v>1182</v>
      </c>
      <c r="C120" s="1858">
        <v>0.125</v>
      </c>
      <c r="D120" s="1858">
        <v>0.125</v>
      </c>
      <c r="E120" s="1858">
        <v>0.122</v>
      </c>
      <c r="F120" s="1859">
        <v>0.13</v>
      </c>
    </row>
    <row r="121" spans="1:6" ht="14.25" thickBot="1">
      <c r="A121" s="1853" t="s">
        <v>1410</v>
      </c>
      <c r="B121" s="1857" t="s">
        <v>1192</v>
      </c>
      <c r="C121" s="1858">
        <v>0.13</v>
      </c>
      <c r="D121" s="1858">
        <v>0.13</v>
      </c>
      <c r="E121" s="1858">
        <v>0.13</v>
      </c>
      <c r="F121" s="1859">
        <v>0.13</v>
      </c>
    </row>
    <row r="122" spans="1:6" ht="14.25" thickBot="1">
      <c r="A122" s="1853" t="s">
        <v>1410</v>
      </c>
      <c r="B122" s="1857" t="s">
        <v>1202</v>
      </c>
      <c r="C122" s="1858">
        <v>0.13</v>
      </c>
      <c r="D122" s="1858">
        <v>0.13</v>
      </c>
      <c r="E122" s="1858">
        <v>0.125</v>
      </c>
      <c r="F122" s="1859">
        <v>0.13</v>
      </c>
    </row>
    <row r="123" spans="1:6" ht="14.25" thickBot="1">
      <c r="A123" s="1853" t="s">
        <v>1410</v>
      </c>
      <c r="B123" s="1857" t="s">
        <v>1212</v>
      </c>
      <c r="C123" s="1858">
        <v>0.129</v>
      </c>
      <c r="D123" s="1858">
        <v>0.129</v>
      </c>
      <c r="E123" s="1858">
        <v>0.123</v>
      </c>
      <c r="F123" s="1859">
        <v>0.13</v>
      </c>
    </row>
    <row r="124" spans="1:6" ht="14.25" thickBot="1">
      <c r="A124" s="1853" t="s">
        <v>1410</v>
      </c>
      <c r="B124" s="1857" t="s">
        <v>1222</v>
      </c>
      <c r="C124" s="1858">
        <v>0.10199999999999999</v>
      </c>
      <c r="D124" s="1858">
        <v>0.10100000000000001</v>
      </c>
      <c r="E124" s="1858">
        <v>0.08</v>
      </c>
      <c r="F124" s="1866"/>
    </row>
    <row r="125" spans="1:6" ht="14.25" thickBot="1">
      <c r="A125" s="1853" t="s">
        <v>1410</v>
      </c>
      <c r="B125" s="1857" t="s">
        <v>1232</v>
      </c>
      <c r="C125" s="1858">
        <v>0.13</v>
      </c>
      <c r="D125" s="1858">
        <v>0.13</v>
      </c>
      <c r="E125" s="1858">
        <v>0.129</v>
      </c>
      <c r="F125" s="1866"/>
    </row>
    <row r="126" spans="1:6" ht="14.25" thickBot="1">
      <c r="A126" s="1853" t="s">
        <v>1410</v>
      </c>
      <c r="B126" s="1857" t="s">
        <v>1242</v>
      </c>
      <c r="C126" s="1858">
        <v>0.13</v>
      </c>
      <c r="D126" s="1858">
        <v>0.13</v>
      </c>
      <c r="E126" s="1858">
        <v>0.126</v>
      </c>
      <c r="F126" s="1866"/>
    </row>
    <row r="127" spans="1:6" ht="14.25" thickBot="1">
      <c r="A127" s="1853" t="s">
        <v>1410</v>
      </c>
      <c r="B127" s="1857" t="s">
        <v>1252</v>
      </c>
      <c r="C127" s="1858">
        <v>0.125</v>
      </c>
      <c r="D127" s="1858">
        <v>0.125</v>
      </c>
      <c r="E127" s="1858">
        <v>0.121</v>
      </c>
      <c r="F127" s="1866"/>
    </row>
    <row r="128" spans="1:6" ht="14.25" thickBot="1">
      <c r="A128" s="1853" t="s">
        <v>1410</v>
      </c>
      <c r="B128" s="1857" t="s">
        <v>1262</v>
      </c>
      <c r="C128" s="1858">
        <v>0.12</v>
      </c>
      <c r="D128" s="1858">
        <v>0.12</v>
      </c>
      <c r="E128" s="1858">
        <v>0.105</v>
      </c>
      <c r="F128" s="1866"/>
    </row>
    <row r="129" spans="1:6" ht="14.25" thickBot="1">
      <c r="A129" s="1853" t="s">
        <v>1410</v>
      </c>
      <c r="B129" s="1857" t="s">
        <v>1271</v>
      </c>
      <c r="C129" s="1858">
        <v>0.13</v>
      </c>
      <c r="D129" s="1858">
        <v>0.13</v>
      </c>
      <c r="E129" s="1858">
        <v>0.126</v>
      </c>
      <c r="F129" s="1866"/>
    </row>
    <row r="130" spans="1:6" ht="14.25" thickBot="1">
      <c r="A130" s="1853" t="s">
        <v>1410</v>
      </c>
      <c r="B130" s="1857" t="s">
        <v>1280</v>
      </c>
      <c r="C130" s="1858">
        <v>0.125</v>
      </c>
      <c r="D130" s="1858">
        <v>0.125</v>
      </c>
      <c r="E130" s="1858">
        <v>0.122</v>
      </c>
      <c r="F130" s="1866"/>
    </row>
    <row r="131" spans="1:6" ht="14.25" thickBot="1">
      <c r="A131" s="1853" t="s">
        <v>1410</v>
      </c>
      <c r="B131" s="1857" t="s">
        <v>1288</v>
      </c>
      <c r="C131" s="1858">
        <v>0.127</v>
      </c>
      <c r="D131" s="1858">
        <v>0.126</v>
      </c>
      <c r="E131" s="1858">
        <v>0.123</v>
      </c>
      <c r="F131" s="1866"/>
    </row>
    <row r="132" spans="1:6" ht="14.25" thickBot="1">
      <c r="A132" s="1853" t="s">
        <v>1410</v>
      </c>
      <c r="B132" s="1857" t="s">
        <v>1295</v>
      </c>
      <c r="C132" s="1858">
        <v>9.0999999999999998E-2</v>
      </c>
      <c r="D132" s="1858">
        <v>0.121</v>
      </c>
      <c r="E132" s="1858">
        <v>9.9000000000000005E-2</v>
      </c>
      <c r="F132" s="1866"/>
    </row>
    <row r="133" spans="1:6" ht="14.25" thickBot="1">
      <c r="A133" s="1853" t="s">
        <v>1410</v>
      </c>
      <c r="B133" s="1857" t="s">
        <v>1302</v>
      </c>
      <c r="C133" s="1858">
        <v>0.13</v>
      </c>
      <c r="D133" s="1858">
        <v>0.13</v>
      </c>
      <c r="E133" s="1858">
        <v>0.129</v>
      </c>
      <c r="F133" s="1866"/>
    </row>
    <row r="134" spans="1:6" ht="14.25" thickBot="1">
      <c r="A134" s="1853" t="s">
        <v>1410</v>
      </c>
      <c r="B134" s="1857" t="s">
        <v>2107</v>
      </c>
      <c r="C134" s="1858">
        <v>6.8000000000000005E-2</v>
      </c>
      <c r="D134" s="1858">
        <v>6.5000000000000002E-2</v>
      </c>
      <c r="E134" s="1858">
        <v>6.5000000000000002E-2</v>
      </c>
      <c r="F134" s="1859">
        <v>0.13</v>
      </c>
    </row>
    <row r="135" spans="1:6" ht="14.25" thickBot="1">
      <c r="A135" s="1853" t="s">
        <v>1410</v>
      </c>
      <c r="B135" s="1857" t="s">
        <v>1316</v>
      </c>
      <c r="C135" s="1858">
        <v>0.123</v>
      </c>
      <c r="D135" s="1858">
        <v>0.123</v>
      </c>
      <c r="E135" s="1858">
        <v>0.11</v>
      </c>
      <c r="F135" s="1866"/>
    </row>
    <row r="136" spans="1:6" ht="14.25" thickBot="1">
      <c r="A136" s="1853" t="s">
        <v>1410</v>
      </c>
      <c r="B136" s="1857" t="s">
        <v>1323</v>
      </c>
      <c r="C136" s="1858">
        <v>0.13</v>
      </c>
      <c r="D136" s="1858">
        <v>0.13</v>
      </c>
      <c r="E136" s="1858">
        <v>0.125</v>
      </c>
      <c r="F136" s="1866"/>
    </row>
    <row r="137" spans="1:6" ht="14.25" thickBot="1">
      <c r="A137" s="1853" t="s">
        <v>1410</v>
      </c>
      <c r="B137" s="1857" t="s">
        <v>1330</v>
      </c>
      <c r="C137" s="1858">
        <v>0.121</v>
      </c>
      <c r="D137" s="1858">
        <v>0.122</v>
      </c>
      <c r="E137" s="1858">
        <v>0.115</v>
      </c>
      <c r="F137" s="1866"/>
    </row>
    <row r="138" spans="1:6" ht="14.25" thickBot="1">
      <c r="A138" s="1853" t="s">
        <v>1410</v>
      </c>
      <c r="B138" s="1857" t="s">
        <v>2108</v>
      </c>
      <c r="C138" s="1858">
        <v>0.105</v>
      </c>
      <c r="D138" s="1858">
        <v>0.125</v>
      </c>
      <c r="E138" s="1858">
        <v>0.112</v>
      </c>
      <c r="F138" s="1866"/>
    </row>
    <row r="139" spans="1:6" ht="14.25" thickBot="1">
      <c r="A139" s="1853" t="s">
        <v>1410</v>
      </c>
      <c r="B139" s="1857" t="s">
        <v>2109</v>
      </c>
      <c r="C139" s="1858">
        <v>0.127</v>
      </c>
      <c r="D139" s="1858">
        <v>0.127</v>
      </c>
      <c r="E139" s="1858">
        <v>0.122</v>
      </c>
      <c r="F139" s="1859">
        <v>0.13</v>
      </c>
    </row>
    <row r="140" spans="1:6" ht="14.25" thickBot="1">
      <c r="A140" s="1853" t="s">
        <v>1410</v>
      </c>
      <c r="B140" s="1857" t="s">
        <v>2110</v>
      </c>
      <c r="C140" s="1858">
        <v>0.125</v>
      </c>
      <c r="D140" s="1858">
        <v>0.125</v>
      </c>
      <c r="E140" s="1858">
        <v>0.11899999999999999</v>
      </c>
      <c r="F140" s="1859">
        <v>0.13</v>
      </c>
    </row>
    <row r="141" spans="1:6" ht="14.25" thickBot="1">
      <c r="A141" s="1853" t="s">
        <v>1410</v>
      </c>
      <c r="B141" s="1857" t="s">
        <v>1349</v>
      </c>
      <c r="C141" s="1858">
        <v>0.125</v>
      </c>
      <c r="D141" s="1858">
        <v>0.125</v>
      </c>
      <c r="E141" s="1858">
        <v>0.11700000000000001</v>
      </c>
      <c r="F141" s="1866"/>
    </row>
    <row r="142" spans="1:6" ht="14.25" thickBot="1">
      <c r="A142" s="1853" t="s">
        <v>1410</v>
      </c>
      <c r="B142" s="1857" t="s">
        <v>1354</v>
      </c>
      <c r="C142" s="1858">
        <v>0.125</v>
      </c>
      <c r="D142" s="1858">
        <v>0.125</v>
      </c>
      <c r="E142" s="1858">
        <v>0.115</v>
      </c>
      <c r="F142" s="1866"/>
    </row>
    <row r="143" spans="1:6" ht="14.25" thickBot="1">
      <c r="A143" s="1853" t="s">
        <v>1410</v>
      </c>
      <c r="B143" s="1857" t="s">
        <v>1359</v>
      </c>
      <c r="C143" s="1858">
        <v>0.121</v>
      </c>
      <c r="D143" s="1858">
        <v>0.121</v>
      </c>
      <c r="E143" s="1858">
        <v>0.108</v>
      </c>
      <c r="F143" s="1866"/>
    </row>
    <row r="144" spans="1:6" ht="14.25" thickBot="1">
      <c r="A144" s="1853" t="s">
        <v>1410</v>
      </c>
      <c r="B144" s="1870" t="s">
        <v>2111</v>
      </c>
      <c r="C144" s="1871">
        <v>0.126</v>
      </c>
      <c r="D144" s="1871">
        <v>0.126</v>
      </c>
      <c r="E144" s="1871">
        <v>0.121</v>
      </c>
      <c r="F144" s="1866"/>
    </row>
    <row r="145" spans="1:6" ht="14.25" thickBot="1">
      <c r="A145" s="1861" t="s">
        <v>1410</v>
      </c>
      <c r="B145" s="1872" t="s">
        <v>2112</v>
      </c>
      <c r="C145" s="1873"/>
      <c r="D145" s="1873"/>
      <c r="E145" s="1873"/>
      <c r="F145" s="1874">
        <v>0.05</v>
      </c>
    </row>
    <row r="146" spans="1:6" ht="24.75" thickBot="1">
      <c r="A146" s="1875" t="s">
        <v>1410</v>
      </c>
      <c r="B146" s="1860" t="s">
        <v>2113</v>
      </c>
      <c r="C146" s="1867"/>
      <c r="D146" s="1867"/>
      <c r="E146" s="1867"/>
      <c r="F146" s="1876">
        <v>0.05</v>
      </c>
    </row>
    <row r="147" spans="1:6" ht="24.75" thickBot="1">
      <c r="A147" s="1853" t="s">
        <v>1410</v>
      </c>
      <c r="B147" s="1857" t="s">
        <v>2114</v>
      </c>
      <c r="C147" s="1867"/>
      <c r="D147" s="1867"/>
      <c r="E147" s="1867"/>
      <c r="F147" s="1859">
        <v>0.05</v>
      </c>
    </row>
    <row r="148" spans="1:6" ht="24.75" thickBot="1">
      <c r="A148" s="1853" t="s">
        <v>1410</v>
      </c>
      <c r="B148" s="1857" t="s">
        <v>2115</v>
      </c>
      <c r="C148" s="1867"/>
      <c r="D148" s="1867"/>
      <c r="E148" s="1867"/>
      <c r="F148" s="1859">
        <v>0.05</v>
      </c>
    </row>
    <row r="149" spans="1:6" ht="24.75" thickBot="1">
      <c r="A149" s="1853" t="s">
        <v>1410</v>
      </c>
      <c r="B149" s="1857" t="s">
        <v>2116</v>
      </c>
      <c r="C149" s="1867"/>
      <c r="D149" s="1867"/>
      <c r="E149" s="1867"/>
      <c r="F149" s="1859">
        <v>0.05</v>
      </c>
    </row>
    <row r="150" spans="1:6" ht="24.75" thickBot="1">
      <c r="A150" s="1853" t="s">
        <v>1410</v>
      </c>
      <c r="B150" s="1857" t="s">
        <v>2117</v>
      </c>
      <c r="C150" s="1867"/>
      <c r="D150" s="1867"/>
      <c r="E150" s="1867"/>
      <c r="F150" s="1859">
        <v>0.05</v>
      </c>
    </row>
    <row r="151" spans="1:6" ht="24.75" thickBot="1">
      <c r="A151" s="1853" t="s">
        <v>1410</v>
      </c>
      <c r="B151" s="1857" t="s">
        <v>2118</v>
      </c>
      <c r="C151" s="1867"/>
      <c r="D151" s="1867"/>
      <c r="E151" s="1867"/>
      <c r="F151" s="1859">
        <v>0.05</v>
      </c>
    </row>
    <row r="152" spans="1:6" ht="24.75" thickBot="1">
      <c r="A152" s="1853" t="s">
        <v>1410</v>
      </c>
      <c r="B152" s="1857" t="s">
        <v>1392</v>
      </c>
      <c r="C152" s="1867"/>
      <c r="D152" s="1867"/>
      <c r="E152" s="1867"/>
      <c r="F152" s="1859">
        <v>0.05</v>
      </c>
    </row>
    <row r="153" spans="1:6" ht="14.25" thickBot="1">
      <c r="A153" s="1853" t="s">
        <v>1410</v>
      </c>
      <c r="B153" s="1857" t="s">
        <v>2119</v>
      </c>
      <c r="C153" s="1867"/>
      <c r="D153" s="1867"/>
      <c r="E153" s="1867"/>
      <c r="F153" s="1859">
        <v>0.05</v>
      </c>
    </row>
    <row r="154" spans="1:6" ht="14.25" thickBot="1">
      <c r="A154" s="1853" t="s">
        <v>1410</v>
      </c>
      <c r="B154" s="1857" t="s">
        <v>2120</v>
      </c>
      <c r="C154" s="1867"/>
      <c r="D154" s="1867"/>
      <c r="E154" s="1867"/>
      <c r="F154" s="1859">
        <v>0.05</v>
      </c>
    </row>
    <row r="155" spans="1:6" ht="24.75" thickBot="1">
      <c r="A155" s="1853" t="s">
        <v>1410</v>
      </c>
      <c r="B155" s="1857" t="s">
        <v>2121</v>
      </c>
      <c r="C155" s="1867"/>
      <c r="D155" s="1867"/>
      <c r="E155" s="1867"/>
      <c r="F155" s="1859">
        <v>0.05</v>
      </c>
    </row>
    <row r="156" spans="1:6" ht="24.75" thickBot="1">
      <c r="A156" s="1853" t="s">
        <v>1410</v>
      </c>
      <c r="B156" s="1857" t="s">
        <v>2122</v>
      </c>
      <c r="C156" s="1867"/>
      <c r="D156" s="1867"/>
      <c r="E156" s="1867"/>
      <c r="F156" s="1859">
        <v>0.05</v>
      </c>
    </row>
    <row r="157" spans="1:6" ht="14.25" thickBot="1">
      <c r="A157" s="1861" t="s">
        <v>1410</v>
      </c>
      <c r="B157" s="1868" t="s">
        <v>2123</v>
      </c>
      <c r="C157" s="1864"/>
      <c r="D157" s="1864"/>
      <c r="E157" s="1864"/>
      <c r="F157" s="1869">
        <v>0.05</v>
      </c>
    </row>
    <row r="158" spans="1:6" ht="14.25" thickBot="1">
      <c r="A158" s="1853" t="s">
        <v>1412</v>
      </c>
      <c r="B158" s="1854" t="s">
        <v>2124</v>
      </c>
      <c r="C158" s="1855">
        <v>0.13</v>
      </c>
      <c r="D158" s="1855">
        <v>0.13</v>
      </c>
      <c r="E158" s="1855">
        <v>0.13</v>
      </c>
      <c r="F158" s="1856">
        <v>0.13</v>
      </c>
    </row>
    <row r="159" spans="1:6" ht="14.25" thickBot="1">
      <c r="A159" s="1853" t="s">
        <v>1412</v>
      </c>
      <c r="B159" s="1857" t="s">
        <v>1077</v>
      </c>
      <c r="C159" s="1858">
        <v>0.13</v>
      </c>
      <c r="D159" s="1858">
        <v>0.13</v>
      </c>
      <c r="E159" s="1858">
        <v>0.13</v>
      </c>
      <c r="F159" s="1859">
        <v>0.13</v>
      </c>
    </row>
    <row r="160" spans="1:6" ht="14.25" thickBot="1">
      <c r="A160" s="1853" t="s">
        <v>1412</v>
      </c>
      <c r="B160" s="1857" t="s">
        <v>1091</v>
      </c>
      <c r="C160" s="1858">
        <v>0.13</v>
      </c>
      <c r="D160" s="1858">
        <v>0.13</v>
      </c>
      <c r="E160" s="1858">
        <v>0.129</v>
      </c>
      <c r="F160" s="1859">
        <v>0.13</v>
      </c>
    </row>
    <row r="161" spans="1:6" ht="14.25" thickBot="1">
      <c r="A161" s="1853" t="s">
        <v>1412</v>
      </c>
      <c r="B161" s="1857" t="s">
        <v>1104</v>
      </c>
      <c r="C161" s="1858">
        <v>0.128</v>
      </c>
      <c r="D161" s="1858">
        <v>0.128</v>
      </c>
      <c r="E161" s="1858">
        <v>0.125</v>
      </c>
      <c r="F161" s="1859">
        <v>0.13</v>
      </c>
    </row>
    <row r="162" spans="1:6" ht="14.25" thickBot="1">
      <c r="A162" s="1853" t="s">
        <v>1412</v>
      </c>
      <c r="B162" s="1857" t="s">
        <v>1118</v>
      </c>
      <c r="C162" s="1858">
        <v>0.122</v>
      </c>
      <c r="D162" s="1858">
        <v>0.122</v>
      </c>
      <c r="E162" s="1858">
        <v>0.126</v>
      </c>
      <c r="F162" s="1859">
        <v>0.122</v>
      </c>
    </row>
    <row r="163" spans="1:6" ht="14.25" thickBot="1">
      <c r="A163" s="1853" t="s">
        <v>1412</v>
      </c>
      <c r="B163" s="1857" t="s">
        <v>1129</v>
      </c>
      <c r="C163" s="1858">
        <v>0.13</v>
      </c>
      <c r="D163" s="1858">
        <v>0.13</v>
      </c>
      <c r="E163" s="1858">
        <v>0.125</v>
      </c>
      <c r="F163" s="1859">
        <v>0.13</v>
      </c>
    </row>
    <row r="164" spans="1:6" ht="14.25" thickBot="1">
      <c r="A164" s="1853" t="s">
        <v>1412</v>
      </c>
      <c r="B164" s="1857" t="s">
        <v>1140</v>
      </c>
      <c r="C164" s="1858">
        <v>0.13</v>
      </c>
      <c r="D164" s="1858">
        <v>0.13</v>
      </c>
      <c r="E164" s="1858">
        <v>0.13</v>
      </c>
      <c r="F164" s="1859">
        <v>0.13</v>
      </c>
    </row>
    <row r="165" spans="1:6" ht="14.25" thickBot="1">
      <c r="A165" s="1853" t="s">
        <v>1412</v>
      </c>
      <c r="B165" s="1857" t="s">
        <v>1151</v>
      </c>
      <c r="C165" s="1858">
        <v>0.13</v>
      </c>
      <c r="D165" s="1858">
        <v>0.13</v>
      </c>
      <c r="E165" s="1858">
        <v>0.124</v>
      </c>
      <c r="F165" s="1859">
        <v>0.13</v>
      </c>
    </row>
    <row r="166" spans="1:6" ht="14.25" thickBot="1">
      <c r="A166" s="1853" t="s">
        <v>1412</v>
      </c>
      <c r="B166" s="1857" t="s">
        <v>1163</v>
      </c>
      <c r="C166" s="1858">
        <v>0.13</v>
      </c>
      <c r="D166" s="1858">
        <v>0.13</v>
      </c>
      <c r="E166" s="1858">
        <v>0.13</v>
      </c>
      <c r="F166" s="1859">
        <v>0.13</v>
      </c>
    </row>
    <row r="167" spans="1:6" ht="14.25" thickBot="1">
      <c r="A167" s="1853" t="s">
        <v>1412</v>
      </c>
      <c r="B167" s="1857" t="s">
        <v>1173</v>
      </c>
      <c r="C167" s="1858">
        <v>0.125</v>
      </c>
      <c r="D167" s="1858">
        <v>0.125</v>
      </c>
      <c r="E167" s="1858">
        <v>0.121</v>
      </c>
      <c r="F167" s="1866"/>
    </row>
    <row r="168" spans="1:6" ht="14.25" thickBot="1">
      <c r="A168" s="1853" t="s">
        <v>1412</v>
      </c>
      <c r="B168" s="1857" t="s">
        <v>1183</v>
      </c>
      <c r="C168" s="1858">
        <v>0.13</v>
      </c>
      <c r="D168" s="1858">
        <v>0.13</v>
      </c>
      <c r="E168" s="1858">
        <v>0.126</v>
      </c>
      <c r="F168" s="1866"/>
    </row>
    <row r="169" spans="1:6" ht="14.25" thickBot="1">
      <c r="A169" s="1853" t="s">
        <v>1412</v>
      </c>
      <c r="B169" s="1857" t="s">
        <v>1193</v>
      </c>
      <c r="C169" s="1858">
        <v>0.128</v>
      </c>
      <c r="D169" s="1858">
        <v>0.129</v>
      </c>
      <c r="E169" s="1858">
        <v>0.13</v>
      </c>
      <c r="F169" s="1866"/>
    </row>
    <row r="170" spans="1:6" ht="14.25" thickBot="1">
      <c r="A170" s="1853" t="s">
        <v>1412</v>
      </c>
      <c r="B170" s="1857" t="s">
        <v>1203</v>
      </c>
      <c r="C170" s="1858">
        <v>0.14099999999999999</v>
      </c>
      <c r="D170" s="1858">
        <v>0.13</v>
      </c>
      <c r="E170" s="1858">
        <v>0.125</v>
      </c>
      <c r="F170" s="1866"/>
    </row>
    <row r="171" spans="1:6" ht="14.25" thickBot="1">
      <c r="A171" s="1853" t="s">
        <v>1412</v>
      </c>
      <c r="B171" s="1857" t="s">
        <v>2125</v>
      </c>
      <c r="C171" s="1858">
        <v>0.127</v>
      </c>
      <c r="D171" s="1858">
        <v>0.126</v>
      </c>
      <c r="E171" s="1858">
        <v>0.126</v>
      </c>
      <c r="F171" s="1859">
        <v>0.11799999999999999</v>
      </c>
    </row>
    <row r="172" spans="1:6" ht="14.25" thickBot="1">
      <c r="A172" s="1853" t="s">
        <v>1412</v>
      </c>
      <c r="B172" s="1857" t="s">
        <v>2126</v>
      </c>
      <c r="C172" s="1858">
        <v>0.13</v>
      </c>
      <c r="D172" s="1858">
        <v>0.13</v>
      </c>
      <c r="E172" s="1858">
        <v>0.13</v>
      </c>
      <c r="F172" s="1866"/>
    </row>
    <row r="173" spans="1:6" ht="14.25" thickBot="1">
      <c r="A173" s="1853" t="s">
        <v>1412</v>
      </c>
      <c r="B173" s="1857" t="s">
        <v>1233</v>
      </c>
      <c r="C173" s="1858">
        <v>0.13</v>
      </c>
      <c r="D173" s="1858">
        <v>0.13</v>
      </c>
      <c r="E173" s="1858">
        <v>0.13</v>
      </c>
      <c r="F173" s="1866"/>
    </row>
    <row r="174" spans="1:6" ht="14.25" thickBot="1">
      <c r="A174" s="1853" t="s">
        <v>1412</v>
      </c>
      <c r="B174" s="1857" t="s">
        <v>2127</v>
      </c>
      <c r="C174" s="1858">
        <v>0.13</v>
      </c>
      <c r="D174" s="1858">
        <v>0.13</v>
      </c>
      <c r="E174" s="1858">
        <v>0.13</v>
      </c>
      <c r="F174" s="1859">
        <v>0.13</v>
      </c>
    </row>
    <row r="175" spans="1:6" ht="14.25" thickBot="1">
      <c r="A175" s="1853" t="s">
        <v>1412</v>
      </c>
      <c r="B175" s="1857" t="s">
        <v>2128</v>
      </c>
      <c r="C175" s="1858">
        <v>0.13</v>
      </c>
      <c r="D175" s="1858">
        <v>0.13</v>
      </c>
      <c r="E175" s="1858">
        <v>0.13</v>
      </c>
      <c r="F175" s="1859">
        <v>0.13</v>
      </c>
    </row>
    <row r="176" spans="1:6" ht="14.25" thickBot="1">
      <c r="A176" s="1853" t="s">
        <v>1412</v>
      </c>
      <c r="B176" s="1857" t="s">
        <v>1263</v>
      </c>
      <c r="C176" s="1858">
        <v>0.13</v>
      </c>
      <c r="D176" s="1858">
        <v>0.13</v>
      </c>
      <c r="E176" s="1858">
        <v>0.13</v>
      </c>
      <c r="F176" s="1859">
        <v>0.13</v>
      </c>
    </row>
    <row r="177" spans="1:6" ht="14.25" thickBot="1">
      <c r="A177" s="1853" t="s">
        <v>1412</v>
      </c>
      <c r="B177" s="1857" t="s">
        <v>2129</v>
      </c>
      <c r="C177" s="1858">
        <v>0.13</v>
      </c>
      <c r="D177" s="1858">
        <v>0.13</v>
      </c>
      <c r="E177" s="1858">
        <v>0.13</v>
      </c>
      <c r="F177" s="1859">
        <v>0.13</v>
      </c>
    </row>
    <row r="178" spans="1:6" ht="14.25" thickBot="1">
      <c r="A178" s="1853" t="s">
        <v>1412</v>
      </c>
      <c r="B178" s="1857" t="s">
        <v>1281</v>
      </c>
      <c r="C178" s="1858">
        <v>0.13</v>
      </c>
      <c r="D178" s="1858">
        <v>0.13</v>
      </c>
      <c r="E178" s="1858">
        <v>0.13</v>
      </c>
      <c r="F178" s="1859">
        <v>0.127</v>
      </c>
    </row>
    <row r="179" spans="1:6" ht="14.25" thickBot="1">
      <c r="A179" s="1853" t="s">
        <v>1412</v>
      </c>
      <c r="B179" s="1857" t="s">
        <v>1289</v>
      </c>
      <c r="C179" s="1858">
        <v>0.13</v>
      </c>
      <c r="D179" s="1858">
        <v>0.13</v>
      </c>
      <c r="E179" s="1858">
        <v>0.13</v>
      </c>
      <c r="F179" s="1866"/>
    </row>
    <row r="180" spans="1:6" ht="14.25" thickBot="1">
      <c r="A180" s="1853" t="s">
        <v>1412</v>
      </c>
      <c r="B180" s="1857" t="s">
        <v>2130</v>
      </c>
      <c r="C180" s="1858">
        <v>0.13</v>
      </c>
      <c r="D180" s="1858">
        <v>0.13</v>
      </c>
      <c r="E180" s="1858">
        <v>0.125</v>
      </c>
      <c r="F180" s="1859">
        <v>0.13</v>
      </c>
    </row>
    <row r="181" spans="1:6" ht="14.25" thickBot="1">
      <c r="A181" s="1853" t="s">
        <v>1412</v>
      </c>
      <c r="B181" s="1857" t="s">
        <v>1303</v>
      </c>
      <c r="C181" s="1858">
        <v>0.122</v>
      </c>
      <c r="D181" s="1858">
        <v>0.123</v>
      </c>
      <c r="E181" s="1858">
        <v>0.126</v>
      </c>
      <c r="F181" s="1859">
        <v>0.121</v>
      </c>
    </row>
    <row r="182" spans="1:6" ht="14.25" thickBot="1">
      <c r="A182" s="1853" t="s">
        <v>1412</v>
      </c>
      <c r="B182" s="1857" t="s">
        <v>1310</v>
      </c>
      <c r="C182" s="1858">
        <v>0.125</v>
      </c>
      <c r="D182" s="1858">
        <v>0.125</v>
      </c>
      <c r="E182" s="1858">
        <v>0.11700000000000001</v>
      </c>
      <c r="F182" s="1859">
        <v>0.13</v>
      </c>
    </row>
    <row r="183" spans="1:6" ht="14.25" thickBot="1">
      <c r="A183" s="1853" t="s">
        <v>1412</v>
      </c>
      <c r="B183" s="1857" t="s">
        <v>1317</v>
      </c>
      <c r="C183" s="1858">
        <v>0.127</v>
      </c>
      <c r="D183" s="1858">
        <v>0.127</v>
      </c>
      <c r="E183" s="1858">
        <v>0.128</v>
      </c>
      <c r="F183" s="1866"/>
    </row>
    <row r="184" spans="1:6" ht="14.25" thickBot="1">
      <c r="A184" s="1853" t="s">
        <v>1412</v>
      </c>
      <c r="B184" s="1857" t="s">
        <v>1324</v>
      </c>
      <c r="C184" s="1858">
        <v>0.125</v>
      </c>
      <c r="D184" s="1858">
        <v>0.125</v>
      </c>
      <c r="E184" s="1858">
        <v>0.127</v>
      </c>
      <c r="F184" s="1866"/>
    </row>
    <row r="185" spans="1:6" ht="14.25" thickBot="1">
      <c r="A185" s="1853" t="s">
        <v>1412</v>
      </c>
      <c r="B185" s="1857" t="s">
        <v>2131</v>
      </c>
      <c r="C185" s="1858">
        <v>0.127</v>
      </c>
      <c r="D185" s="1858">
        <v>0.127</v>
      </c>
      <c r="E185" s="1858">
        <v>0.128</v>
      </c>
      <c r="F185" s="1859">
        <v>0.13</v>
      </c>
    </row>
    <row r="186" spans="1:6" ht="24.75" thickBot="1">
      <c r="A186" s="1853" t="s">
        <v>1412</v>
      </c>
      <c r="B186" s="1857" t="s">
        <v>2132</v>
      </c>
      <c r="C186" s="1867"/>
      <c r="D186" s="1867"/>
      <c r="E186" s="1867"/>
      <c r="F186" s="1859">
        <v>0.05</v>
      </c>
    </row>
    <row r="187" spans="1:6" ht="14.25" thickBot="1">
      <c r="A187" s="1853" t="s">
        <v>1412</v>
      </c>
      <c r="B187" s="1857" t="s">
        <v>2133</v>
      </c>
      <c r="C187" s="1867"/>
      <c r="D187" s="1867"/>
      <c r="E187" s="1867"/>
      <c r="F187" s="1859">
        <v>0.05</v>
      </c>
    </row>
    <row r="188" spans="1:6" ht="14.25" thickBot="1">
      <c r="A188" s="1853" t="s">
        <v>1412</v>
      </c>
      <c r="B188" s="1857" t="s">
        <v>2134</v>
      </c>
      <c r="C188" s="1867"/>
      <c r="D188" s="1867"/>
      <c r="E188" s="1867"/>
      <c r="F188" s="1859">
        <v>0.05</v>
      </c>
    </row>
    <row r="189" spans="1:6" ht="24.75" thickBot="1">
      <c r="A189" s="1853" t="s">
        <v>1412</v>
      </c>
      <c r="B189" s="1857" t="s">
        <v>2135</v>
      </c>
      <c r="C189" s="1867"/>
      <c r="D189" s="1867"/>
      <c r="E189" s="1867"/>
      <c r="F189" s="1859">
        <v>0.05</v>
      </c>
    </row>
    <row r="190" spans="1:6" ht="24.75" thickBot="1">
      <c r="A190" s="1853" t="s">
        <v>1412</v>
      </c>
      <c r="B190" s="1857" t="s">
        <v>2136</v>
      </c>
      <c r="C190" s="1867"/>
      <c r="D190" s="1867"/>
      <c r="E190" s="1867"/>
      <c r="F190" s="1859">
        <v>0.05</v>
      </c>
    </row>
    <row r="191" spans="1:6" ht="24.75" thickBot="1">
      <c r="A191" s="1853" t="s">
        <v>1412</v>
      </c>
      <c r="B191" s="1857" t="s">
        <v>2137</v>
      </c>
      <c r="C191" s="1867"/>
      <c r="D191" s="1867"/>
      <c r="E191" s="1867"/>
      <c r="F191" s="1859">
        <v>0.05</v>
      </c>
    </row>
    <row r="192" spans="1:6" ht="24.75" thickBot="1">
      <c r="A192" s="1853" t="s">
        <v>1412</v>
      </c>
      <c r="B192" s="1857" t="s">
        <v>2138</v>
      </c>
      <c r="C192" s="1867"/>
      <c r="D192" s="1867"/>
      <c r="E192" s="1867"/>
      <c r="F192" s="1859">
        <v>0.05</v>
      </c>
    </row>
    <row r="193" spans="1:6" ht="24.75" thickBot="1">
      <c r="A193" s="1853" t="s">
        <v>1412</v>
      </c>
      <c r="B193" s="1857" t="s">
        <v>2139</v>
      </c>
      <c r="C193" s="1867"/>
      <c r="D193" s="1867"/>
      <c r="E193" s="1867"/>
      <c r="F193" s="1859">
        <v>0.05</v>
      </c>
    </row>
    <row r="194" spans="1:6" ht="24.75" thickBot="1">
      <c r="A194" s="1853" t="s">
        <v>1412</v>
      </c>
      <c r="B194" s="1857" t="s">
        <v>2140</v>
      </c>
      <c r="C194" s="1867"/>
      <c r="D194" s="1867"/>
      <c r="E194" s="1867"/>
      <c r="F194" s="1859">
        <v>0.05</v>
      </c>
    </row>
    <row r="195" spans="1:6" ht="14.25" thickBot="1">
      <c r="A195" s="1853" t="s">
        <v>1412</v>
      </c>
      <c r="B195" s="1857" t="s">
        <v>2141</v>
      </c>
      <c r="C195" s="1867"/>
      <c r="D195" s="1867"/>
      <c r="E195" s="1867"/>
      <c r="F195" s="1859">
        <v>0.05</v>
      </c>
    </row>
    <row r="196" spans="1:6" ht="24.75" thickBot="1">
      <c r="A196" s="1853" t="s">
        <v>1412</v>
      </c>
      <c r="B196" s="1857" t="s">
        <v>2142</v>
      </c>
      <c r="C196" s="1867"/>
      <c r="D196" s="1867"/>
      <c r="E196" s="1867"/>
      <c r="F196" s="1859">
        <v>0.05</v>
      </c>
    </row>
    <row r="197" spans="1:6" ht="24.75" thickBot="1">
      <c r="A197" s="1853" t="s">
        <v>1412</v>
      </c>
      <c r="B197" s="1857" t="s">
        <v>2143</v>
      </c>
      <c r="C197" s="1867"/>
      <c r="D197" s="1867"/>
      <c r="E197" s="1867"/>
      <c r="F197" s="1859">
        <v>0.05</v>
      </c>
    </row>
    <row r="198" spans="1:6" ht="24.75" thickBot="1">
      <c r="A198" s="1853" t="s">
        <v>1412</v>
      </c>
      <c r="B198" s="1857" t="s">
        <v>2144</v>
      </c>
      <c r="C198" s="1867"/>
      <c r="D198" s="1867"/>
      <c r="E198" s="1867"/>
      <c r="F198" s="1859">
        <v>0.05</v>
      </c>
    </row>
    <row r="199" spans="1:6" ht="24.75" thickBot="1">
      <c r="A199" s="1853" t="s">
        <v>1412</v>
      </c>
      <c r="B199" s="1857" t="s">
        <v>2145</v>
      </c>
      <c r="C199" s="1867"/>
      <c r="D199" s="1867"/>
      <c r="E199" s="1867"/>
      <c r="F199" s="1859">
        <v>0.05</v>
      </c>
    </row>
    <row r="200" spans="1:6" ht="24.75" thickBot="1">
      <c r="A200" s="1853" t="s">
        <v>1412</v>
      </c>
      <c r="B200" s="1857" t="s">
        <v>2146</v>
      </c>
      <c r="C200" s="1867"/>
      <c r="D200" s="1867"/>
      <c r="E200" s="1867"/>
      <c r="F200" s="1859">
        <v>0.05</v>
      </c>
    </row>
    <row r="201" spans="1:6" ht="24.75" thickBot="1">
      <c r="A201" s="1853" t="s">
        <v>1412</v>
      </c>
      <c r="B201" s="1857" t="s">
        <v>2147</v>
      </c>
      <c r="C201" s="1867"/>
      <c r="D201" s="1867"/>
      <c r="E201" s="1867"/>
      <c r="F201" s="1859">
        <v>0.05</v>
      </c>
    </row>
    <row r="202" spans="1:6" ht="24.75" thickBot="1">
      <c r="A202" s="1853" t="s">
        <v>1412</v>
      </c>
      <c r="B202" s="1857" t="s">
        <v>2148</v>
      </c>
      <c r="C202" s="1867"/>
      <c r="D202" s="1867"/>
      <c r="E202" s="1867"/>
      <c r="F202" s="1859">
        <v>0.05</v>
      </c>
    </row>
    <row r="203" spans="1:6" ht="24.75" thickBot="1">
      <c r="A203" s="1853" t="s">
        <v>1412</v>
      </c>
      <c r="B203" s="1857" t="s">
        <v>2149</v>
      </c>
      <c r="C203" s="1867"/>
      <c r="D203" s="1867"/>
      <c r="E203" s="1867"/>
      <c r="F203" s="1859">
        <v>0.05</v>
      </c>
    </row>
    <row r="204" spans="1:6" ht="14.25" thickBot="1">
      <c r="A204" s="1853" t="s">
        <v>1412</v>
      </c>
      <c r="B204" s="1857" t="s">
        <v>2150</v>
      </c>
      <c r="C204" s="1867"/>
      <c r="D204" s="1867"/>
      <c r="E204" s="1867"/>
      <c r="F204" s="1859">
        <v>0.05</v>
      </c>
    </row>
    <row r="205" spans="1:6" ht="14.25" thickBot="1">
      <c r="A205" s="1861" t="s">
        <v>1412</v>
      </c>
      <c r="B205" s="1868" t="s">
        <v>2151</v>
      </c>
      <c r="C205" s="1864"/>
      <c r="D205" s="1864"/>
      <c r="E205" s="1864"/>
      <c r="F205" s="1869">
        <v>0.05</v>
      </c>
    </row>
    <row r="206" spans="1:6" ht="14.25" thickBot="1">
      <c r="A206" s="1853" t="s">
        <v>1414</v>
      </c>
      <c r="B206" s="1854" t="s">
        <v>2152</v>
      </c>
      <c r="C206" s="1855">
        <v>0.15</v>
      </c>
      <c r="D206" s="1855">
        <v>0.15</v>
      </c>
      <c r="E206" s="1855">
        <v>0.15</v>
      </c>
      <c r="F206" s="1856">
        <v>0.15</v>
      </c>
    </row>
    <row r="207" spans="1:6" ht="14.25" thickBot="1">
      <c r="A207" s="1853" t="s">
        <v>1414</v>
      </c>
      <c r="B207" s="1857" t="s">
        <v>1078</v>
      </c>
      <c r="C207" s="1858">
        <v>0.15</v>
      </c>
      <c r="D207" s="1858">
        <v>0.15</v>
      </c>
      <c r="E207" s="1858">
        <v>0.15</v>
      </c>
      <c r="F207" s="1859">
        <v>0.14399999999999999</v>
      </c>
    </row>
    <row r="208" spans="1:6" ht="14.25" thickBot="1">
      <c r="A208" s="1853" t="s">
        <v>1414</v>
      </c>
      <c r="B208" s="1857" t="s">
        <v>1092</v>
      </c>
      <c r="C208" s="1858">
        <v>0.15</v>
      </c>
      <c r="D208" s="1858">
        <v>0.15</v>
      </c>
      <c r="E208" s="1858">
        <v>0.15</v>
      </c>
      <c r="F208" s="1859">
        <v>0.15</v>
      </c>
    </row>
    <row r="209" spans="1:6" ht="14.25" thickBot="1">
      <c r="A209" s="1853" t="s">
        <v>1414</v>
      </c>
      <c r="B209" s="1857" t="s">
        <v>1105</v>
      </c>
      <c r="C209" s="1858">
        <v>0.13700000000000001</v>
      </c>
      <c r="D209" s="1858">
        <v>0.13700000000000001</v>
      </c>
      <c r="E209" s="1858">
        <v>0.14000000000000001</v>
      </c>
      <c r="F209" s="1859">
        <v>0.11700000000000001</v>
      </c>
    </row>
    <row r="210" spans="1:6" ht="14.25" thickBot="1">
      <c r="A210" s="1853" t="s">
        <v>1414</v>
      </c>
      <c r="B210" s="1857" t="s">
        <v>2153</v>
      </c>
      <c r="C210" s="1858">
        <v>0.15</v>
      </c>
      <c r="D210" s="1858">
        <v>0.15</v>
      </c>
      <c r="E210" s="1858">
        <v>0.15</v>
      </c>
      <c r="F210" s="1859">
        <v>0.13800000000000001</v>
      </c>
    </row>
    <row r="211" spans="1:6" ht="14.25" thickBot="1">
      <c r="A211" s="1853" t="s">
        <v>1414</v>
      </c>
      <c r="B211" s="1857" t="s">
        <v>2154</v>
      </c>
      <c r="C211" s="1858">
        <v>0.13700000000000001</v>
      </c>
      <c r="D211" s="1858">
        <v>0.13500000000000001</v>
      </c>
      <c r="E211" s="1858">
        <v>0.13600000000000001</v>
      </c>
      <c r="F211" s="1859">
        <v>0.1</v>
      </c>
    </row>
    <row r="212" spans="1:6" ht="14.25" thickBot="1">
      <c r="A212" s="1853" t="s">
        <v>1414</v>
      </c>
      <c r="B212" s="1857" t="s">
        <v>2155</v>
      </c>
      <c r="C212" s="1858">
        <v>0.15</v>
      </c>
      <c r="D212" s="1858">
        <v>0.15</v>
      </c>
      <c r="E212" s="1858">
        <v>0.14799999999999999</v>
      </c>
      <c r="F212" s="1859">
        <v>0.13600000000000001</v>
      </c>
    </row>
    <row r="213" spans="1:6" ht="14.25" thickBot="1">
      <c r="A213" s="1853" t="s">
        <v>1414</v>
      </c>
      <c r="B213" s="1857" t="s">
        <v>1152</v>
      </c>
      <c r="C213" s="1858">
        <v>0.15</v>
      </c>
      <c r="D213" s="1858">
        <v>0.15</v>
      </c>
      <c r="E213" s="1858">
        <v>0.15</v>
      </c>
      <c r="F213" s="1859">
        <v>0.13800000000000001</v>
      </c>
    </row>
    <row r="214" spans="1:6" ht="14.25" thickBot="1">
      <c r="A214" s="1853" t="s">
        <v>1414</v>
      </c>
      <c r="B214" s="1857" t="s">
        <v>1164</v>
      </c>
      <c r="C214" s="1858">
        <v>9.0999999999999998E-2</v>
      </c>
      <c r="D214" s="1858">
        <v>0.09</v>
      </c>
      <c r="E214" s="1858">
        <v>9.1999999999999998E-2</v>
      </c>
      <c r="F214" s="1866"/>
    </row>
    <row r="215" spans="1:6" ht="14.25" thickBot="1">
      <c r="A215" s="1853" t="s">
        <v>1414</v>
      </c>
      <c r="B215" s="1857" t="s">
        <v>2156</v>
      </c>
      <c r="C215" s="1858">
        <v>0.15</v>
      </c>
      <c r="D215" s="1858">
        <v>0.15</v>
      </c>
      <c r="E215" s="1858">
        <v>0.15</v>
      </c>
      <c r="F215" s="1859">
        <v>0.15</v>
      </c>
    </row>
    <row r="216" spans="1:6" ht="14.25" thickBot="1">
      <c r="A216" s="1853" t="s">
        <v>1414</v>
      </c>
      <c r="B216" s="1857" t="s">
        <v>1184</v>
      </c>
      <c r="C216" s="1858">
        <v>0.14699999999999999</v>
      </c>
      <c r="D216" s="1858">
        <v>0.14699999999999999</v>
      </c>
      <c r="E216" s="1858">
        <v>0.15</v>
      </c>
      <c r="F216" s="1859">
        <v>0.14000000000000001</v>
      </c>
    </row>
    <row r="217" spans="1:6" ht="14.25" thickBot="1">
      <c r="A217" s="1853" t="s">
        <v>1414</v>
      </c>
      <c r="B217" s="1857" t="s">
        <v>1194</v>
      </c>
      <c r="C217" s="1858">
        <v>0.15</v>
      </c>
      <c r="D217" s="1858">
        <v>0.15</v>
      </c>
      <c r="E217" s="1858">
        <v>0.15</v>
      </c>
      <c r="F217" s="1859">
        <v>0.15</v>
      </c>
    </row>
    <row r="218" spans="1:6" ht="14.25" thickBot="1">
      <c r="A218" s="1853" t="s">
        <v>1414</v>
      </c>
      <c r="B218" s="1857" t="s">
        <v>2157</v>
      </c>
      <c r="C218" s="1858">
        <v>0.15</v>
      </c>
      <c r="D218" s="1858">
        <v>0.15</v>
      </c>
      <c r="E218" s="1858">
        <v>0.15</v>
      </c>
      <c r="F218" s="1859">
        <v>0.15</v>
      </c>
    </row>
    <row r="219" spans="1:6" ht="14.25" thickBot="1">
      <c r="A219" s="1853" t="s">
        <v>1414</v>
      </c>
      <c r="B219" s="1857" t="s">
        <v>1214</v>
      </c>
      <c r="C219" s="1858">
        <v>0.15</v>
      </c>
      <c r="D219" s="1858">
        <v>0.15</v>
      </c>
      <c r="E219" s="1858">
        <v>0.15</v>
      </c>
      <c r="F219" s="1859">
        <v>0.14799999999999999</v>
      </c>
    </row>
    <row r="220" spans="1:6" ht="14.25" thickBot="1">
      <c r="A220" s="1853" t="s">
        <v>1414</v>
      </c>
      <c r="B220" s="1857" t="s">
        <v>2158</v>
      </c>
      <c r="C220" s="1858">
        <v>0.15</v>
      </c>
      <c r="D220" s="1858">
        <v>0.15</v>
      </c>
      <c r="E220" s="1858">
        <v>0.15</v>
      </c>
      <c r="F220" s="1859">
        <v>0.15</v>
      </c>
    </row>
    <row r="221" spans="1:6" ht="14.25" thickBot="1">
      <c r="A221" s="1853" t="s">
        <v>1414</v>
      </c>
      <c r="B221" s="1857" t="s">
        <v>1234</v>
      </c>
      <c r="C221" s="1858"/>
      <c r="D221" s="1867"/>
      <c r="E221" s="1867"/>
      <c r="F221" s="1859">
        <v>0.14799999999999999</v>
      </c>
    </row>
    <row r="222" spans="1:6" ht="14.25" thickBot="1">
      <c r="A222" s="1853" t="s">
        <v>1414</v>
      </c>
      <c r="B222" s="1857" t="s">
        <v>1244</v>
      </c>
      <c r="C222" s="1858"/>
      <c r="D222" s="1867"/>
      <c r="E222" s="1867"/>
      <c r="F222" s="1859">
        <v>0.1</v>
      </c>
    </row>
    <row r="223" spans="1:6" ht="14.25" thickBot="1">
      <c r="A223" s="1853" t="s">
        <v>1414</v>
      </c>
      <c r="B223" s="1857" t="s">
        <v>1254</v>
      </c>
      <c r="C223" s="1858"/>
      <c r="D223" s="1867"/>
      <c r="E223" s="1867"/>
      <c r="F223" s="1859">
        <v>0.15</v>
      </c>
    </row>
    <row r="224" spans="1:6" ht="14.25" thickBot="1">
      <c r="A224" s="1853" t="s">
        <v>1414</v>
      </c>
      <c r="B224" s="1857" t="s">
        <v>1264</v>
      </c>
      <c r="C224" s="1858"/>
      <c r="D224" s="1867"/>
      <c r="E224" s="1867"/>
      <c r="F224" s="1859">
        <v>0.15</v>
      </c>
    </row>
    <row r="225" spans="1:6" ht="14.25" thickBot="1">
      <c r="A225" s="1853" t="s">
        <v>1414</v>
      </c>
      <c r="B225" s="1857" t="s">
        <v>2159</v>
      </c>
      <c r="C225" s="1858">
        <v>0.15</v>
      </c>
      <c r="D225" s="1858">
        <v>0.15</v>
      </c>
      <c r="E225" s="1858">
        <v>0.15</v>
      </c>
      <c r="F225" s="1859">
        <v>0.15</v>
      </c>
    </row>
    <row r="226" spans="1:6" ht="14.25" thickBot="1">
      <c r="A226" s="1853" t="s">
        <v>1414</v>
      </c>
      <c r="B226" s="1857" t="s">
        <v>1282</v>
      </c>
      <c r="C226" s="1858">
        <v>0.15</v>
      </c>
      <c r="D226" s="1858">
        <v>0.15</v>
      </c>
      <c r="E226" s="1858">
        <v>0.15</v>
      </c>
      <c r="F226" s="1859">
        <v>0.14799999999999999</v>
      </c>
    </row>
    <row r="227" spans="1:6" ht="14.25" thickBot="1">
      <c r="A227" s="1853" t="s">
        <v>1414</v>
      </c>
      <c r="B227" s="1857" t="s">
        <v>2160</v>
      </c>
      <c r="C227" s="1858">
        <v>0.15</v>
      </c>
      <c r="D227" s="1858">
        <v>0.15</v>
      </c>
      <c r="E227" s="1858">
        <v>0.15</v>
      </c>
      <c r="F227" s="1859">
        <v>0.15</v>
      </c>
    </row>
    <row r="228" spans="1:6" ht="14.25" thickBot="1">
      <c r="A228" s="1853" t="s">
        <v>1414</v>
      </c>
      <c r="B228" s="1857" t="s">
        <v>1297</v>
      </c>
      <c r="C228" s="1858">
        <v>0.15</v>
      </c>
      <c r="D228" s="1858">
        <v>0.15</v>
      </c>
      <c r="E228" s="1858">
        <v>0.15</v>
      </c>
      <c r="F228" s="1859">
        <v>0.15</v>
      </c>
    </row>
    <row r="229" spans="1:6" ht="14.25" thickBot="1">
      <c r="A229" s="1853" t="s">
        <v>1414</v>
      </c>
      <c r="B229" s="1857" t="s">
        <v>1304</v>
      </c>
      <c r="C229" s="1858">
        <v>0.15</v>
      </c>
      <c r="D229" s="1858">
        <v>0.15</v>
      </c>
      <c r="E229" s="1858">
        <v>0.15</v>
      </c>
      <c r="F229" s="1866"/>
    </row>
    <row r="230" spans="1:6" ht="14.25" thickBot="1">
      <c r="A230" s="1853" t="s">
        <v>1414</v>
      </c>
      <c r="B230" s="1857" t="s">
        <v>1311</v>
      </c>
      <c r="C230" s="1858">
        <v>0.14499999999999999</v>
      </c>
      <c r="D230" s="1858">
        <v>0.14499999999999999</v>
      </c>
      <c r="E230" s="1858">
        <v>0.14399999999999999</v>
      </c>
      <c r="F230" s="1866"/>
    </row>
    <row r="231" spans="1:6" ht="14.25" thickBot="1">
      <c r="A231" s="1853" t="s">
        <v>1414</v>
      </c>
      <c r="B231" s="1857" t="s">
        <v>2161</v>
      </c>
      <c r="C231" s="1858">
        <v>0.128</v>
      </c>
      <c r="D231" s="1858">
        <v>0.125</v>
      </c>
      <c r="E231" s="1858">
        <v>0.13200000000000001</v>
      </c>
      <c r="F231" s="1866"/>
    </row>
    <row r="232" spans="1:6" ht="14.25" thickBot="1">
      <c r="A232" s="1853" t="s">
        <v>1414</v>
      </c>
      <c r="B232" s="1857" t="s">
        <v>2162</v>
      </c>
      <c r="C232" s="1858">
        <v>0.14499999999999999</v>
      </c>
      <c r="D232" s="1858">
        <v>0.14399999999999999</v>
      </c>
      <c r="E232" s="1858">
        <v>0.14599999999999999</v>
      </c>
      <c r="F232" s="1859">
        <v>0.13800000000000001</v>
      </c>
    </row>
    <row r="233" spans="1:6" ht="14.25" thickBot="1">
      <c r="A233" s="1853" t="s">
        <v>1414</v>
      </c>
      <c r="B233" s="1857" t="s">
        <v>2163</v>
      </c>
      <c r="C233" s="1858">
        <v>0.14499999999999999</v>
      </c>
      <c r="D233" s="1858">
        <v>0.14299999999999999</v>
      </c>
      <c r="E233" s="1858">
        <v>0.14199999999999999</v>
      </c>
      <c r="F233" s="1866"/>
    </row>
    <row r="234" spans="1:6" ht="14.25" thickBot="1">
      <c r="A234" s="1853" t="s">
        <v>1414</v>
      </c>
      <c r="B234" s="1857" t="s">
        <v>2164</v>
      </c>
      <c r="C234" s="1858">
        <v>0.14000000000000001</v>
      </c>
      <c r="D234" s="1858">
        <v>0.14000000000000001</v>
      </c>
      <c r="E234" s="1858">
        <v>0.14399999999999999</v>
      </c>
      <c r="F234" s="1866"/>
    </row>
    <row r="235" spans="1:6" ht="14.25" thickBot="1">
      <c r="A235" s="1853" t="s">
        <v>1414</v>
      </c>
      <c r="B235" s="1857" t="s">
        <v>2165</v>
      </c>
      <c r="C235" s="1858">
        <v>0.14099999999999999</v>
      </c>
      <c r="D235" s="1858">
        <v>0.14199999999999999</v>
      </c>
      <c r="E235" s="1858">
        <v>0.14499999999999999</v>
      </c>
      <c r="F235" s="1859">
        <v>0.15</v>
      </c>
    </row>
    <row r="236" spans="1:6" ht="14.25" thickBot="1">
      <c r="A236" s="1853" t="s">
        <v>1414</v>
      </c>
      <c r="B236" s="1857" t="s">
        <v>1346</v>
      </c>
      <c r="C236" s="1867"/>
      <c r="D236" s="1867"/>
      <c r="E236" s="1867"/>
      <c r="F236" s="1859">
        <v>0.14299999999999999</v>
      </c>
    </row>
    <row r="237" spans="1:6" ht="24.75" thickBot="1">
      <c r="A237" s="1853" t="s">
        <v>1414</v>
      </c>
      <c r="B237" s="1857" t="s">
        <v>2166</v>
      </c>
      <c r="C237" s="1867"/>
      <c r="D237" s="1867"/>
      <c r="E237" s="1867"/>
      <c r="F237" s="1859">
        <v>0.05</v>
      </c>
    </row>
    <row r="238" spans="1:6" ht="24.75" thickBot="1">
      <c r="A238" s="1853" t="s">
        <v>1414</v>
      </c>
      <c r="B238" s="1857" t="s">
        <v>2167</v>
      </c>
      <c r="C238" s="1867"/>
      <c r="D238" s="1867"/>
      <c r="E238" s="1867"/>
      <c r="F238" s="1859">
        <v>0.05</v>
      </c>
    </row>
    <row r="239" spans="1:6" ht="24.75" thickBot="1">
      <c r="A239" s="1853" t="s">
        <v>1414</v>
      </c>
      <c r="B239" s="1857" t="s">
        <v>2168</v>
      </c>
      <c r="C239" s="1867"/>
      <c r="D239" s="1867"/>
      <c r="E239" s="1867"/>
      <c r="F239" s="1859">
        <v>0.05</v>
      </c>
    </row>
    <row r="240" spans="1:6" ht="24.75" thickBot="1">
      <c r="A240" s="1853" t="s">
        <v>1414</v>
      </c>
      <c r="B240" s="1857" t="s">
        <v>2169</v>
      </c>
      <c r="C240" s="1867"/>
      <c r="D240" s="1867"/>
      <c r="E240" s="1867"/>
      <c r="F240" s="1859">
        <v>0.05</v>
      </c>
    </row>
    <row r="241" spans="1:6" ht="24.75" thickBot="1">
      <c r="A241" s="1853" t="s">
        <v>1414</v>
      </c>
      <c r="B241" s="1857" t="s">
        <v>2170</v>
      </c>
      <c r="C241" s="1867"/>
      <c r="D241" s="1867"/>
      <c r="E241" s="1867"/>
      <c r="F241" s="1859">
        <v>0.05</v>
      </c>
    </row>
    <row r="242" spans="1:6" ht="24.75" thickBot="1">
      <c r="A242" s="1853" t="s">
        <v>1414</v>
      </c>
      <c r="B242" s="1857" t="s">
        <v>2171</v>
      </c>
      <c r="C242" s="1867"/>
      <c r="D242" s="1867"/>
      <c r="E242" s="1867"/>
      <c r="F242" s="1859">
        <v>0.05</v>
      </c>
    </row>
    <row r="243" spans="1:6" ht="24.75" thickBot="1">
      <c r="A243" s="1853" t="s">
        <v>1414</v>
      </c>
      <c r="B243" s="1857" t="s">
        <v>2172</v>
      </c>
      <c r="C243" s="1867"/>
      <c r="D243" s="1867"/>
      <c r="E243" s="1867"/>
      <c r="F243" s="1859">
        <v>0.05</v>
      </c>
    </row>
    <row r="244" spans="1:6" ht="24.75" thickBot="1">
      <c r="A244" s="1861" t="s">
        <v>1414</v>
      </c>
      <c r="B244" s="1868" t="s">
        <v>2173</v>
      </c>
      <c r="C244" s="1864"/>
      <c r="D244" s="1864"/>
      <c r="E244" s="1864"/>
      <c r="F244" s="1869">
        <v>0.05</v>
      </c>
    </row>
    <row r="245" spans="1:6" ht="14.25" thickBot="1">
      <c r="A245" s="1853" t="s">
        <v>1416</v>
      </c>
      <c r="B245" s="1854" t="s">
        <v>2174</v>
      </c>
      <c r="C245" s="1855">
        <v>0.15</v>
      </c>
      <c r="D245" s="1855">
        <v>0.15</v>
      </c>
      <c r="E245" s="1855">
        <v>0.15</v>
      </c>
      <c r="F245" s="1856">
        <v>0.14299999999999999</v>
      </c>
    </row>
    <row r="246" spans="1:6" ht="14.25" thickBot="1">
      <c r="A246" s="1853" t="s">
        <v>1416</v>
      </c>
      <c r="B246" s="1857" t="s">
        <v>1079</v>
      </c>
      <c r="C246" s="1858">
        <v>0.15</v>
      </c>
      <c r="D246" s="1858">
        <v>0.15</v>
      </c>
      <c r="E246" s="1858">
        <v>0.15</v>
      </c>
      <c r="F246" s="1859">
        <v>0.114</v>
      </c>
    </row>
    <row r="247" spans="1:6" ht="14.25" thickBot="1">
      <c r="A247" s="1853" t="s">
        <v>1416</v>
      </c>
      <c r="B247" s="1857" t="s">
        <v>2175</v>
      </c>
      <c r="C247" s="1858">
        <v>0.15</v>
      </c>
      <c r="D247" s="1858">
        <v>0.15</v>
      </c>
      <c r="E247" s="1858">
        <v>0.15</v>
      </c>
      <c r="F247" s="1859">
        <v>0.15</v>
      </c>
    </row>
    <row r="248" spans="1:6" ht="14.25" thickBot="1">
      <c r="A248" s="1853" t="s">
        <v>1416</v>
      </c>
      <c r="B248" s="1857" t="s">
        <v>2176</v>
      </c>
      <c r="C248" s="1858">
        <v>0.15</v>
      </c>
      <c r="D248" s="1858">
        <v>0.15</v>
      </c>
      <c r="E248" s="1858">
        <v>0.15</v>
      </c>
      <c r="F248" s="1859">
        <v>0.14000000000000001</v>
      </c>
    </row>
    <row r="249" spans="1:6" ht="14.25" thickBot="1">
      <c r="A249" s="1853" t="s">
        <v>1416</v>
      </c>
      <c r="B249" s="1857" t="s">
        <v>2177</v>
      </c>
      <c r="C249" s="1858">
        <v>0.15</v>
      </c>
      <c r="D249" s="1858">
        <v>0.14899999999999999</v>
      </c>
      <c r="E249" s="1858">
        <v>0.15</v>
      </c>
      <c r="F249" s="1859">
        <v>0.1</v>
      </c>
    </row>
    <row r="250" spans="1:6" ht="14.25" thickBot="1">
      <c r="A250" s="1853" t="s">
        <v>1416</v>
      </c>
      <c r="B250" s="1857" t="s">
        <v>2178</v>
      </c>
      <c r="C250" s="1858">
        <v>0.15</v>
      </c>
      <c r="D250" s="1858">
        <v>0.15</v>
      </c>
      <c r="E250" s="1858">
        <v>0.15</v>
      </c>
      <c r="F250" s="1859">
        <v>0.14399999999999999</v>
      </c>
    </row>
    <row r="251" spans="1:6" ht="14.25" thickBot="1">
      <c r="A251" s="1853" t="s">
        <v>1416</v>
      </c>
      <c r="B251" s="1857" t="s">
        <v>1142</v>
      </c>
      <c r="C251" s="1858">
        <v>0.15</v>
      </c>
      <c r="D251" s="1858">
        <v>0.15</v>
      </c>
      <c r="E251" s="1858">
        <v>0.15</v>
      </c>
      <c r="F251" s="1859">
        <v>0.14299999999999999</v>
      </c>
    </row>
    <row r="252" spans="1:6" ht="14.25" thickBot="1">
      <c r="A252" s="1853" t="s">
        <v>1416</v>
      </c>
      <c r="B252" s="1857" t="s">
        <v>1153</v>
      </c>
      <c r="C252" s="1858">
        <v>0.15</v>
      </c>
      <c r="D252" s="1858">
        <v>0.15</v>
      </c>
      <c r="E252" s="1858">
        <v>0.15</v>
      </c>
      <c r="F252" s="1859">
        <v>0.1</v>
      </c>
    </row>
    <row r="253" spans="1:6" ht="14.25" thickBot="1">
      <c r="A253" s="1853" t="s">
        <v>1416</v>
      </c>
      <c r="B253" s="1857" t="s">
        <v>1165</v>
      </c>
      <c r="C253" s="1858">
        <v>0.15</v>
      </c>
      <c r="D253" s="1858">
        <v>0.15</v>
      </c>
      <c r="E253" s="1858">
        <v>0.15</v>
      </c>
      <c r="F253" s="1859">
        <v>0.1</v>
      </c>
    </row>
    <row r="254" spans="1:6" ht="14.25" thickBot="1">
      <c r="A254" s="1853" t="s">
        <v>1416</v>
      </c>
      <c r="B254" s="1857" t="s">
        <v>1175</v>
      </c>
      <c r="C254" s="1867"/>
      <c r="D254" s="1867"/>
      <c r="E254" s="1867"/>
      <c r="F254" s="1859">
        <v>0.15</v>
      </c>
    </row>
    <row r="255" spans="1:6" ht="14.25" thickBot="1">
      <c r="A255" s="1853" t="s">
        <v>1416</v>
      </c>
      <c r="B255" s="1857" t="s">
        <v>1185</v>
      </c>
      <c r="C255" s="1867"/>
      <c r="D255" s="1867"/>
      <c r="E255" s="1867"/>
      <c r="F255" s="1859">
        <v>0.14299999999999999</v>
      </c>
    </row>
    <row r="256" spans="1:6" ht="14.25" thickBot="1">
      <c r="A256" s="1853" t="s">
        <v>1416</v>
      </c>
      <c r="B256" s="1857" t="s">
        <v>2179</v>
      </c>
      <c r="C256" s="1858">
        <v>0.14599999999999999</v>
      </c>
      <c r="D256" s="1858">
        <v>0.14699999999999999</v>
      </c>
      <c r="E256" s="1858">
        <v>0.15</v>
      </c>
      <c r="F256" s="1859">
        <v>0.13200000000000001</v>
      </c>
    </row>
    <row r="257" spans="1:6" ht="14.25" thickBot="1">
      <c r="A257" s="1853" t="s">
        <v>1416</v>
      </c>
      <c r="B257" s="1857" t="s">
        <v>1205</v>
      </c>
      <c r="C257" s="1858">
        <v>0.15</v>
      </c>
      <c r="D257" s="1858">
        <v>0.15</v>
      </c>
      <c r="E257" s="1858">
        <v>0.15</v>
      </c>
      <c r="F257" s="1859">
        <v>0.13900000000000001</v>
      </c>
    </row>
    <row r="258" spans="1:6" ht="14.25" thickBot="1">
      <c r="A258" s="1853" t="s">
        <v>1416</v>
      </c>
      <c r="B258" s="1857" t="s">
        <v>1215</v>
      </c>
      <c r="C258" s="1858">
        <v>0.15</v>
      </c>
      <c r="D258" s="1858">
        <v>0.15</v>
      </c>
      <c r="E258" s="1858">
        <v>0.15</v>
      </c>
      <c r="F258" s="1859">
        <v>0.13</v>
      </c>
    </row>
    <row r="259" spans="1:6" ht="14.25" thickBot="1">
      <c r="A259" s="1853" t="s">
        <v>1416</v>
      </c>
      <c r="B259" s="1857" t="s">
        <v>2180</v>
      </c>
      <c r="C259" s="1858">
        <v>0.14799999999999999</v>
      </c>
      <c r="D259" s="1858">
        <v>0.14899999999999999</v>
      </c>
      <c r="E259" s="1858">
        <v>0.15</v>
      </c>
      <c r="F259" s="1859">
        <v>0.13700000000000001</v>
      </c>
    </row>
    <row r="260" spans="1:6" ht="14.25" thickBot="1">
      <c r="A260" s="1853" t="s">
        <v>1416</v>
      </c>
      <c r="B260" s="1857" t="s">
        <v>1235</v>
      </c>
      <c r="C260" s="1858">
        <v>0.15</v>
      </c>
      <c r="D260" s="1858">
        <v>0.15</v>
      </c>
      <c r="E260" s="1858">
        <v>0.15</v>
      </c>
      <c r="F260" s="1859">
        <v>0.14199999999999999</v>
      </c>
    </row>
    <row r="261" spans="1:6" ht="14.25" thickBot="1">
      <c r="A261" s="1853" t="s">
        <v>1416</v>
      </c>
      <c r="B261" s="1857" t="s">
        <v>1245</v>
      </c>
      <c r="C261" s="1858">
        <v>0.15</v>
      </c>
      <c r="D261" s="1858">
        <v>0.15</v>
      </c>
      <c r="E261" s="1858">
        <v>0.14899999999999999</v>
      </c>
      <c r="F261" s="1859">
        <v>0.14799999999999999</v>
      </c>
    </row>
    <row r="262" spans="1:6" ht="14.25" thickBot="1">
      <c r="A262" s="1853" t="s">
        <v>1416</v>
      </c>
      <c r="B262" s="1857" t="s">
        <v>1255</v>
      </c>
      <c r="C262" s="1858">
        <v>0.15</v>
      </c>
      <c r="D262" s="1858">
        <v>0.15</v>
      </c>
      <c r="E262" s="1858">
        <v>0.15</v>
      </c>
      <c r="F262" s="1866"/>
    </row>
    <row r="263" spans="1:6" ht="14.25" thickBot="1">
      <c r="A263" s="1853" t="s">
        <v>1416</v>
      </c>
      <c r="B263" s="1857" t="s">
        <v>2181</v>
      </c>
      <c r="C263" s="1858">
        <v>0.14899999999999999</v>
      </c>
      <c r="D263" s="1858">
        <v>0.14899999999999999</v>
      </c>
      <c r="E263" s="1858">
        <v>0.15</v>
      </c>
      <c r="F263" s="1859">
        <v>0.13</v>
      </c>
    </row>
    <row r="264" spans="1:6" ht="14.25" thickBot="1">
      <c r="A264" s="1853" t="s">
        <v>1416</v>
      </c>
      <c r="B264" s="1857" t="s">
        <v>1274</v>
      </c>
      <c r="C264" s="1858">
        <v>0.14799999999999999</v>
      </c>
      <c r="D264" s="1858">
        <v>0.14699999999999999</v>
      </c>
      <c r="E264" s="1858">
        <v>0.15</v>
      </c>
      <c r="F264" s="1859">
        <v>7.8E-2</v>
      </c>
    </row>
    <row r="265" spans="1:6" ht="14.25" thickBot="1">
      <c r="A265" s="1853" t="s">
        <v>1416</v>
      </c>
      <c r="B265" s="1857" t="s">
        <v>1283</v>
      </c>
      <c r="C265" s="1858">
        <v>0.15</v>
      </c>
      <c r="D265" s="1858">
        <v>0.15</v>
      </c>
      <c r="E265" s="1858">
        <v>0.15</v>
      </c>
      <c r="F265" s="1859">
        <v>7.3999999999999996E-2</v>
      </c>
    </row>
    <row r="266" spans="1:6" ht="14.25" thickBot="1">
      <c r="A266" s="1853" t="s">
        <v>1416</v>
      </c>
      <c r="B266" s="1857" t="s">
        <v>1291</v>
      </c>
      <c r="C266" s="1858">
        <v>0.14699999999999999</v>
      </c>
      <c r="D266" s="1858">
        <v>0.14699999999999999</v>
      </c>
      <c r="E266" s="1858">
        <v>0.15</v>
      </c>
      <c r="F266" s="1859">
        <v>0.14299999999999999</v>
      </c>
    </row>
    <row r="267" spans="1:6" ht="14.25" thickBot="1">
      <c r="A267" s="1853" t="s">
        <v>1416</v>
      </c>
      <c r="B267" s="1857" t="s">
        <v>1298</v>
      </c>
      <c r="C267" s="1858">
        <v>0.14199999999999999</v>
      </c>
      <c r="D267" s="1858">
        <v>0.14299999999999999</v>
      </c>
      <c r="E267" s="1858">
        <v>0.15</v>
      </c>
      <c r="F267" s="1866"/>
    </row>
    <row r="268" spans="1:6" ht="14.25" thickBot="1">
      <c r="A268" s="1853" t="s">
        <v>1416</v>
      </c>
      <c r="B268" s="1857" t="s">
        <v>2182</v>
      </c>
      <c r="C268" s="1858">
        <v>0.15</v>
      </c>
      <c r="D268" s="1858">
        <v>0.15</v>
      </c>
      <c r="E268" s="1858">
        <v>0.15</v>
      </c>
      <c r="F268" s="1859">
        <v>0.13</v>
      </c>
    </row>
    <row r="269" spans="1:6" ht="14.25" thickBot="1">
      <c r="A269" s="1853" t="s">
        <v>1416</v>
      </c>
      <c r="B269" s="1857" t="s">
        <v>1312</v>
      </c>
      <c r="C269" s="1858">
        <v>0.15</v>
      </c>
      <c r="D269" s="1858">
        <v>0.15</v>
      </c>
      <c r="E269" s="1858">
        <v>0.15</v>
      </c>
      <c r="F269" s="1859">
        <v>0.14299999999999999</v>
      </c>
    </row>
    <row r="270" spans="1:6" ht="14.25" thickBot="1">
      <c r="A270" s="1853" t="s">
        <v>1416</v>
      </c>
      <c r="B270" s="1857" t="s">
        <v>1319</v>
      </c>
      <c r="C270" s="1858">
        <v>0.14499999999999999</v>
      </c>
      <c r="D270" s="1858">
        <v>0.14499999999999999</v>
      </c>
      <c r="E270" s="1858">
        <v>0.15</v>
      </c>
      <c r="F270" s="1859">
        <v>0.14699999999999999</v>
      </c>
    </row>
    <row r="271" spans="1:6" ht="14.25" thickBot="1">
      <c r="A271" s="1853" t="s">
        <v>1416</v>
      </c>
      <c r="B271" s="1857" t="s">
        <v>1326</v>
      </c>
      <c r="C271" s="1858">
        <v>0.15</v>
      </c>
      <c r="D271" s="1858">
        <v>0.15</v>
      </c>
      <c r="E271" s="1858">
        <v>0.15</v>
      </c>
      <c r="F271" s="1859">
        <v>0.13800000000000001</v>
      </c>
    </row>
    <row r="272" spans="1:6" ht="14.25" thickBot="1">
      <c r="A272" s="1853" t="s">
        <v>1416</v>
      </c>
      <c r="B272" s="1857" t="s">
        <v>1333</v>
      </c>
      <c r="C272" s="1867"/>
      <c r="D272" s="1867"/>
      <c r="E272" s="1867"/>
      <c r="F272" s="1859">
        <v>0.14000000000000001</v>
      </c>
    </row>
    <row r="273" spans="1:6" ht="14.25" thickBot="1">
      <c r="A273" s="1853" t="s">
        <v>1416</v>
      </c>
      <c r="B273" s="1857" t="s">
        <v>2183</v>
      </c>
      <c r="C273" s="1858">
        <v>0.14199999999999999</v>
      </c>
      <c r="D273" s="1858">
        <v>0.14299999999999999</v>
      </c>
      <c r="E273" s="1858">
        <v>0.15</v>
      </c>
      <c r="F273" s="1859">
        <v>0.1</v>
      </c>
    </row>
    <row r="274" spans="1:6" ht="14.25" thickBot="1">
      <c r="A274" s="1853" t="s">
        <v>1416</v>
      </c>
      <c r="B274" s="1857" t="s">
        <v>2184</v>
      </c>
      <c r="C274" s="1858">
        <v>0.14799999999999999</v>
      </c>
      <c r="D274" s="1858">
        <v>0.14799999999999999</v>
      </c>
      <c r="E274" s="1858">
        <v>0.15</v>
      </c>
      <c r="F274" s="1859">
        <v>6.7000000000000004E-2</v>
      </c>
    </row>
    <row r="275" spans="1:6" ht="14.25" thickBot="1">
      <c r="A275" s="1853" t="s">
        <v>1416</v>
      </c>
      <c r="B275" s="1857" t="s">
        <v>2185</v>
      </c>
      <c r="C275" s="1858">
        <v>0.15</v>
      </c>
      <c r="D275" s="1858">
        <v>0.15</v>
      </c>
      <c r="E275" s="1858">
        <v>0.15</v>
      </c>
      <c r="F275" s="1859">
        <v>0.15</v>
      </c>
    </row>
    <row r="276" spans="1:6" ht="14.25" thickBot="1">
      <c r="A276" s="1853" t="s">
        <v>1416</v>
      </c>
      <c r="B276" s="1857" t="s">
        <v>2186</v>
      </c>
      <c r="C276" s="1858">
        <v>0.14499999999999999</v>
      </c>
      <c r="D276" s="1858">
        <v>0.14299999999999999</v>
      </c>
      <c r="E276" s="1858">
        <v>0.15</v>
      </c>
      <c r="F276" s="1859">
        <v>5.8999999999999997E-2</v>
      </c>
    </row>
    <row r="277" spans="1:6" ht="14.25" thickBot="1">
      <c r="A277" s="1853" t="s">
        <v>1416</v>
      </c>
      <c r="B277" s="1857" t="s">
        <v>2187</v>
      </c>
      <c r="C277" s="1858">
        <v>0.15</v>
      </c>
      <c r="D277" s="1858">
        <v>0.15</v>
      </c>
      <c r="E277" s="1858">
        <v>0.15</v>
      </c>
      <c r="F277" s="1859">
        <v>0.121</v>
      </c>
    </row>
    <row r="278" spans="1:6" ht="14.25" thickBot="1">
      <c r="A278" s="1853" t="s">
        <v>1416</v>
      </c>
      <c r="B278" s="1857" t="s">
        <v>2188</v>
      </c>
      <c r="C278" s="1858">
        <v>0.15</v>
      </c>
      <c r="D278" s="1858">
        <v>0.15</v>
      </c>
      <c r="E278" s="1858">
        <v>0.15</v>
      </c>
      <c r="F278" s="1859">
        <v>0.13800000000000001</v>
      </c>
    </row>
    <row r="279" spans="1:6" ht="24.75" thickBot="1">
      <c r="A279" s="1853" t="s">
        <v>1416</v>
      </c>
      <c r="B279" s="1857" t="s">
        <v>2189</v>
      </c>
      <c r="C279" s="1867"/>
      <c r="D279" s="1867"/>
      <c r="E279" s="1867"/>
      <c r="F279" s="1859">
        <v>0.05</v>
      </c>
    </row>
    <row r="280" spans="1:6" ht="24.75" thickBot="1">
      <c r="A280" s="1853" t="s">
        <v>1416</v>
      </c>
      <c r="B280" s="1857" t="s">
        <v>2190</v>
      </c>
      <c r="C280" s="1867"/>
      <c r="D280" s="1867"/>
      <c r="E280" s="1867"/>
      <c r="F280" s="1859">
        <v>0.05</v>
      </c>
    </row>
    <row r="281" spans="1:6" ht="24.75" thickBot="1">
      <c r="A281" s="1853" t="s">
        <v>1416</v>
      </c>
      <c r="B281" s="1857" t="s">
        <v>2191</v>
      </c>
      <c r="C281" s="1867"/>
      <c r="D281" s="1867"/>
      <c r="E281" s="1867"/>
      <c r="F281" s="1859">
        <v>0.05</v>
      </c>
    </row>
    <row r="282" spans="1:6" ht="24.75" thickBot="1">
      <c r="A282" s="1853" t="s">
        <v>1416</v>
      </c>
      <c r="B282" s="1857" t="s">
        <v>2192</v>
      </c>
      <c r="C282" s="1867"/>
      <c r="D282" s="1867"/>
      <c r="E282" s="1867"/>
      <c r="F282" s="1859">
        <v>0.05</v>
      </c>
    </row>
    <row r="283" spans="1:6" ht="24.75" thickBot="1">
      <c r="A283" s="1853" t="s">
        <v>1416</v>
      </c>
      <c r="B283" s="1857" t="s">
        <v>2193</v>
      </c>
      <c r="C283" s="1867"/>
      <c r="D283" s="1867"/>
      <c r="E283" s="1867"/>
      <c r="F283" s="1859">
        <v>0.05</v>
      </c>
    </row>
    <row r="284" spans="1:6" ht="24.75" thickBot="1">
      <c r="A284" s="1853" t="s">
        <v>1416</v>
      </c>
      <c r="B284" s="1857" t="s">
        <v>2194</v>
      </c>
      <c r="C284" s="1867"/>
      <c r="D284" s="1867"/>
      <c r="E284" s="1867"/>
      <c r="F284" s="1859">
        <v>0.05</v>
      </c>
    </row>
    <row r="285" spans="1:6" ht="24.75" thickBot="1">
      <c r="A285" s="1853" t="s">
        <v>1416</v>
      </c>
      <c r="B285" s="1857" t="s">
        <v>2195</v>
      </c>
      <c r="C285" s="1867"/>
      <c r="D285" s="1867"/>
      <c r="E285" s="1867"/>
      <c r="F285" s="1859">
        <v>0.05</v>
      </c>
    </row>
    <row r="286" spans="1:6" ht="24.75" thickBot="1">
      <c r="A286" s="1853" t="s">
        <v>1416</v>
      </c>
      <c r="B286" s="1857" t="s">
        <v>2196</v>
      </c>
      <c r="C286" s="1867"/>
      <c r="D286" s="1867"/>
      <c r="E286" s="1867"/>
      <c r="F286" s="1859">
        <v>0.05</v>
      </c>
    </row>
    <row r="287" spans="1:6" ht="24.75" thickBot="1">
      <c r="A287" s="1853" t="s">
        <v>1416</v>
      </c>
      <c r="B287" s="1857" t="s">
        <v>2197</v>
      </c>
      <c r="C287" s="1867"/>
      <c r="D287" s="1867"/>
      <c r="E287" s="1867"/>
      <c r="F287" s="1859">
        <v>0.05</v>
      </c>
    </row>
    <row r="288" spans="1:6" ht="24.75" thickBot="1">
      <c r="A288" s="1853" t="s">
        <v>1416</v>
      </c>
      <c r="B288" s="1857" t="s">
        <v>2198</v>
      </c>
      <c r="C288" s="1867"/>
      <c r="D288" s="1867"/>
      <c r="E288" s="1867"/>
      <c r="F288" s="1859">
        <v>0.05</v>
      </c>
    </row>
    <row r="289" spans="1:6" ht="24.75" thickBot="1">
      <c r="A289" s="1861" t="s">
        <v>1416</v>
      </c>
      <c r="B289" s="1868" t="s">
        <v>2199</v>
      </c>
      <c r="C289" s="1864"/>
      <c r="D289" s="1864"/>
      <c r="E289" s="1864"/>
      <c r="F289" s="1869">
        <v>0.05</v>
      </c>
    </row>
    <row r="290" spans="1:6" ht="14.25" thickBot="1">
      <c r="A290" s="1853" t="s">
        <v>1420</v>
      </c>
      <c r="B290" s="1854" t="s">
        <v>2200</v>
      </c>
      <c r="C290" s="1855">
        <v>0.15</v>
      </c>
      <c r="D290" s="1855">
        <v>0.15</v>
      </c>
      <c r="E290" s="1855">
        <v>0.15</v>
      </c>
      <c r="F290" s="1877"/>
    </row>
    <row r="291" spans="1:6" ht="14.25" thickBot="1">
      <c r="A291" s="1853" t="s">
        <v>1420</v>
      </c>
      <c r="B291" s="1857" t="s">
        <v>1080</v>
      </c>
      <c r="C291" s="1858">
        <v>0.15</v>
      </c>
      <c r="D291" s="1858">
        <v>0.15</v>
      </c>
      <c r="E291" s="1858">
        <v>0.15</v>
      </c>
      <c r="F291" s="1866"/>
    </row>
    <row r="292" spans="1:6" ht="14.25" thickBot="1">
      <c r="A292" s="1853" t="s">
        <v>1420</v>
      </c>
      <c r="B292" s="1857" t="s">
        <v>2201</v>
      </c>
      <c r="C292" s="1858">
        <v>0.15</v>
      </c>
      <c r="D292" s="1858">
        <v>0.15</v>
      </c>
      <c r="E292" s="1858">
        <v>0.15</v>
      </c>
      <c r="F292" s="1859">
        <v>0.14699999999999999</v>
      </c>
    </row>
    <row r="293" spans="1:6" ht="14.25" thickBot="1">
      <c r="A293" s="1853" t="s">
        <v>1420</v>
      </c>
      <c r="B293" s="1857" t="s">
        <v>2202</v>
      </c>
      <c r="C293" s="1867"/>
      <c r="D293" s="1867"/>
      <c r="E293" s="1867"/>
      <c r="F293" s="1859">
        <v>0.1</v>
      </c>
    </row>
    <row r="294" spans="1:6" ht="14.25" thickBot="1">
      <c r="A294" s="1853" t="s">
        <v>1420</v>
      </c>
      <c r="B294" s="1857" t="s">
        <v>2203</v>
      </c>
      <c r="C294" s="1858">
        <v>0.15</v>
      </c>
      <c r="D294" s="1858">
        <v>0.15</v>
      </c>
      <c r="E294" s="1858">
        <v>0.15</v>
      </c>
      <c r="F294" s="1859">
        <v>0.15</v>
      </c>
    </row>
    <row r="295" spans="1:6" ht="14.25" thickBot="1">
      <c r="A295" s="1853" t="s">
        <v>1420</v>
      </c>
      <c r="B295" s="1857" t="s">
        <v>1121</v>
      </c>
      <c r="C295" s="1858">
        <v>0.15</v>
      </c>
      <c r="D295" s="1858">
        <v>0.15</v>
      </c>
      <c r="E295" s="1858">
        <v>0.15</v>
      </c>
      <c r="F295" s="1859">
        <v>0.15</v>
      </c>
    </row>
    <row r="296" spans="1:6" ht="14.25" thickBot="1">
      <c r="A296" s="1853" t="s">
        <v>1420</v>
      </c>
      <c r="B296" s="1857" t="s">
        <v>2204</v>
      </c>
      <c r="C296" s="1858">
        <v>0.15</v>
      </c>
      <c r="D296" s="1858">
        <v>0.15</v>
      </c>
      <c r="E296" s="1858">
        <v>0.15</v>
      </c>
      <c r="F296" s="1859">
        <v>0.15</v>
      </c>
    </row>
    <row r="297" spans="1:6" ht="14.25" thickBot="1">
      <c r="A297" s="1853" t="s">
        <v>1420</v>
      </c>
      <c r="B297" s="1857" t="s">
        <v>2205</v>
      </c>
      <c r="C297" s="1858">
        <v>0.14799999999999999</v>
      </c>
      <c r="D297" s="1858">
        <v>0.14899999999999999</v>
      </c>
      <c r="E297" s="1858">
        <v>0.15</v>
      </c>
      <c r="F297" s="1859">
        <v>0.13700000000000001</v>
      </c>
    </row>
    <row r="298" spans="1:6" ht="14.25" thickBot="1">
      <c r="A298" s="1853" t="s">
        <v>1420</v>
      </c>
      <c r="B298" s="1857" t="s">
        <v>1154</v>
      </c>
      <c r="C298" s="1858">
        <v>0.13400000000000001</v>
      </c>
      <c r="D298" s="1858">
        <v>0.13400000000000001</v>
      </c>
      <c r="E298" s="1858">
        <v>0.14499999999999999</v>
      </c>
      <c r="F298" s="1859">
        <v>0.14799999999999999</v>
      </c>
    </row>
    <row r="299" spans="1:6" ht="14.25" thickBot="1">
      <c r="A299" s="1853" t="s">
        <v>1420</v>
      </c>
      <c r="B299" s="1857" t="s">
        <v>1166</v>
      </c>
      <c r="C299" s="1858">
        <v>0.15</v>
      </c>
      <c r="D299" s="1858">
        <v>0.15</v>
      </c>
      <c r="E299" s="1858">
        <v>0.15</v>
      </c>
      <c r="F299" s="1866"/>
    </row>
    <row r="300" spans="1:6" ht="14.25" thickBot="1">
      <c r="A300" s="1853" t="s">
        <v>1420</v>
      </c>
      <c r="B300" s="1857" t="s">
        <v>2206</v>
      </c>
      <c r="C300" s="1858">
        <v>0.15</v>
      </c>
      <c r="D300" s="1858">
        <v>0.15</v>
      </c>
      <c r="E300" s="1858">
        <v>0.15</v>
      </c>
      <c r="F300" s="1859">
        <v>0.15</v>
      </c>
    </row>
    <row r="301" spans="1:6" ht="14.25" thickBot="1">
      <c r="A301" s="1853" t="s">
        <v>1420</v>
      </c>
      <c r="B301" s="1857" t="s">
        <v>1186</v>
      </c>
      <c r="C301" s="1858">
        <v>0.15</v>
      </c>
      <c r="D301" s="1858">
        <v>0.15</v>
      </c>
      <c r="E301" s="1858">
        <v>0.15</v>
      </c>
      <c r="F301" s="1866"/>
    </row>
    <row r="302" spans="1:6" ht="14.25" thickBot="1">
      <c r="A302" s="1853" t="s">
        <v>1420</v>
      </c>
      <c r="B302" s="1857" t="s">
        <v>2207</v>
      </c>
      <c r="C302" s="1858">
        <v>0.15</v>
      </c>
      <c r="D302" s="1858">
        <v>0.15</v>
      </c>
      <c r="E302" s="1858">
        <v>0.15</v>
      </c>
      <c r="F302" s="1859">
        <v>0.15</v>
      </c>
    </row>
    <row r="303" spans="1:6" ht="14.25" thickBot="1">
      <c r="A303" s="1853" t="s">
        <v>1420</v>
      </c>
      <c r="B303" s="1857" t="s">
        <v>1206</v>
      </c>
      <c r="C303" s="1858">
        <v>0.15</v>
      </c>
      <c r="D303" s="1858">
        <v>0.15</v>
      </c>
      <c r="E303" s="1858">
        <v>0.15</v>
      </c>
      <c r="F303" s="1859">
        <v>0.15</v>
      </c>
    </row>
    <row r="304" spans="1:6" ht="14.25" thickBot="1">
      <c r="A304" s="1853" t="s">
        <v>1420</v>
      </c>
      <c r="B304" s="1857" t="s">
        <v>1216</v>
      </c>
      <c r="C304" s="1858">
        <v>0.15</v>
      </c>
      <c r="D304" s="1858">
        <v>0.15</v>
      </c>
      <c r="E304" s="1858">
        <v>0.15</v>
      </c>
      <c r="F304" s="1866"/>
    </row>
    <row r="305" spans="1:6" ht="14.25" thickBot="1">
      <c r="A305" s="1853" t="s">
        <v>1420</v>
      </c>
      <c r="B305" s="1857" t="s">
        <v>2208</v>
      </c>
      <c r="C305" s="1858">
        <v>0.15</v>
      </c>
      <c r="D305" s="1858">
        <v>0.15</v>
      </c>
      <c r="E305" s="1858">
        <v>0.15</v>
      </c>
      <c r="F305" s="1859">
        <v>0.14000000000000001</v>
      </c>
    </row>
    <row r="306" spans="1:6" ht="14.25" thickBot="1">
      <c r="A306" s="1853" t="s">
        <v>1420</v>
      </c>
      <c r="B306" s="1857" t="s">
        <v>1236</v>
      </c>
      <c r="C306" s="1858">
        <v>0.15</v>
      </c>
      <c r="D306" s="1858">
        <v>0.15</v>
      </c>
      <c r="E306" s="1858">
        <v>0.15</v>
      </c>
      <c r="F306" s="1866"/>
    </row>
    <row r="307" spans="1:6" ht="14.25" thickBot="1">
      <c r="A307" s="1853" t="s">
        <v>1420</v>
      </c>
      <c r="B307" s="1857" t="s">
        <v>2209</v>
      </c>
      <c r="C307" s="1858">
        <v>0.15</v>
      </c>
      <c r="D307" s="1858">
        <v>0.15</v>
      </c>
      <c r="E307" s="1858">
        <v>0.15</v>
      </c>
      <c r="F307" s="1859">
        <v>0.14299999999999999</v>
      </c>
    </row>
    <row r="308" spans="1:6" ht="14.25" thickBot="1">
      <c r="A308" s="1853" t="s">
        <v>1420</v>
      </c>
      <c r="B308" s="1857" t="s">
        <v>1256</v>
      </c>
      <c r="C308" s="1858">
        <v>0.15</v>
      </c>
      <c r="D308" s="1858">
        <v>0.15</v>
      </c>
      <c r="E308" s="1858">
        <v>0.15</v>
      </c>
      <c r="F308" s="1859">
        <v>0.15</v>
      </c>
    </row>
    <row r="309" spans="1:6" ht="14.25" thickBot="1">
      <c r="A309" s="1853" t="s">
        <v>1420</v>
      </c>
      <c r="B309" s="1857" t="s">
        <v>1266</v>
      </c>
      <c r="C309" s="1858">
        <v>0.15</v>
      </c>
      <c r="D309" s="1858">
        <v>0.15</v>
      </c>
      <c r="E309" s="1858">
        <v>0.15</v>
      </c>
      <c r="F309" s="1866"/>
    </row>
    <row r="310" spans="1:6" ht="14.25" thickBot="1">
      <c r="A310" s="1853" t="s">
        <v>1420</v>
      </c>
      <c r="B310" s="1857" t="s">
        <v>2210</v>
      </c>
      <c r="C310" s="1858">
        <v>0.15</v>
      </c>
      <c r="D310" s="1858">
        <v>0.15</v>
      </c>
      <c r="E310" s="1858">
        <v>0.15</v>
      </c>
      <c r="F310" s="1859">
        <v>0.13700000000000001</v>
      </c>
    </row>
    <row r="311" spans="1:6" ht="14.25" thickBot="1">
      <c r="A311" s="1853" t="s">
        <v>1420</v>
      </c>
      <c r="B311" s="1857" t="s">
        <v>2211</v>
      </c>
      <c r="C311" s="1858">
        <v>0.15</v>
      </c>
      <c r="D311" s="1858">
        <v>0.15</v>
      </c>
      <c r="E311" s="1858">
        <v>0.15</v>
      </c>
      <c r="F311" s="1859">
        <v>0.15</v>
      </c>
    </row>
    <row r="312" spans="1:6" ht="14.25" thickBot="1">
      <c r="A312" s="1853" t="s">
        <v>1420</v>
      </c>
      <c r="B312" s="1857" t="s">
        <v>1292</v>
      </c>
      <c r="C312" s="1858">
        <v>0.15</v>
      </c>
      <c r="D312" s="1858">
        <v>0.15</v>
      </c>
      <c r="E312" s="1858">
        <v>0.15</v>
      </c>
      <c r="F312" s="1859">
        <v>0.1</v>
      </c>
    </row>
    <row r="313" spans="1:6" ht="14.25" thickBot="1">
      <c r="A313" s="1853" t="s">
        <v>1420</v>
      </c>
      <c r="B313" s="1857" t="s">
        <v>2212</v>
      </c>
      <c r="C313" s="1858">
        <v>0.15</v>
      </c>
      <c r="D313" s="1858">
        <v>0.15</v>
      </c>
      <c r="E313" s="1858">
        <v>0.15</v>
      </c>
      <c r="F313" s="1859">
        <v>0.15</v>
      </c>
    </row>
    <row r="314" spans="1:6" ht="24.75" thickBot="1">
      <c r="A314" s="1853" t="s">
        <v>1420</v>
      </c>
      <c r="B314" s="1857" t="s">
        <v>2213</v>
      </c>
      <c r="C314" s="1867"/>
      <c r="D314" s="1867"/>
      <c r="E314" s="1867"/>
      <c r="F314" s="1859">
        <v>0.05</v>
      </c>
    </row>
    <row r="315" spans="1:6" ht="24.75" thickBot="1">
      <c r="A315" s="1853" t="s">
        <v>1420</v>
      </c>
      <c r="B315" s="1857" t="s">
        <v>2214</v>
      </c>
      <c r="C315" s="1867"/>
      <c r="D315" s="1867"/>
      <c r="E315" s="1867"/>
      <c r="F315" s="1859">
        <v>0.05</v>
      </c>
    </row>
    <row r="316" spans="1:6" ht="24.75" thickBot="1">
      <c r="A316" s="1861" t="s">
        <v>1420</v>
      </c>
      <c r="B316" s="1868" t="s">
        <v>2215</v>
      </c>
      <c r="C316" s="1864"/>
      <c r="D316" s="1864"/>
      <c r="E316" s="1864"/>
      <c r="F316" s="1869">
        <v>0.05</v>
      </c>
    </row>
    <row r="317" spans="1:6" ht="14.25" thickBot="1">
      <c r="A317" s="1853" t="s">
        <v>2216</v>
      </c>
      <c r="B317" s="1854" t="s">
        <v>2217</v>
      </c>
      <c r="C317" s="1855">
        <v>0.15</v>
      </c>
      <c r="D317" s="1855">
        <v>0.15</v>
      </c>
      <c r="E317" s="1855">
        <v>0.15</v>
      </c>
      <c r="F317" s="1856">
        <v>0.15</v>
      </c>
    </row>
    <row r="318" spans="1:6" ht="14.25" thickBot="1">
      <c r="A318" s="1853" t="s">
        <v>2216</v>
      </c>
      <c r="B318" s="1857" t="s">
        <v>2218</v>
      </c>
      <c r="C318" s="1858">
        <v>0.107</v>
      </c>
      <c r="D318" s="1858">
        <v>0.11</v>
      </c>
      <c r="E318" s="1858">
        <v>0.112</v>
      </c>
      <c r="F318" s="1866"/>
    </row>
    <row r="319" spans="1:6" ht="14.25" thickBot="1">
      <c r="A319" s="1853" t="s">
        <v>2216</v>
      </c>
      <c r="B319" s="1857" t="s">
        <v>2219</v>
      </c>
      <c r="C319" s="1858">
        <v>0.15</v>
      </c>
      <c r="D319" s="1858">
        <v>0.15</v>
      </c>
      <c r="E319" s="1858">
        <v>0.15</v>
      </c>
      <c r="F319" s="1859">
        <v>0.15</v>
      </c>
    </row>
    <row r="320" spans="1:6" ht="14.25" thickBot="1">
      <c r="A320" s="1853" t="s">
        <v>2216</v>
      </c>
      <c r="B320" s="1857" t="s">
        <v>1108</v>
      </c>
      <c r="C320" s="1858">
        <v>0.15</v>
      </c>
      <c r="D320" s="1858">
        <v>0.15</v>
      </c>
      <c r="E320" s="1858">
        <v>0.15</v>
      </c>
      <c r="F320" s="1866"/>
    </row>
    <row r="321" spans="1:6" ht="14.25" thickBot="1">
      <c r="A321" s="1853" t="s">
        <v>2216</v>
      </c>
      <c r="B321" s="1857" t="s">
        <v>2220</v>
      </c>
      <c r="C321" s="1858">
        <v>0.15</v>
      </c>
      <c r="D321" s="1858">
        <v>0.15</v>
      </c>
      <c r="E321" s="1858">
        <v>0.15</v>
      </c>
      <c r="F321" s="1866"/>
    </row>
    <row r="322" spans="1:6" ht="14.25" thickBot="1">
      <c r="A322" s="1853" t="s">
        <v>2216</v>
      </c>
      <c r="B322" s="1857" t="s">
        <v>2221</v>
      </c>
      <c r="C322" s="1858">
        <v>0.15</v>
      </c>
      <c r="D322" s="1858">
        <v>0.15</v>
      </c>
      <c r="E322" s="1858">
        <v>0.15</v>
      </c>
      <c r="F322" s="1859">
        <v>0.15</v>
      </c>
    </row>
    <row r="323" spans="1:6" ht="14.25" thickBot="1">
      <c r="A323" s="1853" t="s">
        <v>2216</v>
      </c>
      <c r="B323" s="1857" t="s">
        <v>2222</v>
      </c>
      <c r="C323" s="1858">
        <v>0.15</v>
      </c>
      <c r="D323" s="1858">
        <v>0.15</v>
      </c>
      <c r="E323" s="1858">
        <v>0.15</v>
      </c>
      <c r="F323" s="1866"/>
    </row>
    <row r="324" spans="1:6" ht="14.25" thickBot="1">
      <c r="A324" s="1853" t="s">
        <v>2216</v>
      </c>
      <c r="B324" s="1857" t="s">
        <v>2223</v>
      </c>
      <c r="C324" s="1858">
        <v>0.15</v>
      </c>
      <c r="D324" s="1858">
        <v>0.15</v>
      </c>
      <c r="E324" s="1858">
        <v>0.15</v>
      </c>
      <c r="F324" s="1866"/>
    </row>
    <row r="325" spans="1:6" ht="14.25" thickBot="1">
      <c r="A325" s="1853" t="s">
        <v>2216</v>
      </c>
      <c r="B325" s="1857" t="s">
        <v>2224</v>
      </c>
      <c r="C325" s="1858">
        <v>0.15</v>
      </c>
      <c r="D325" s="1858">
        <v>0.15</v>
      </c>
      <c r="E325" s="1858">
        <v>0.15</v>
      </c>
      <c r="F325" s="1859">
        <v>0.14699999999999999</v>
      </c>
    </row>
    <row r="326" spans="1:6" ht="14.25" thickBot="1">
      <c r="A326" s="1853" t="s">
        <v>2216</v>
      </c>
      <c r="B326" s="1857" t="s">
        <v>1177</v>
      </c>
      <c r="C326" s="1858">
        <v>0.15</v>
      </c>
      <c r="D326" s="1858">
        <v>0.15</v>
      </c>
      <c r="E326" s="1858">
        <v>0.15</v>
      </c>
      <c r="F326" s="1866"/>
    </row>
    <row r="327" spans="1:6" ht="14.25" thickBot="1">
      <c r="A327" s="1853" t="s">
        <v>2216</v>
      </c>
      <c r="B327" s="1857" t="s">
        <v>2225</v>
      </c>
      <c r="C327" s="1858">
        <v>0.15</v>
      </c>
      <c r="D327" s="1858">
        <v>0.15</v>
      </c>
      <c r="E327" s="1858">
        <v>0.15</v>
      </c>
      <c r="F327" s="1859">
        <v>0.15</v>
      </c>
    </row>
    <row r="328" spans="1:6" ht="14.25" thickBot="1">
      <c r="A328" s="1853" t="s">
        <v>2216</v>
      </c>
      <c r="B328" s="1857" t="s">
        <v>1197</v>
      </c>
      <c r="C328" s="1858">
        <v>0.15</v>
      </c>
      <c r="D328" s="1858">
        <v>0.15</v>
      </c>
      <c r="E328" s="1858">
        <v>0.15</v>
      </c>
      <c r="F328" s="1859">
        <v>0.14099999999999999</v>
      </c>
    </row>
    <row r="329" spans="1:6" ht="14.25" thickBot="1">
      <c r="A329" s="1853" t="s">
        <v>2216</v>
      </c>
      <c r="B329" s="1857" t="s">
        <v>1207</v>
      </c>
      <c r="C329" s="1858">
        <v>0.15</v>
      </c>
      <c r="D329" s="1858">
        <v>0.15</v>
      </c>
      <c r="E329" s="1858">
        <v>0.15</v>
      </c>
      <c r="F329" s="1859">
        <v>0.15</v>
      </c>
    </row>
    <row r="330" spans="1:6" ht="14.25" thickBot="1">
      <c r="A330" s="1853" t="s">
        <v>2216</v>
      </c>
      <c r="B330" s="1857" t="s">
        <v>1217</v>
      </c>
      <c r="C330" s="1858">
        <v>0.15</v>
      </c>
      <c r="D330" s="1858">
        <v>0.15</v>
      </c>
      <c r="E330" s="1858">
        <v>0.15</v>
      </c>
      <c r="F330" s="1866"/>
    </row>
    <row r="331" spans="1:6" ht="14.25" thickBot="1">
      <c r="A331" s="1853" t="s">
        <v>2216</v>
      </c>
      <c r="B331" s="1857" t="s">
        <v>2226</v>
      </c>
      <c r="C331" s="1858">
        <v>0.15</v>
      </c>
      <c r="D331" s="1858">
        <v>0.15</v>
      </c>
      <c r="E331" s="1858">
        <v>0.15</v>
      </c>
      <c r="F331" s="1859">
        <v>0.15</v>
      </c>
    </row>
    <row r="332" spans="1:6" ht="14.25" thickBot="1">
      <c r="A332" s="1853" t="s">
        <v>2216</v>
      </c>
      <c r="B332" s="1857" t="s">
        <v>1237</v>
      </c>
      <c r="C332" s="1858">
        <v>0.15</v>
      </c>
      <c r="D332" s="1858">
        <v>0.15</v>
      </c>
      <c r="E332" s="1858">
        <v>0.15</v>
      </c>
      <c r="F332" s="1859">
        <v>0.15</v>
      </c>
    </row>
    <row r="333" spans="1:6" ht="14.25" thickBot="1">
      <c r="A333" s="1853" t="s">
        <v>2216</v>
      </c>
      <c r="B333" s="1857" t="s">
        <v>2227</v>
      </c>
      <c r="C333" s="1858">
        <v>0.15</v>
      </c>
      <c r="D333" s="1858">
        <v>0.15</v>
      </c>
      <c r="E333" s="1858">
        <v>0.15</v>
      </c>
      <c r="F333" s="1859">
        <v>0.14099999999999999</v>
      </c>
    </row>
    <row r="334" spans="1:6" ht="14.25" thickBot="1">
      <c r="A334" s="1853" t="s">
        <v>2216</v>
      </c>
      <c r="B334" s="1857" t="s">
        <v>1257</v>
      </c>
      <c r="C334" s="1858">
        <v>0.15</v>
      </c>
      <c r="D334" s="1858">
        <v>0.15</v>
      </c>
      <c r="E334" s="1858">
        <v>0.15</v>
      </c>
      <c r="F334" s="1859">
        <v>0.15</v>
      </c>
    </row>
    <row r="335" spans="1:6" ht="14.25" thickBot="1">
      <c r="A335" s="1853" t="s">
        <v>2216</v>
      </c>
      <c r="B335" s="1857" t="s">
        <v>1267</v>
      </c>
      <c r="C335" s="1858">
        <v>0.15</v>
      </c>
      <c r="D335" s="1858">
        <v>0.15</v>
      </c>
      <c r="E335" s="1858">
        <v>0.15</v>
      </c>
      <c r="F335" s="1866"/>
    </row>
    <row r="336" spans="1:6" ht="14.25" thickBot="1">
      <c r="A336" s="1853" t="s">
        <v>2216</v>
      </c>
      <c r="B336" s="1857" t="s">
        <v>2228</v>
      </c>
      <c r="C336" s="1858">
        <v>0.15</v>
      </c>
      <c r="D336" s="1858">
        <v>0.15</v>
      </c>
      <c r="E336" s="1858">
        <v>0.15</v>
      </c>
      <c r="F336" s="1859">
        <v>0.11799999999999999</v>
      </c>
    </row>
    <row r="337" spans="1:6" ht="14.25" thickBot="1">
      <c r="A337" s="1861" t="s">
        <v>2216</v>
      </c>
      <c r="B337" s="1868" t="s">
        <v>1285</v>
      </c>
      <c r="C337" s="1864"/>
      <c r="D337" s="1864"/>
      <c r="E337" s="1864"/>
      <c r="F337" s="1869">
        <v>0.14299999999999999</v>
      </c>
    </row>
    <row r="338" spans="1:6" ht="14.25" thickBot="1">
      <c r="A338" s="1853" t="s">
        <v>2229</v>
      </c>
      <c r="B338" s="1854" t="s">
        <v>2230</v>
      </c>
      <c r="C338" s="1855">
        <v>0.15</v>
      </c>
      <c r="D338" s="1855">
        <v>0.15</v>
      </c>
      <c r="E338" s="1855">
        <v>0.15</v>
      </c>
      <c r="F338" s="1877"/>
    </row>
    <row r="339" spans="1:6" ht="14.25" thickBot="1">
      <c r="A339" s="1853" t="s">
        <v>2229</v>
      </c>
      <c r="B339" s="1857" t="s">
        <v>2231</v>
      </c>
      <c r="C339" s="1858">
        <v>0.15</v>
      </c>
      <c r="D339" s="1858">
        <v>0.15</v>
      </c>
      <c r="E339" s="1858">
        <v>0.15</v>
      </c>
      <c r="F339" s="1866"/>
    </row>
    <row r="340" spans="1:6" ht="14.25" thickBot="1">
      <c r="A340" s="1853" t="s">
        <v>2229</v>
      </c>
      <c r="B340" s="1857" t="s">
        <v>2232</v>
      </c>
      <c r="C340" s="1858">
        <v>0.15</v>
      </c>
      <c r="D340" s="1858">
        <v>0.15</v>
      </c>
      <c r="E340" s="1858">
        <v>0.15</v>
      </c>
      <c r="F340" s="1866"/>
    </row>
    <row r="341" spans="1:6" ht="14.25" thickBot="1">
      <c r="A341" s="1853" t="s">
        <v>2233</v>
      </c>
      <c r="B341" s="1857" t="s">
        <v>2234</v>
      </c>
      <c r="C341" s="1858">
        <v>0.15</v>
      </c>
      <c r="D341" s="1858">
        <v>0.15</v>
      </c>
      <c r="E341" s="1858">
        <v>0.15</v>
      </c>
      <c r="F341" s="1859">
        <v>0.15</v>
      </c>
    </row>
    <row r="342" spans="1:6" ht="14.25" thickBot="1">
      <c r="A342" s="1853" t="s">
        <v>2229</v>
      </c>
      <c r="B342" s="1857" t="s">
        <v>2235</v>
      </c>
      <c r="C342" s="1858">
        <v>0.15</v>
      </c>
      <c r="D342" s="1858">
        <v>0.15</v>
      </c>
      <c r="E342" s="1858">
        <v>0.15</v>
      </c>
      <c r="F342" s="1859">
        <v>0.15</v>
      </c>
    </row>
    <row r="343" spans="1:6" ht="14.25" thickBot="1">
      <c r="A343" s="1853" t="s">
        <v>2229</v>
      </c>
      <c r="B343" s="1857" t="s">
        <v>2236</v>
      </c>
      <c r="C343" s="1858">
        <v>0.15</v>
      </c>
      <c r="D343" s="1858">
        <v>0.15</v>
      </c>
      <c r="E343" s="1858">
        <v>0.15</v>
      </c>
      <c r="F343" s="1859">
        <v>0.15</v>
      </c>
    </row>
    <row r="344" spans="1:6" ht="14.25" thickBot="1">
      <c r="A344" s="1861" t="s">
        <v>2229</v>
      </c>
      <c r="B344" s="1868" t="s">
        <v>2237</v>
      </c>
      <c r="C344" s="1863">
        <v>0.15</v>
      </c>
      <c r="D344" s="1863">
        <v>0.15</v>
      </c>
      <c r="E344" s="1863">
        <v>0.15</v>
      </c>
      <c r="F344" s="1869">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G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8" t="s">
        <v>2937</v>
      </c>
      <c r="B1" s="3100"/>
      <c r="C1" s="3100"/>
      <c r="D1" s="3100"/>
      <c r="E1" s="3100"/>
      <c r="F1" s="3100"/>
    </row>
    <row r="2" spans="1:6" ht="14.25">
      <c r="A2" s="3101" t="s">
        <v>2932</v>
      </c>
      <c r="B2" s="3102" t="e">
        <f ca="1">SUMIF(B7:B14,"&lt;&gt;#ref!",B7:B14)</f>
        <v>#DIV/0!</v>
      </c>
      <c r="C2" s="3101" t="s">
        <v>2933</v>
      </c>
      <c r="D2" s="3100"/>
      <c r="E2" s="3100"/>
      <c r="F2" s="3100"/>
    </row>
    <row r="3" spans="1:6" ht="14.25">
      <c r="A3" s="3101" t="s">
        <v>2966</v>
      </c>
      <c r="B3" s="3102" t="e">
        <f ca="1">ROUND(B2*10000/E3,0)</f>
        <v>#DIV/0!</v>
      </c>
      <c r="C3" s="3101" t="s">
        <v>2078</v>
      </c>
      <c r="D3" s="3101" t="s">
        <v>2934</v>
      </c>
      <c r="E3" s="3102">
        <f ca="1">SUMIF(E7:E14,"&lt;&gt;#ref!",E7:E14)</f>
        <v>0</v>
      </c>
      <c r="F3" s="3100"/>
    </row>
    <row r="4" spans="1:6" ht="14.25">
      <c r="A4" s="3101" t="s">
        <v>2941</v>
      </c>
      <c r="B4" s="3102" t="e">
        <f ca="1">ROUND(B2*10000/E4,0)</f>
        <v>#DIV/0!</v>
      </c>
      <c r="C4" s="3101" t="s">
        <v>2078</v>
      </c>
      <c r="D4" s="3101" t="s">
        <v>2942</v>
      </c>
      <c r="E4" s="3102">
        <f ca="1">SUMIF(F7:F14,"&lt;&gt;#ref!",F7:F14)</f>
        <v>0</v>
      </c>
      <c r="F4" s="3100"/>
    </row>
    <row r="5" spans="1:6" ht="14.25">
      <c r="A5" s="3103"/>
      <c r="B5" s="1879"/>
      <c r="C5" s="1879"/>
      <c r="D5" s="1879"/>
      <c r="E5" s="1879"/>
      <c r="F5" s="3100"/>
    </row>
    <row r="6" spans="1:6" ht="28.5">
      <c r="A6" s="3104" t="s">
        <v>2938</v>
      </c>
      <c r="B6" s="3101" t="s">
        <v>2935</v>
      </c>
      <c r="C6" s="3102"/>
      <c r="D6" s="1879"/>
      <c r="E6" s="3101" t="s">
        <v>2936</v>
      </c>
      <c r="F6" s="3101" t="s">
        <v>2940</v>
      </c>
    </row>
    <row r="7" spans="1:6" ht="14.25">
      <c r="A7" s="259" t="s">
        <v>2939</v>
      </c>
      <c r="B7" s="3105" t="e">
        <f ca="1">SUMIF(INDIRECT("'"&amp;A7&amp;"'"&amp;"!A:A"),"总价",INDIRECT("'"&amp;A7&amp;"'"&amp;"!B:B"))</f>
        <v>#DIV/0!</v>
      </c>
      <c r="C7" s="3101" t="s">
        <v>2933</v>
      </c>
      <c r="D7" s="1879"/>
      <c r="E7" s="3106">
        <f ca="1">SUMIF(INDIRECT("'"&amp;A7&amp;"'"&amp;"!C:C"),"建筑面积",INDIRECT("'"&amp;A7&amp;"'"&amp;"!D:D"))</f>
        <v>0</v>
      </c>
      <c r="F7" s="3106">
        <f ca="1">SUMIF(INDIRECT("'"&amp;A7&amp;"'"&amp;"!E:E"),"土地面积",INDIRECT("'"&amp;A7&amp;"'"&amp;"!F:F"))</f>
        <v>0</v>
      </c>
    </row>
    <row r="8" spans="1:6" ht="14.25">
      <c r="A8" s="259"/>
      <c r="B8" s="3105" t="e">
        <f t="shared" ref="B8:B14" ca="1" si="0">SUMIF(INDIRECT("'"&amp;A8&amp;"'"&amp;"!A:A"),"总价",INDIRECT("'"&amp;A8&amp;"'"&amp;"!B:B"))</f>
        <v>#REF!</v>
      </c>
      <c r="C8" s="3101" t="s">
        <v>2933</v>
      </c>
      <c r="D8" s="1879"/>
      <c r="E8" s="3106" t="e">
        <f t="shared" ref="E8:E14" ca="1" si="1">SUMIF(INDIRECT("'"&amp;A8&amp;"'"&amp;"!C:C"),"建筑面积",INDIRECT("'"&amp;A8&amp;"'"&amp;"!D:D"))</f>
        <v>#REF!</v>
      </c>
      <c r="F8" s="3106" t="e">
        <f t="shared" ref="F8:F14" ca="1" si="2">SUMIF(INDIRECT("'"&amp;A8&amp;"'"&amp;"!E:E"),"土地面积",INDIRECT("'"&amp;A8&amp;"'"&amp;"!F:F"))</f>
        <v>#REF!</v>
      </c>
    </row>
    <row r="9" spans="1:6" ht="14.25">
      <c r="A9" s="259"/>
      <c r="B9" s="3105" t="e">
        <f t="shared" ca="1" si="0"/>
        <v>#REF!</v>
      </c>
      <c r="C9" s="3101" t="s">
        <v>2933</v>
      </c>
      <c r="D9" s="1879"/>
      <c r="E9" s="3106" t="e">
        <f t="shared" ca="1" si="1"/>
        <v>#REF!</v>
      </c>
      <c r="F9" s="3106" t="e">
        <f t="shared" ca="1" si="2"/>
        <v>#REF!</v>
      </c>
    </row>
    <row r="10" spans="1:6" ht="14.25">
      <c r="A10" s="259"/>
      <c r="B10" s="3105" t="e">
        <f t="shared" ca="1" si="0"/>
        <v>#REF!</v>
      </c>
      <c r="C10" s="3101" t="s">
        <v>2933</v>
      </c>
      <c r="D10" s="1879"/>
      <c r="E10" s="3106" t="e">
        <f t="shared" ca="1" si="1"/>
        <v>#REF!</v>
      </c>
      <c r="F10" s="3106" t="e">
        <f t="shared" ca="1" si="2"/>
        <v>#REF!</v>
      </c>
    </row>
    <row r="11" spans="1:6" ht="14.25">
      <c r="A11" s="259"/>
      <c r="B11" s="3105" t="e">
        <f t="shared" ca="1" si="0"/>
        <v>#REF!</v>
      </c>
      <c r="C11" s="3101" t="s">
        <v>2933</v>
      </c>
      <c r="D11" s="1879"/>
      <c r="E11" s="3106" t="e">
        <f t="shared" ca="1" si="1"/>
        <v>#REF!</v>
      </c>
      <c r="F11" s="3106" t="e">
        <f t="shared" ca="1" si="2"/>
        <v>#REF!</v>
      </c>
    </row>
    <row r="12" spans="1:6" ht="14.25">
      <c r="A12" s="259"/>
      <c r="B12" s="3105" t="e">
        <f t="shared" ca="1" si="0"/>
        <v>#REF!</v>
      </c>
      <c r="C12" s="3101" t="s">
        <v>2933</v>
      </c>
      <c r="D12" s="1879"/>
      <c r="E12" s="3106" t="e">
        <f t="shared" ca="1" si="1"/>
        <v>#REF!</v>
      </c>
      <c r="F12" s="3106" t="e">
        <f t="shared" ca="1" si="2"/>
        <v>#REF!</v>
      </c>
    </row>
    <row r="13" spans="1:6" ht="14.25">
      <c r="A13" s="259"/>
      <c r="B13" s="3105" t="e">
        <f t="shared" ca="1" si="0"/>
        <v>#REF!</v>
      </c>
      <c r="C13" s="3101" t="s">
        <v>2933</v>
      </c>
      <c r="D13" s="1879"/>
      <c r="E13" s="3106" t="e">
        <f t="shared" ca="1" si="1"/>
        <v>#REF!</v>
      </c>
      <c r="F13" s="3106" t="e">
        <f t="shared" ca="1" si="2"/>
        <v>#REF!</v>
      </c>
    </row>
    <row r="14" spans="1:6" ht="14.25">
      <c r="A14" s="3099"/>
      <c r="B14" s="3105" t="e">
        <f t="shared" ca="1" si="0"/>
        <v>#REF!</v>
      </c>
      <c r="C14" s="3101" t="s">
        <v>2933</v>
      </c>
      <c r="D14" s="1879"/>
      <c r="E14" s="3106" t="e">
        <f t="shared" ca="1" si="1"/>
        <v>#REF!</v>
      </c>
      <c r="F14" s="3106" t="e">
        <f t="shared" ca="1" si="2"/>
        <v>#REF!</v>
      </c>
    </row>
  </sheetData>
  <sheetProtection password="C66D" sheet="1" objects="1" scenarios="1"/>
  <phoneticPr fontId="234"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2" sqref="G32:G35"/>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1" t="s">
        <v>628</v>
      </c>
      <c r="B1" s="737"/>
      <c r="C1" s="772"/>
      <c r="D1" s="2048"/>
      <c r="E1" s="2385" t="s">
        <v>2372</v>
      </c>
      <c r="F1" s="2386">
        <f ca="1">J54</f>
        <v>-2</v>
      </c>
      <c r="G1" s="773">
        <f>MATCH(C1,'数据-取费表'!A6:A16,0)+5</f>
        <v>13</v>
      </c>
      <c r="H1" s="1349"/>
      <c r="I1" s="2049"/>
      <c r="J1" s="2049"/>
      <c r="K1" s="2050"/>
      <c r="L1" s="2049"/>
      <c r="M1" s="2049"/>
      <c r="N1" s="2051"/>
      <c r="O1" s="2051"/>
      <c r="P1" s="2051"/>
      <c r="Q1" s="2051"/>
      <c r="R1" s="2051"/>
      <c r="S1" s="2051"/>
      <c r="T1" s="2051"/>
      <c r="U1" s="2051"/>
      <c r="V1" s="2051"/>
      <c r="W1" s="2051"/>
      <c r="X1" s="2051"/>
      <c r="Y1" s="2051"/>
    </row>
    <row r="2" spans="1:25" ht="18" customHeight="1">
      <c r="A2" s="1643" t="s">
        <v>629</v>
      </c>
      <c r="B2" s="774">
        <f ca="1">IF(ISERROR(C45+J31),0,C45+J31)</f>
        <v>0</v>
      </c>
      <c r="C2" s="1350"/>
      <c r="D2" s="2053"/>
      <c r="E2" s="2054"/>
      <c r="F2" s="2054"/>
      <c r="G2" s="1589"/>
      <c r="H2" s="1362"/>
      <c r="I2" s="2055"/>
      <c r="J2" s="2055"/>
      <c r="K2" s="2056"/>
      <c r="L2" s="2055"/>
      <c r="M2" s="2055"/>
    </row>
    <row r="3" spans="1:25" ht="18" customHeight="1">
      <c r="A3" s="1644" t="s">
        <v>1687</v>
      </c>
      <c r="B3" s="1390">
        <f ca="1">ROUND(B2*10000/'数据-汇总表'!E3,0)</f>
        <v>0</v>
      </c>
      <c r="C3" s="1350"/>
      <c r="D3" s="2053"/>
      <c r="E3" s="2054"/>
      <c r="F3" s="2054"/>
      <c r="G3" s="1589"/>
      <c r="H3" s="775" t="s">
        <v>695</v>
      </c>
      <c r="I3" s="2055"/>
      <c r="J3" s="2055"/>
      <c r="K3" s="2056"/>
      <c r="L3" s="2055"/>
      <c r="M3" s="2055"/>
    </row>
    <row r="4" spans="1:25" ht="18" customHeight="1">
      <c r="A4" s="1645" t="s">
        <v>696</v>
      </c>
      <c r="B4" s="1351">
        <f ca="1">ROUND(B2*10000/'数据-汇总表'!D3,0)</f>
        <v>0</v>
      </c>
      <c r="C4" s="427"/>
      <c r="D4" s="2053"/>
      <c r="E4" s="2054"/>
      <c r="F4" s="2054"/>
      <c r="G4" s="1589"/>
      <c r="H4" s="775"/>
      <c r="I4" s="2055"/>
      <c r="J4" s="2055"/>
      <c r="K4" s="2056"/>
      <c r="L4" s="2055"/>
      <c r="M4" s="2055"/>
    </row>
    <row r="5" spans="1:25" ht="18" customHeight="1" thickBot="1">
      <c r="A5" s="1646"/>
      <c r="B5" s="429">
        <f ca="1">ROUND(B2/('数据-汇总表'!D3/666.67),0)</f>
        <v>0</v>
      </c>
      <c r="C5" s="430" t="s">
        <v>697</v>
      </c>
      <c r="D5" s="2053"/>
      <c r="E5" s="2054"/>
      <c r="F5" s="2054"/>
      <c r="G5" s="1589"/>
      <c r="H5" s="775"/>
      <c r="I5" s="2055"/>
      <c r="J5" s="2055"/>
      <c r="K5" s="2056"/>
      <c r="L5" s="2055"/>
      <c r="M5" s="2055"/>
    </row>
    <row r="6" spans="1:25" ht="18" customHeight="1">
      <c r="A6" s="1826" t="s">
        <v>698</v>
      </c>
      <c r="B6" s="1818" t="s">
        <v>699</v>
      </c>
      <c r="C6" s="1818" t="s">
        <v>632</v>
      </c>
      <c r="D6" s="1818" t="s">
        <v>633</v>
      </c>
      <c r="E6" s="778" t="s">
        <v>634</v>
      </c>
      <c r="F6" s="779"/>
      <c r="G6" s="1591"/>
      <c r="H6" s="1826" t="s">
        <v>630</v>
      </c>
      <c r="I6" s="1818" t="s">
        <v>631</v>
      </c>
      <c r="J6" s="1818" t="s">
        <v>632</v>
      </c>
      <c r="K6" s="1818" t="s">
        <v>633</v>
      </c>
      <c r="L6" s="778" t="s">
        <v>634</v>
      </c>
      <c r="M6" s="779"/>
    </row>
    <row r="7" spans="1:25" ht="18" customHeight="1">
      <c r="A7" s="780">
        <v>1</v>
      </c>
      <c r="B7" s="781" t="s">
        <v>2456</v>
      </c>
      <c r="C7" s="53">
        <f ca="1">C8+C12+C14</f>
        <v>0</v>
      </c>
      <c r="D7" s="2494" t="s">
        <v>2459</v>
      </c>
      <c r="E7" s="2488"/>
      <c r="F7" s="2489"/>
      <c r="G7" s="1591"/>
      <c r="H7" s="780">
        <v>1</v>
      </c>
      <c r="I7" s="781" t="s">
        <v>2456</v>
      </c>
      <c r="J7" s="53">
        <f ca="1">J8+J12+J14</f>
        <v>0</v>
      </c>
      <c r="K7" s="2494" t="s">
        <v>2459</v>
      </c>
      <c r="L7" s="2488"/>
      <c r="M7" s="2489"/>
    </row>
    <row r="8" spans="1:25" ht="18" customHeight="1">
      <c r="A8" s="1828" t="s">
        <v>1825</v>
      </c>
      <c r="B8" s="3571" t="s">
        <v>2461</v>
      </c>
      <c r="C8" s="1823">
        <f ca="1">ROUND(F8*F10*F9*(1-F11)/10000,0)</f>
        <v>0</v>
      </c>
      <c r="D8" s="1820" t="s">
        <v>2532</v>
      </c>
      <c r="E8" s="61" t="s">
        <v>637</v>
      </c>
      <c r="F8" s="784">
        <f ca="1">INDIRECT("'数据-取费表'!u"&amp;$G$1)</f>
        <v>0</v>
      </c>
      <c r="G8" s="1591"/>
      <c r="H8" s="2502" t="s">
        <v>1825</v>
      </c>
      <c r="I8" s="3571" t="s">
        <v>2461</v>
      </c>
      <c r="J8" s="782">
        <f ca="1">ROUND(M8*M10*M9*(1-M11)/10000,0)</f>
        <v>0</v>
      </c>
      <c r="K8" s="340" t="s">
        <v>2532</v>
      </c>
      <c r="L8" s="783" t="s">
        <v>1739</v>
      </c>
      <c r="M8" s="784">
        <f ca="1">INDIRECT("'数据-取费表'!z"&amp;$G$1)</f>
        <v>0</v>
      </c>
    </row>
    <row r="9" spans="1:25" ht="18" customHeight="1">
      <c r="A9" s="2498"/>
      <c r="B9" s="3572"/>
      <c r="C9" s="1824"/>
      <c r="D9" s="1821"/>
      <c r="E9" s="61" t="s">
        <v>638</v>
      </c>
      <c r="F9" s="784">
        <f ca="1">IF(INDIRECT("'数据-取费表'!ah"&amp;$G$1)="",INDIRECT("'数据-取费表'!k"&amp;$G$1),INDIRECT("'数据-取费表'!ah"&amp;$G$1))</f>
        <v>0</v>
      </c>
      <c r="G9" s="1591"/>
      <c r="H9" s="2487"/>
      <c r="I9" s="3572"/>
      <c r="J9" s="787"/>
      <c r="K9" s="788"/>
      <c r="L9" s="783" t="s">
        <v>1740</v>
      </c>
      <c r="M9" s="784">
        <f ca="1">F9</f>
        <v>0</v>
      </c>
    </row>
    <row r="10" spans="1:25" ht="18" customHeight="1">
      <c r="A10" s="2491"/>
      <c r="B10" s="3573"/>
      <c r="C10" s="1824"/>
      <c r="D10" s="1821"/>
      <c r="E10" s="61" t="s">
        <v>639</v>
      </c>
      <c r="F10" s="784">
        <f ca="1">INDIRECT("'数据-取费表'!ai"&amp;$G$1)</f>
        <v>0</v>
      </c>
      <c r="G10" s="1591"/>
      <c r="H10" s="2487"/>
      <c r="I10" s="3573"/>
      <c r="J10" s="787"/>
      <c r="K10" s="788"/>
      <c r="L10" s="783" t="s">
        <v>1741</v>
      </c>
      <c r="M10" s="784">
        <f ca="1">INDIRECT("'数据-取费表'!ai"&amp;$G$1)</f>
        <v>0</v>
      </c>
    </row>
    <row r="11" spans="1:25" ht="18" customHeight="1">
      <c r="A11" s="785"/>
      <c r="B11" s="3574"/>
      <c r="C11" s="1824"/>
      <c r="D11" s="1821"/>
      <c r="E11" s="61" t="s">
        <v>640</v>
      </c>
      <c r="F11" s="793">
        <f ca="1">INDIRECT("'数据-取费表'!w"&amp;$G$1)</f>
        <v>0</v>
      </c>
      <c r="G11" s="1591"/>
      <c r="H11" s="2503"/>
      <c r="I11" s="3573"/>
      <c r="J11" s="787"/>
      <c r="K11" s="788"/>
      <c r="L11" s="794" t="s">
        <v>1742</v>
      </c>
      <c r="M11" s="795">
        <f ca="1">INDIRECT("'数据-取费表'!ab"&amp;$G$1)</f>
        <v>0</v>
      </c>
    </row>
    <row r="12" spans="1:25" ht="18" customHeight="1">
      <c r="A12" s="1828" t="s">
        <v>1826</v>
      </c>
      <c r="B12" s="2492" t="s">
        <v>2457</v>
      </c>
      <c r="C12" s="798">
        <f ca="1">ROUND(IF(F12="押一",C8/12*F13,IF(F12="押二",C8/12*2*F13,IF(F12="押三",C8/12*3*F13,C13*F13))),0)</f>
        <v>0</v>
      </c>
      <c r="D12" s="2499" t="s">
        <v>2962</v>
      </c>
      <c r="E12" s="2496" t="s">
        <v>2462</v>
      </c>
      <c r="F12" s="2619"/>
      <c r="G12" s="1591"/>
      <c r="H12" s="2559" t="s">
        <v>1826</v>
      </c>
      <c r="I12" s="2564" t="s">
        <v>2457</v>
      </c>
      <c r="J12" s="782">
        <f ca="1">ROUND(IF(M12="押一",J8/12*M13,IF(M12="押二",J8/12*2*M13,IF(M12="押三",J8/12*3*M13,J13*M13))),0)</f>
        <v>0</v>
      </c>
      <c r="K12" s="2499" t="s">
        <v>2962</v>
      </c>
      <c r="L12" s="2496" t="s">
        <v>2462</v>
      </c>
      <c r="M12" s="2619"/>
    </row>
    <row r="13" spans="1:25" ht="18" customHeight="1">
      <c r="A13" s="789"/>
      <c r="B13" s="2493" t="s">
        <v>2571</v>
      </c>
      <c r="C13" s="2497"/>
      <c r="D13" s="788"/>
      <c r="E13" s="2496" t="s">
        <v>2454</v>
      </c>
      <c r="F13" s="795">
        <f ca="1">'数据-取费表'!B39</f>
        <v>1.4999999999999999E-2</v>
      </c>
      <c r="G13" s="1591"/>
      <c r="H13" s="2560"/>
      <c r="I13" s="2493" t="s">
        <v>2571</v>
      </c>
      <c r="J13" s="2497"/>
      <c r="K13" s="2561"/>
      <c r="L13" s="2496" t="s">
        <v>2454</v>
      </c>
      <c r="M13" s="2490">
        <f ca="1">'数据-取费表'!B39</f>
        <v>1.4999999999999999E-2</v>
      </c>
    </row>
    <row r="14" spans="1:25" ht="18" customHeight="1" thickBot="1">
      <c r="A14" s="2535" t="s">
        <v>2465</v>
      </c>
      <c r="B14" s="2536" t="s">
        <v>2458</v>
      </c>
      <c r="C14" s="2537"/>
      <c r="D14" s="2538"/>
      <c r="E14" s="2539"/>
      <c r="F14" s="2540"/>
      <c r="G14" s="1591"/>
      <c r="H14" s="2549" t="s">
        <v>2465</v>
      </c>
      <c r="I14" s="2562" t="s">
        <v>2458</v>
      </c>
      <c r="J14" s="2563"/>
      <c r="K14" s="2538"/>
      <c r="L14" s="2539"/>
      <c r="M14" s="2552"/>
    </row>
    <row r="15" spans="1:25" ht="18" customHeight="1" thickTop="1">
      <c r="A15" s="1827" t="s">
        <v>1875</v>
      </c>
      <c r="B15" s="1825" t="s">
        <v>641</v>
      </c>
      <c r="C15" s="791">
        <f ca="1">ROUND(C31*F15,0)</f>
        <v>0</v>
      </c>
      <c r="D15" s="1832" t="s">
        <v>642</v>
      </c>
      <c r="E15" s="794" t="s">
        <v>643</v>
      </c>
      <c r="F15" s="799">
        <f ca="1">INDIRECT("'数据-取费表'!y"&amp;$G$1)</f>
        <v>0</v>
      </c>
      <c r="G15" s="1591"/>
      <c r="H15" s="1827" t="s">
        <v>1827</v>
      </c>
      <c r="I15" s="1825" t="s">
        <v>644</v>
      </c>
      <c r="J15" s="1817">
        <f ca="1">ROUND(J16*J17,0)</f>
        <v>0</v>
      </c>
      <c r="K15" s="1819" t="s">
        <v>642</v>
      </c>
      <c r="L15" s="800"/>
      <c r="M15" s="801"/>
    </row>
    <row r="16" spans="1:25" ht="18" customHeight="1">
      <c r="A16" s="802" t="s">
        <v>1876</v>
      </c>
      <c r="B16" s="783" t="s">
        <v>645</v>
      </c>
      <c r="C16" s="803">
        <f ca="1">INDIRECT("'数据-取费表'!m"&amp;$G$1)+INDIRECT("'数据-取费表'!t"&amp;$G$1)</f>
        <v>0</v>
      </c>
      <c r="D16" s="1977" t="s">
        <v>646</v>
      </c>
      <c r="E16" s="1978"/>
      <c r="F16" s="804"/>
      <c r="G16" s="1591"/>
      <c r="H16" s="802" t="s">
        <v>2069</v>
      </c>
      <c r="I16" s="2229" t="s">
        <v>2822</v>
      </c>
      <c r="J16" s="53">
        <f ca="1">C31</f>
        <v>0</v>
      </c>
      <c r="K16" s="26"/>
      <c r="L16" s="800"/>
      <c r="M16" s="801"/>
    </row>
    <row r="17" spans="1:25" s="2062" customFormat="1" ht="18" customHeight="1">
      <c r="A17" s="802" t="s">
        <v>1850</v>
      </c>
      <c r="B17" s="783" t="s">
        <v>647</v>
      </c>
      <c r="C17" s="53">
        <f ca="1">ROUND(C16*F17,0)</f>
        <v>0</v>
      </c>
      <c r="D17" s="805" t="s">
        <v>648</v>
      </c>
      <c r="E17" s="805" t="s">
        <v>649</v>
      </c>
      <c r="F17" s="806">
        <f>'数据-取费表'!B33</f>
        <v>0.03</v>
      </c>
      <c r="G17" s="1592"/>
      <c r="H17" s="802" t="s">
        <v>2070</v>
      </c>
      <c r="I17" s="783" t="s">
        <v>643</v>
      </c>
      <c r="J17" s="807">
        <f ca="1">INDIRECT("'数据-取费表'!ad"&amp;$G$1)</f>
        <v>0</v>
      </c>
      <c r="K17" s="26"/>
      <c r="L17" s="800"/>
      <c r="M17" s="801"/>
      <c r="N17" s="2061"/>
      <c r="O17" s="2061"/>
      <c r="P17" s="2061"/>
      <c r="Q17" s="2061"/>
      <c r="R17" s="2061"/>
      <c r="S17" s="2061"/>
      <c r="T17" s="2061"/>
      <c r="U17" s="2061"/>
      <c r="V17" s="2061"/>
      <c r="W17" s="2061"/>
      <c r="X17" s="2061"/>
      <c r="Y17" s="2061"/>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1"/>
      <c r="H18" s="796" t="s">
        <v>1828</v>
      </c>
      <c r="I18" s="797" t="s">
        <v>651</v>
      </c>
      <c r="J18" s="798">
        <f ca="1">ROUND(J19+J24+J25+J26,0)</f>
        <v>0</v>
      </c>
      <c r="K18" s="26" t="s">
        <v>652</v>
      </c>
      <c r="L18" s="1980"/>
      <c r="M18" s="56"/>
    </row>
    <row r="19" spans="1:25" s="2062" customFormat="1" ht="18" customHeight="1">
      <c r="A19" s="802" t="s">
        <v>1852</v>
      </c>
      <c r="B19" s="783" t="s">
        <v>653</v>
      </c>
      <c r="C19" s="53">
        <f ca="1">ROUND(F19*(INDIRECT("'数据-取费表'!k"&amp;$G$1)+INDIRECT("'数据-取费表'!S"&amp;$G$1))/10000,0)</f>
        <v>0</v>
      </c>
      <c r="D19" s="783" t="s">
        <v>654</v>
      </c>
      <c r="E19" s="783" t="s">
        <v>655</v>
      </c>
      <c r="F19" s="56">
        <f>'数据-取费表'!B35</f>
        <v>200</v>
      </c>
      <c r="G19" s="1592"/>
      <c r="H19" s="802" t="s">
        <v>2069</v>
      </c>
      <c r="I19" s="783" t="s">
        <v>656</v>
      </c>
      <c r="J19" s="53">
        <f ca="1">ROUND(IF(项目基本情况!B11="自然人",J7*M19,J20+J21+J22),0)</f>
        <v>0</v>
      </c>
      <c r="K19" s="1977" t="s">
        <v>657</v>
      </c>
      <c r="L19" s="1975" t="s">
        <v>658</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1853</v>
      </c>
      <c r="B20" s="783" t="s">
        <v>659</v>
      </c>
      <c r="C20" s="53">
        <f ca="1">ROUND(C16*F20,0)</f>
        <v>0</v>
      </c>
      <c r="D20" s="783" t="s">
        <v>648</v>
      </c>
      <c r="E20" s="783" t="s">
        <v>649</v>
      </c>
      <c r="F20" s="808">
        <f>'数据-取费表'!B36</f>
        <v>1.4999999999999999E-2</v>
      </c>
      <c r="G20" s="1592"/>
      <c r="H20" s="802" t="s">
        <v>1832</v>
      </c>
      <c r="I20" s="783" t="s">
        <v>660</v>
      </c>
      <c r="J20" s="53">
        <f ca="1">ROUND(J7*M20/1.05,1)</f>
        <v>0</v>
      </c>
      <c r="K20" s="1975" t="s">
        <v>661</v>
      </c>
      <c r="L20" s="783" t="s">
        <v>649</v>
      </c>
      <c r="M20" s="808">
        <f>'数据-取费表'!B41</f>
        <v>5.5000000000000007E-2</v>
      </c>
      <c r="N20" s="2061"/>
      <c r="O20" s="2061"/>
      <c r="P20" s="2061"/>
      <c r="Q20" s="2061"/>
      <c r="R20" s="2061"/>
      <c r="S20" s="2061"/>
      <c r="T20" s="2061"/>
      <c r="U20" s="2061"/>
      <c r="V20" s="2061"/>
      <c r="W20" s="2061"/>
      <c r="X20" s="2061"/>
      <c r="Y20" s="2061"/>
    </row>
    <row r="21" spans="1:25" ht="18" customHeight="1">
      <c r="A21" s="802" t="s">
        <v>1877</v>
      </c>
      <c r="B21" s="783" t="s">
        <v>662</v>
      </c>
      <c r="C21" s="53">
        <f ca="1">SUM(C16:C20)</f>
        <v>0</v>
      </c>
      <c r="D21" s="260" t="s">
        <v>663</v>
      </c>
      <c r="E21" s="1980"/>
      <c r="F21" s="56"/>
      <c r="G21" s="1591"/>
      <c r="H21" s="1828" t="s">
        <v>1850</v>
      </c>
      <c r="I21" s="783" t="s">
        <v>664</v>
      </c>
      <c r="J21" s="53">
        <f ca="1">IF(K21="按租金收入计税",ROUND(J7*M21,1),ROUND(C31*F35*0.7,1))</f>
        <v>0</v>
      </c>
      <c r="K21" s="810" t="s">
        <v>665</v>
      </c>
      <c r="L21" s="783" t="s">
        <v>649</v>
      </c>
      <c r="M21" s="808">
        <f>IF(K21="按租金收入计税",'数据-取费表'!B51,'数据-取费表'!B50)</f>
        <v>1.2E-2</v>
      </c>
    </row>
    <row r="22" spans="1:25" s="2062" customFormat="1" ht="18" customHeight="1">
      <c r="A22" s="802" t="s">
        <v>1878</v>
      </c>
      <c r="B22" s="783" t="s">
        <v>666</v>
      </c>
      <c r="C22" s="53">
        <f ca="1">ROUND(C21*F22,0)</f>
        <v>0</v>
      </c>
      <c r="D22" s="811" t="s">
        <v>667</v>
      </c>
      <c r="E22" s="783" t="s">
        <v>649</v>
      </c>
      <c r="F22" s="808">
        <f>'数据-取费表'!B37</f>
        <v>0.02</v>
      </c>
      <c r="G22" s="1592"/>
      <c r="H22" s="1830" t="s">
        <v>1851</v>
      </c>
      <c r="I22" s="1820" t="s">
        <v>668</v>
      </c>
      <c r="J22" s="54">
        <f ca="1">ROUND(M22*M23/10000,0)</f>
        <v>0</v>
      </c>
      <c r="K22" s="813" t="s">
        <v>669</v>
      </c>
      <c r="L22" s="783" t="s">
        <v>670</v>
      </c>
      <c r="M22" s="639">
        <f>'数据-取费表'!B52</f>
        <v>1.5</v>
      </c>
      <c r="N22" s="2061"/>
      <c r="O22" s="2061"/>
      <c r="P22" s="2061"/>
      <c r="Q22" s="2061"/>
      <c r="R22" s="2061"/>
      <c r="S22" s="2061"/>
      <c r="T22" s="2061"/>
      <c r="U22" s="2061"/>
      <c r="V22" s="2061"/>
      <c r="W22" s="2061"/>
      <c r="X22" s="2061"/>
      <c r="Y22" s="2061"/>
    </row>
    <row r="23" spans="1:25" s="2062" customFormat="1" ht="18" customHeight="1">
      <c r="A23" s="802" t="s">
        <v>1879</v>
      </c>
      <c r="B23" s="783" t="s">
        <v>671</v>
      </c>
      <c r="C23" s="53" t="s">
        <v>1</v>
      </c>
      <c r="D23" s="811" t="s">
        <v>672</v>
      </c>
      <c r="E23" s="783" t="s">
        <v>673</v>
      </c>
      <c r="F23" s="808">
        <f>'数据-取费表'!B38</f>
        <v>0.02</v>
      </c>
      <c r="G23" s="1592"/>
      <c r="H23" s="1831"/>
      <c r="I23" s="1822"/>
      <c r="J23" s="69"/>
      <c r="K23" s="815"/>
      <c r="L23" s="783" t="s">
        <v>674</v>
      </c>
      <c r="M23" s="784">
        <f ca="1">INDIRECT("'数据-取费表'!r"&amp;$G$1)</f>
        <v>0</v>
      </c>
      <c r="N23" s="2061"/>
      <c r="O23" s="2061"/>
      <c r="P23" s="2061"/>
      <c r="Q23" s="2061"/>
      <c r="R23" s="2061"/>
      <c r="S23" s="2061"/>
      <c r="T23" s="2061"/>
      <c r="U23" s="2061"/>
      <c r="V23" s="2061"/>
      <c r="W23" s="2061"/>
      <c r="X23" s="2061"/>
      <c r="Y23" s="2061"/>
    </row>
    <row r="24" spans="1:25" ht="18" customHeight="1">
      <c r="A24" s="802" t="s">
        <v>1880</v>
      </c>
      <c r="B24" s="783" t="s">
        <v>675</v>
      </c>
      <c r="C24" s="53"/>
      <c r="D24" s="2570" t="str">
        <f>IF(F25&lt;=1,"单利计息。","复利计息。")&amp;"建造成本、管理费用、销售费用产生的利息。"</f>
        <v>复利计息。建造成本、管理费用、销售费用产生的利息。</v>
      </c>
      <c r="E24" s="1980"/>
      <c r="F24" s="56"/>
      <c r="G24" s="1591"/>
      <c r="H24" s="1829" t="s">
        <v>2070</v>
      </c>
      <c r="I24" s="783" t="s">
        <v>676</v>
      </c>
      <c r="J24" s="53">
        <f ca="1">ROUND(J16*M24,0)</f>
        <v>0</v>
      </c>
      <c r="K24" s="1975" t="s">
        <v>677</v>
      </c>
      <c r="L24" s="783" t="s">
        <v>649</v>
      </c>
      <c r="M24" s="816">
        <f ca="1">INDIRECT("'数据-取费表'!Ak"&amp;$G$1)</f>
        <v>0</v>
      </c>
    </row>
    <row r="25" spans="1:25" s="2062" customFormat="1" ht="18" customHeight="1">
      <c r="A25" s="802" t="s">
        <v>1876</v>
      </c>
      <c r="B25" s="783" t="s">
        <v>2435</v>
      </c>
      <c r="C25" s="53">
        <f ca="1">ROUND(IF('数据-取费表'!B22&lt;=1,(C21+C22)*F26*F25/2,(C21+C22)*(POWER((1+F26),F25/2)-1)),0)</f>
        <v>0</v>
      </c>
      <c r="D25" s="2569" t="str">
        <f>IF(F25&lt;=1,"(建造成本+管理费用)×利率×(建设周期÷2)","(建造成本+管理费用)×((1+利率)^(建设周期÷2)-1)")</f>
        <v>(建造成本+管理费用)×((1+利率)^(建设周期÷2)-1)</v>
      </c>
      <c r="E25" s="783" t="s">
        <v>678</v>
      </c>
      <c r="F25" s="639">
        <f>'数据-取费表'!B20</f>
        <v>2</v>
      </c>
      <c r="G25" s="1592"/>
      <c r="H25" s="802" t="s">
        <v>1879</v>
      </c>
      <c r="I25" s="783" t="s">
        <v>679</v>
      </c>
      <c r="J25" s="53">
        <f ca="1">ROUND(J15*M25,0)</f>
        <v>0</v>
      </c>
      <c r="K25" s="1975" t="s">
        <v>680</v>
      </c>
      <c r="L25" s="783" t="s">
        <v>649</v>
      </c>
      <c r="M25" s="817">
        <f ca="1">INDIRECT("'数据-取费表'!Al"&amp;$G$1)</f>
        <v>0</v>
      </c>
      <c r="N25" s="2061"/>
      <c r="O25" s="2061"/>
      <c r="P25" s="2061"/>
      <c r="Q25" s="2061"/>
      <c r="R25" s="2061"/>
      <c r="S25" s="2061"/>
      <c r="T25" s="2061"/>
      <c r="U25" s="2061"/>
      <c r="V25" s="2061"/>
      <c r="W25" s="2061"/>
      <c r="X25" s="2061"/>
      <c r="Y25" s="2061"/>
    </row>
    <row r="26" spans="1:25" s="2062" customFormat="1" ht="18" customHeight="1">
      <c r="A26" s="802" t="s">
        <v>1850</v>
      </c>
      <c r="B26" s="783" t="s">
        <v>681</v>
      </c>
      <c r="C26" s="53">
        <f ca="1">ROUND(IF('数据-取费表'!B22&lt;=1,F23*F26*F25/2,F23*(POWER((1+F26),F25/2)-1)),4)</f>
        <v>1E-3</v>
      </c>
      <c r="D26" s="2569" t="str">
        <f>IF(F25&lt;=1,"销售费用×利率×(建设周期÷2)","销售费用×((1+利率)^(建设周期÷2)-1)")</f>
        <v>销售费用×((1+利率)^(建设周期÷2)-1)</v>
      </c>
      <c r="E26" s="783" t="s">
        <v>682</v>
      </c>
      <c r="F26" s="818">
        <f ca="1">'数据-取费表'!B40</f>
        <v>4.7500000000000001E-2</v>
      </c>
      <c r="G26" s="1592"/>
      <c r="H26" s="802" t="s">
        <v>1880</v>
      </c>
      <c r="I26" s="783" t="s">
        <v>666</v>
      </c>
      <c r="J26" s="53">
        <f ca="1">ROUND(J7*M26,0)</f>
        <v>0</v>
      </c>
      <c r="K26" s="1975" t="s">
        <v>683</v>
      </c>
      <c r="L26" s="783" t="s">
        <v>649</v>
      </c>
      <c r="M26" s="793">
        <f ca="1">INDIRECT("'数据-取费表'!Am"&amp;$G$1)</f>
        <v>0</v>
      </c>
      <c r="N26" s="2061"/>
      <c r="O26" s="2061"/>
      <c r="P26" s="2061"/>
      <c r="Q26" s="2061"/>
      <c r="R26" s="2061"/>
      <c r="S26" s="2061"/>
      <c r="T26" s="2061"/>
      <c r="U26" s="2061"/>
      <c r="V26" s="2061"/>
      <c r="W26" s="2061"/>
      <c r="X26" s="2061"/>
      <c r="Y26" s="2061"/>
    </row>
    <row r="27" spans="1:25" ht="18" customHeight="1">
      <c r="A27" s="802" t="s">
        <v>1882</v>
      </c>
      <c r="B27" s="783" t="s">
        <v>684</v>
      </c>
      <c r="C27" s="53"/>
      <c r="D27" s="260" t="s">
        <v>685</v>
      </c>
      <c r="E27" s="1980"/>
      <c r="F27" s="56"/>
      <c r="G27" s="1591"/>
      <c r="H27" s="796" t="s">
        <v>1829</v>
      </c>
      <c r="I27" s="3008" t="s">
        <v>2819</v>
      </c>
      <c r="J27" s="798">
        <f ca="1">J7-J18</f>
        <v>0</v>
      </c>
      <c r="K27" s="1977" t="s">
        <v>700</v>
      </c>
      <c r="L27" s="1979"/>
      <c r="M27" s="819"/>
    </row>
    <row r="28" spans="1:25" ht="18" customHeight="1">
      <c r="A28" s="802" t="s">
        <v>1876</v>
      </c>
      <c r="B28" s="783" t="s">
        <v>2436</v>
      </c>
      <c r="C28" s="53">
        <f ca="1">ROUND((C21+C22)*F28,0)</f>
        <v>0</v>
      </c>
      <c r="D28" s="811" t="s">
        <v>701</v>
      </c>
      <c r="E28" s="794" t="s">
        <v>702</v>
      </c>
      <c r="F28" s="793">
        <f ca="1">INDIRECT("'数据-取费表'!q"&amp;$G$1)</f>
        <v>0</v>
      </c>
      <c r="G28" s="1591"/>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91"/>
      <c r="H29" s="785"/>
      <c r="I29" s="786"/>
      <c r="J29" s="787"/>
      <c r="K29" s="820" t="s">
        <v>707</v>
      </c>
      <c r="L29" s="783" t="s">
        <v>708</v>
      </c>
      <c r="M29" s="821">
        <f ca="1">INDIRECT("'数据-取费表'!ag"&amp;$G$1)</f>
        <v>0</v>
      </c>
    </row>
    <row r="30" spans="1:25" s="2062" customFormat="1" ht="18" customHeight="1">
      <c r="A30" s="802" t="s">
        <v>1883</v>
      </c>
      <c r="B30" s="783" t="s">
        <v>687</v>
      </c>
      <c r="C30" s="53">
        <f>ROUND(F30/(1+'数据-取费表'!C42),4)</f>
        <v>5.2400000000000002E-2</v>
      </c>
      <c r="D30" s="811" t="s">
        <v>709</v>
      </c>
      <c r="E30" s="783" t="s">
        <v>649</v>
      </c>
      <c r="F30" s="808">
        <f>'数据-取费表'!B41</f>
        <v>5.5000000000000007E-2</v>
      </c>
      <c r="G30" s="1592"/>
      <c r="H30" s="789"/>
      <c r="I30" s="790"/>
      <c r="J30" s="791"/>
      <c r="K30" s="815"/>
      <c r="L30" s="783" t="s">
        <v>710</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58" t="s">
        <v>1884</v>
      </c>
      <c r="B31" s="2539" t="s">
        <v>2820</v>
      </c>
      <c r="C31" s="2542">
        <f ca="1">ROUND((C21+C22+C25+C28)/(1-F23-C26-C29-C30),0)</f>
        <v>0</v>
      </c>
      <c r="D31" s="2543"/>
      <c r="E31" s="2544"/>
      <c r="F31" s="2545"/>
      <c r="G31" s="1592"/>
      <c r="H31" s="822" t="s">
        <v>1873</v>
      </c>
      <c r="I31" s="3009" t="s">
        <v>2821</v>
      </c>
      <c r="J31" s="824">
        <f ca="1">ROUND(J28/(1+F45)^F46,0)</f>
        <v>0</v>
      </c>
      <c r="K31" s="825" t="s">
        <v>688</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1">
        <f ca="1">ROUND(C33+C38+C39+C40,0)</f>
        <v>0</v>
      </c>
      <c r="D32" s="1819" t="s">
        <v>652</v>
      </c>
      <c r="E32" s="2485"/>
      <c r="F32" s="2489"/>
      <c r="G32" s="2060"/>
      <c r="H32" s="2063"/>
      <c r="I32" s="2064"/>
      <c r="J32" s="2065"/>
      <c r="K32" s="2066"/>
      <c r="L32" s="2067"/>
      <c r="M32" s="2068"/>
    </row>
    <row r="33" spans="1:18" ht="18" customHeight="1">
      <c r="A33" s="802" t="s">
        <v>1877</v>
      </c>
      <c r="B33" s="783" t="s">
        <v>656</v>
      </c>
      <c r="C33" s="53">
        <f ca="1">ROUND(IF(项目基本情况!B11="自然人",C7*F33,C34+C35+C36),1)</f>
        <v>0</v>
      </c>
      <c r="D33" s="1977" t="s">
        <v>657</v>
      </c>
      <c r="E33" s="1975" t="s">
        <v>690</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1876</v>
      </c>
      <c r="B34" s="783" t="s">
        <v>660</v>
      </c>
      <c r="C34" s="53">
        <f ca="1">ROUND(C7*F34/1.05,1)</f>
        <v>0</v>
      </c>
      <c r="D34" s="1975" t="s">
        <v>661</v>
      </c>
      <c r="E34" s="783" t="s">
        <v>649</v>
      </c>
      <c r="F34" s="808">
        <f>'数据-取费表'!B41</f>
        <v>5.5000000000000007E-2</v>
      </c>
      <c r="G34" s="2060"/>
      <c r="H34" s="2069"/>
      <c r="I34" s="2070"/>
      <c r="J34" s="2071"/>
      <c r="K34" s="2072"/>
      <c r="L34" s="2073"/>
      <c r="M34" s="2074"/>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0"/>
      <c r="H35" s="2075"/>
      <c r="I35" s="2075"/>
      <c r="J35" s="2075"/>
      <c r="K35" s="2076"/>
      <c r="L35" s="2075"/>
      <c r="M35" s="2075"/>
    </row>
    <row r="36" spans="1:18" ht="18" customHeight="1">
      <c r="A36" s="812" t="s">
        <v>1881</v>
      </c>
      <c r="B36" s="340" t="s">
        <v>668</v>
      </c>
      <c r="C36" s="54">
        <f ca="1">ROUND(F36*F37/10000,1)</f>
        <v>0</v>
      </c>
      <c r="D36" s="813" t="s">
        <v>669</v>
      </c>
      <c r="E36" s="783" t="s">
        <v>670</v>
      </c>
      <c r="F36" s="639">
        <f>'数据-取费表'!B52</f>
        <v>1.5</v>
      </c>
      <c r="G36" s="2060"/>
      <c r="H36" s="2063"/>
      <c r="I36" s="3570"/>
      <c r="J36" s="2077"/>
      <c r="K36" s="2078"/>
      <c r="L36" s="2077"/>
      <c r="M36" s="2077"/>
    </row>
    <row r="37" spans="1:18" ht="18" customHeight="1">
      <c r="A37" s="814"/>
      <c r="B37" s="792"/>
      <c r="C37" s="69"/>
      <c r="D37" s="815"/>
      <c r="E37" s="783" t="s">
        <v>674</v>
      </c>
      <c r="F37" s="784">
        <f ca="1">INDIRECT("'数据-取费表'!r"&amp;$G$1)</f>
        <v>0</v>
      </c>
      <c r="G37" s="2060"/>
      <c r="H37" s="2063"/>
      <c r="I37" s="3570"/>
      <c r="J37" s="2075"/>
      <c r="K37" s="2076"/>
      <c r="L37" s="2075"/>
      <c r="M37" s="2075"/>
    </row>
    <row r="38" spans="1:18" ht="18" customHeight="1">
      <c r="A38" s="802" t="s">
        <v>1878</v>
      </c>
      <c r="B38" s="783" t="s">
        <v>676</v>
      </c>
      <c r="C38" s="53">
        <f ca="1">ROUND(C31*F38,1)</f>
        <v>0</v>
      </c>
      <c r="D38" s="1975" t="s">
        <v>691</v>
      </c>
      <c r="E38" s="783" t="s">
        <v>649</v>
      </c>
      <c r="F38" s="816">
        <f ca="1">INDIRECT("'数据-取费表'!Ak"&amp;$G$1)</f>
        <v>0</v>
      </c>
      <c r="G38" s="2060"/>
      <c r="H38" s="2075"/>
      <c r="I38" s="2079"/>
      <c r="J38" s="1986"/>
      <c r="K38" s="2080"/>
      <c r="L38" s="2075"/>
      <c r="M38" s="2075"/>
    </row>
    <row r="39" spans="1:18" ht="18" customHeight="1">
      <c r="A39" s="802" t="s">
        <v>1879</v>
      </c>
      <c r="B39" s="783" t="s">
        <v>679</v>
      </c>
      <c r="C39" s="53">
        <f ca="1">ROUND(C15*F39,1)</f>
        <v>0</v>
      </c>
      <c r="D39" s="1975" t="s">
        <v>680</v>
      </c>
      <c r="E39" s="783" t="s">
        <v>649</v>
      </c>
      <c r="F39" s="817">
        <f ca="1">INDIRECT("'数据-取费表'!Al"&amp;$G$1)</f>
        <v>0</v>
      </c>
      <c r="G39" s="2060"/>
      <c r="H39" s="2075"/>
      <c r="I39" s="2079"/>
      <c r="J39" s="1986"/>
      <c r="K39" s="2080"/>
      <c r="L39" s="2075"/>
      <c r="M39" s="2075"/>
    </row>
    <row r="40" spans="1:18" ht="18" customHeight="1" thickBot="1">
      <c r="A40" s="2558" t="s">
        <v>1880</v>
      </c>
      <c r="B40" s="2544" t="s">
        <v>666</v>
      </c>
      <c r="C40" s="2542">
        <f ca="1">ROUND(C7*F40,1)</f>
        <v>0</v>
      </c>
      <c r="D40" s="2543" t="s">
        <v>683</v>
      </c>
      <c r="E40" s="2544" t="s">
        <v>649</v>
      </c>
      <c r="F40" s="2540">
        <f ca="1">INDIRECT("'数据-取费表'!Am"&amp;$G$1)</f>
        <v>0</v>
      </c>
      <c r="G40" s="2060"/>
      <c r="H40" s="2075"/>
      <c r="I40" s="2079"/>
      <c r="J40" s="1986"/>
      <c r="K40" s="2081"/>
      <c r="L40" s="2075"/>
      <c r="M40" s="2075"/>
    </row>
    <row r="41" spans="1:18" ht="18" customHeight="1" thickTop="1">
      <c r="A41" s="1827">
        <v>4</v>
      </c>
      <c r="B41" s="1825" t="s">
        <v>692</v>
      </c>
      <c r="C41" s="1352"/>
      <c r="D41" s="1353"/>
      <c r="E41" s="1353"/>
      <c r="F41" s="1354"/>
      <c r="G41" s="2060"/>
      <c r="H41" s="2060"/>
      <c r="I41" s="2060"/>
      <c r="J41" s="2060"/>
      <c r="K41" s="2081"/>
      <c r="L41" s="2060"/>
      <c r="M41" s="2060"/>
    </row>
    <row r="42" spans="1:18" ht="18" customHeight="1">
      <c r="A42" s="802" t="s">
        <v>1877</v>
      </c>
      <c r="B42" s="834" t="s">
        <v>693</v>
      </c>
      <c r="C42" s="828">
        <f ca="1">C7-C32</f>
        <v>0</v>
      </c>
      <c r="D42" s="1977" t="s">
        <v>694</v>
      </c>
      <c r="E42" s="1979"/>
      <c r="F42" s="819"/>
      <c r="G42" s="2060"/>
      <c r="H42" s="2060"/>
      <c r="I42" s="2060"/>
      <c r="J42" s="2060"/>
      <c r="K42" s="2081"/>
      <c r="L42" s="2060"/>
      <c r="M42" s="2060"/>
    </row>
    <row r="43" spans="1:18" ht="18" customHeight="1">
      <c r="A43" s="802" t="s">
        <v>1878</v>
      </c>
      <c r="B43" s="834" t="s">
        <v>711</v>
      </c>
      <c r="C43" s="835">
        <f ca="1">ROUND(C15*F43,0)</f>
        <v>0</v>
      </c>
      <c r="D43" s="1355" t="s">
        <v>712</v>
      </c>
      <c r="E43" s="3117" t="s">
        <v>2950</v>
      </c>
      <c r="F43" s="3118">
        <f ca="1">INDIRECT("'数据-取费表'!j"&amp;$G$1)</f>
        <v>0</v>
      </c>
      <c r="G43" s="2060"/>
      <c r="H43" s="2060"/>
      <c r="I43" s="2060"/>
      <c r="J43" s="2060"/>
      <c r="K43" s="2081"/>
      <c r="L43" s="2060"/>
      <c r="M43" s="2060"/>
    </row>
    <row r="44" spans="1:18" ht="18" customHeight="1">
      <c r="A44" s="802" t="s">
        <v>1879</v>
      </c>
      <c r="B44" s="834" t="s">
        <v>713</v>
      </c>
      <c r="C44" s="1356">
        <f ca="1">C42-C43</f>
        <v>0</v>
      </c>
      <c r="D44" s="462" t="s">
        <v>714</v>
      </c>
      <c r="E44" s="463"/>
      <c r="F44" s="464"/>
      <c r="G44" s="2060"/>
      <c r="H44" s="2060"/>
      <c r="I44" s="2060"/>
      <c r="J44" s="2060"/>
      <c r="K44" s="2081"/>
      <c r="L44" s="2060"/>
      <c r="M44" s="2060"/>
    </row>
    <row r="45" spans="1:18" ht="18" customHeight="1">
      <c r="A45" s="802" t="s">
        <v>1880</v>
      </c>
      <c r="B45" s="1355" t="s">
        <v>715</v>
      </c>
      <c r="C45" s="3035">
        <f ca="1">ROUND(-PV(F45,F46,C44,0),0)</f>
        <v>0</v>
      </c>
      <c r="D45" s="1357" t="s">
        <v>716</v>
      </c>
      <c r="E45" s="805" t="s">
        <v>717</v>
      </c>
      <c r="F45" s="829">
        <f ca="1">INDIRECT("'数据-取费表'!h"&amp;$G$1)</f>
        <v>0</v>
      </c>
      <c r="G45" s="2060"/>
      <c r="H45" s="2060"/>
      <c r="I45" s="2060"/>
      <c r="J45" s="2060"/>
      <c r="K45" s="2081"/>
      <c r="L45" s="2060"/>
      <c r="M45" s="2060"/>
    </row>
    <row r="46" spans="1:18" ht="18" customHeight="1" thickBot="1">
      <c r="A46" s="830"/>
      <c r="B46" s="1358"/>
      <c r="C46" s="1359"/>
      <c r="D46" s="1360"/>
      <c r="E46" s="3119" t="s">
        <v>2953</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2341</v>
      </c>
      <c r="J47" s="2377"/>
      <c r="K47" s="2378"/>
      <c r="L47" s="3155" t="str">
        <f ca="1">IF(M48="住宅",0,IF(L49&gt;J52,L61,J61))</f>
        <v>0</v>
      </c>
      <c r="O47" s="2392" t="s">
        <v>2408</v>
      </c>
      <c r="P47" s="1591"/>
      <c r="Q47" s="1603"/>
      <c r="R47" s="1591"/>
    </row>
    <row r="48" spans="1:18" s="2057" customFormat="1" ht="18" customHeight="1" thickBot="1">
      <c r="A48" s="2082"/>
      <c r="C48" s="2085"/>
      <c r="D48" s="2086"/>
      <c r="E48" s="2086"/>
      <c r="F48" s="2087"/>
      <c r="G48" s="2088"/>
      <c r="I48" s="3145" t="s">
        <v>2342</v>
      </c>
      <c r="J48" s="2379"/>
      <c r="K48" s="3152" t="s">
        <v>2347</v>
      </c>
      <c r="L48" s="3156">
        <f ca="1">INDIRECT("'数据-取费表'!d"&amp;$G$1)</f>
        <v>0</v>
      </c>
      <c r="M48" s="3116" t="str">
        <f>IF(ISNUMBER(FIND("住宅",C1)),"住宅","非住宅")</f>
        <v>非住宅</v>
      </c>
      <c r="O48" s="2393" t="s">
        <v>2373</v>
      </c>
      <c r="P48" s="2394" t="s">
        <v>2374</v>
      </c>
      <c r="Q48" s="2395" t="s">
        <v>2375</v>
      </c>
      <c r="R48" s="2394" t="s">
        <v>2376</v>
      </c>
    </row>
    <row r="49" spans="1:18" s="2057" customFormat="1" ht="18" customHeight="1" thickBot="1">
      <c r="A49" s="2082"/>
      <c r="D49" s="2089"/>
      <c r="E49" s="2090"/>
      <c r="F49" s="2087"/>
      <c r="G49" s="2088"/>
      <c r="H49" s="2091"/>
      <c r="I49" s="3121" t="s">
        <v>2343</v>
      </c>
      <c r="J49" s="2380"/>
      <c r="K49" s="3153" t="s">
        <v>2349</v>
      </c>
      <c r="L49" s="1906">
        <f ca="1">INDIRECT("'数据-取费表'!f"&amp;$G$1)</f>
        <v>0</v>
      </c>
      <c r="O49" s="2396" t="s">
        <v>2377</v>
      </c>
      <c r="P49" s="2397" t="s">
        <v>2403</v>
      </c>
      <c r="Q49" s="2398">
        <f ca="1">C41+J31</f>
        <v>0</v>
      </c>
      <c r="R49" s="2397" t="s">
        <v>2378</v>
      </c>
    </row>
    <row r="50" spans="1:18" s="2057" customFormat="1" ht="18" customHeight="1" thickBot="1">
      <c r="A50" s="2082"/>
      <c r="D50" s="2092"/>
      <c r="E50" s="2092"/>
      <c r="F50" s="2086"/>
      <c r="G50" s="2093"/>
      <c r="H50" s="2091"/>
      <c r="I50" s="3121" t="s">
        <v>2344</v>
      </c>
      <c r="J50" s="2381"/>
      <c r="K50" s="3154" t="s">
        <v>2350</v>
      </c>
      <c r="L50" s="2382"/>
      <c r="O50" s="2396" t="s">
        <v>2379</v>
      </c>
      <c r="P50" s="2397" t="s">
        <v>2404</v>
      </c>
      <c r="Q50" s="2398" t="str">
        <f ca="1">J61</f>
        <v>0</v>
      </c>
      <c r="R50" s="2397" t="s">
        <v>2380</v>
      </c>
    </row>
    <row r="51" spans="1:18" s="2057" customFormat="1" ht="18" customHeight="1" thickBot="1">
      <c r="A51" s="2094"/>
      <c r="D51" s="2092"/>
      <c r="E51" s="2092"/>
      <c r="F51" s="2083"/>
      <c r="H51" s="2091"/>
      <c r="I51" s="3121" t="s">
        <v>2345</v>
      </c>
      <c r="J51" s="3149">
        <f>SUMPRODUCT((I64:I66=J48)*(J63:L63=J49)*(J64:L66))</f>
        <v>0</v>
      </c>
      <c r="K51" s="3154" t="s">
        <v>2351</v>
      </c>
      <c r="L51" s="2382"/>
      <c r="O51" s="2399" t="s">
        <v>2381</v>
      </c>
      <c r="P51" s="2397" t="s">
        <v>2405</v>
      </c>
      <c r="Q51" s="2398">
        <f ca="1">C31</f>
        <v>0</v>
      </c>
      <c r="R51" s="2397" t="s">
        <v>2378</v>
      </c>
    </row>
    <row r="52" spans="1:18" s="2057" customFormat="1" ht="18" customHeight="1" thickBot="1">
      <c r="A52" s="2094"/>
      <c r="F52" s="2083"/>
      <c r="I52" s="3146" t="s">
        <v>2346</v>
      </c>
      <c r="J52" s="3150">
        <f>IF(J50="",J51,J50+J51-YEAR('数据-取费表'!B3))</f>
        <v>0</v>
      </c>
      <c r="K52" s="3121" t="s">
        <v>2352</v>
      </c>
      <c r="L52" s="3157">
        <f ca="1">ROUND(-PV(INDIRECT("'数据-取费表'!h"&amp;$G$1),L49,(C40-C14*J36),0),0)</f>
        <v>0</v>
      </c>
      <c r="O52" s="2399" t="s">
        <v>2382</v>
      </c>
      <c r="P52" s="2397" t="s">
        <v>2383</v>
      </c>
      <c r="Q52" s="2400" t="e">
        <f ca="1">J59</f>
        <v>#VALUE!</v>
      </c>
      <c r="R52" s="2401"/>
    </row>
    <row r="53" spans="1:18" s="2057" customFormat="1" ht="18" customHeight="1" thickBot="1">
      <c r="A53" s="2094"/>
      <c r="F53" s="2083"/>
      <c r="I53" s="3147" t="s">
        <v>2419</v>
      </c>
      <c r="J53" s="2383"/>
      <c r="K53" s="3147" t="s">
        <v>2418</v>
      </c>
      <c r="L53" s="2383"/>
      <c r="O53" s="2399" t="s">
        <v>2384</v>
      </c>
      <c r="P53" s="2397" t="s">
        <v>2385</v>
      </c>
      <c r="Q53" s="2400">
        <f>J53</f>
        <v>0</v>
      </c>
      <c r="R53" s="2401"/>
    </row>
    <row r="54" spans="1:18" s="2057" customFormat="1" ht="29.25" thickBot="1">
      <c r="A54" s="2094"/>
      <c r="I54" s="3148" t="s">
        <v>2967</v>
      </c>
      <c r="J54" s="3151">
        <f ca="1">IF(M48="住宅",MAX(J52,L49-'数据-取费表'!B20),MIN(J52,L49-'数据-取费表'!B20))</f>
        <v>-2</v>
      </c>
      <c r="K54" s="3575"/>
      <c r="L54" s="3576"/>
      <c r="O54" s="2399" t="s">
        <v>2386</v>
      </c>
      <c r="P54" s="2397" t="s">
        <v>2387</v>
      </c>
      <c r="Q54" s="2398">
        <f ca="1">J54</f>
        <v>-2</v>
      </c>
      <c r="R54" s="2397" t="s">
        <v>2388</v>
      </c>
    </row>
    <row r="55" spans="1:18" s="2057" customFormat="1" ht="18" customHeight="1" thickBot="1">
      <c r="A55" s="2094"/>
      <c r="I55" s="31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8"/>
      <c r="K55" s="3159"/>
      <c r="O55" s="2396" t="s">
        <v>2389</v>
      </c>
      <c r="P55" s="2397" t="s">
        <v>2406</v>
      </c>
      <c r="Q55" s="2398">
        <f ca="1">Q49+Q50</f>
        <v>0</v>
      </c>
      <c r="R55" s="2401" t="s">
        <v>2390</v>
      </c>
    </row>
    <row r="56" spans="1:18" s="2057" customFormat="1" ht="16.5" thickBot="1">
      <c r="A56" s="2094"/>
      <c r="B56" s="2095"/>
      <c r="C56" s="2095"/>
      <c r="I56" s="3160" t="s">
        <v>2353</v>
      </c>
      <c r="J56" s="3096" t="e">
        <f ca="1">ROUND(IF(J48="钢混",J58/J51,1-(1-2%)*(J51-J58)/J51),3)</f>
        <v>#VALUE!</v>
      </c>
      <c r="K56" s="3161" t="s">
        <v>2354</v>
      </c>
      <c r="L56" s="2384"/>
      <c r="O56" s="2402" t="s">
        <v>2409</v>
      </c>
      <c r="P56" s="1591"/>
      <c r="Q56" s="1603"/>
      <c r="R56" s="1591"/>
    </row>
    <row r="57" spans="1:18" s="2057" customFormat="1" ht="43.5" thickBot="1">
      <c r="A57" s="2094"/>
      <c r="B57" s="2095"/>
      <c r="C57" s="2095"/>
      <c r="I57" s="3162" t="s">
        <v>2355</v>
      </c>
      <c r="J57" s="3172" t="s">
        <v>1679</v>
      </c>
      <c r="K57" s="3121" t="s">
        <v>2360</v>
      </c>
      <c r="L57" s="1906">
        <f ca="1">IF(L49&lt;J52,"——",L49-J52)</f>
        <v>0</v>
      </c>
      <c r="O57" s="2393" t="s">
        <v>2373</v>
      </c>
      <c r="P57" s="2394" t="s">
        <v>2374</v>
      </c>
      <c r="Q57" s="2395" t="s">
        <v>2375</v>
      </c>
      <c r="R57" s="2394" t="s">
        <v>2376</v>
      </c>
    </row>
    <row r="58" spans="1:18" s="2057" customFormat="1" ht="29.25" thickBot="1">
      <c r="A58" s="2094"/>
      <c r="B58" s="2095"/>
      <c r="C58" s="2095"/>
      <c r="I58" s="3163" t="s">
        <v>2356</v>
      </c>
      <c r="J58" s="3164" t="str">
        <f ca="1">IF(OR(M48="住宅",J52&lt;L49,J57="是"),"——",J52-L49)</f>
        <v>——</v>
      </c>
      <c r="K58" s="3121" t="s">
        <v>2361</v>
      </c>
      <c r="L58" s="1906">
        <f ca="1">IF(L49&lt;J52,"——",IF(L56="比较法",L50,IF(L56="基准地价",L51,L52)))</f>
        <v>0</v>
      </c>
      <c r="O58" s="2396" t="s">
        <v>2377</v>
      </c>
      <c r="P58" s="2397" t="s">
        <v>2403</v>
      </c>
      <c r="Q58" s="2398">
        <f ca="1">C41+J31</f>
        <v>0</v>
      </c>
      <c r="R58" s="2397" t="s">
        <v>2378</v>
      </c>
    </row>
    <row r="59" spans="1:18" s="2057" customFormat="1" ht="29.25" thickBot="1">
      <c r="A59" s="2094"/>
      <c r="B59" s="2095"/>
      <c r="C59" s="2095"/>
      <c r="I59" s="3163" t="s">
        <v>2357</v>
      </c>
      <c r="J59" s="3097" t="e">
        <f ca="1">IF(J56&lt;0.4,0.4,J56)</f>
        <v>#VALUE!</v>
      </c>
      <c r="K59" s="3121" t="s">
        <v>2362</v>
      </c>
      <c r="L59" s="1906">
        <f ca="1">IF(ISERROR(POWER(1+L53,L48-L49)*(POWER(1+L53,L49)-1)/(POWER(1+L53,L48)-1)),0,POWER(1+L53,L48-L49)*(POWER(1+L53,L49)-1)/(POWER(1+L53,L48)-1))</f>
        <v>0</v>
      </c>
      <c r="O59" s="2396" t="s">
        <v>2379</v>
      </c>
      <c r="P59" s="2397" t="s">
        <v>2410</v>
      </c>
      <c r="Q59" s="2398" t="e">
        <f ca="1">L61</f>
        <v>#DIV/0!</v>
      </c>
      <c r="R59" s="2401" t="s">
        <v>2412</v>
      </c>
    </row>
    <row r="60" spans="1:18" s="2057" customFormat="1" ht="29.25" thickBot="1">
      <c r="A60" s="2094"/>
      <c r="B60" s="2095"/>
      <c r="C60" s="2095"/>
      <c r="I60" s="3163" t="s">
        <v>2358</v>
      </c>
      <c r="J60" s="3164" t="str">
        <f ca="1">IF(OR(M48="住宅",J52&lt;L49,J57="是"),"——",ROUND(C30*J59,0))</f>
        <v>——</v>
      </c>
      <c r="K60" s="3121" t="s">
        <v>2363</v>
      </c>
      <c r="L60" s="1906">
        <f ca="1">IF(ISERROR(POWER(1+L53,L48-J52)*(POWER(1+L53,J52)-1)/(POWER(1+L53,L48)-1)),0,POWER(1+L53,L48-J52)*(POWER(1+L53,J52)-1)/(POWER(1+L53,L48)-1))</f>
        <v>0</v>
      </c>
      <c r="O60" s="2399" t="s">
        <v>2381</v>
      </c>
      <c r="P60" s="2397" t="s">
        <v>2411</v>
      </c>
      <c r="Q60" s="2398">
        <f>IF(L56="比较法",L50,IF(L56="基准地价",L51,0))</f>
        <v>0</v>
      </c>
      <c r="R60" s="2397" t="s">
        <v>2378</v>
      </c>
    </row>
    <row r="61" spans="1:18" s="2057" customFormat="1" ht="15.75" thickBot="1">
      <c r="A61" s="2094"/>
      <c r="B61" s="2095"/>
      <c r="C61" s="2095"/>
      <c r="I61" s="3165" t="s">
        <v>2359</v>
      </c>
      <c r="J61" s="3166" t="str">
        <f ca="1">IF(OR(M48="住宅",J52&lt;L49,J57="是"),"0",ROUND(J60/(1+J53)^J54,0))</f>
        <v>0</v>
      </c>
      <c r="K61" s="3167" t="s">
        <v>2364</v>
      </c>
      <c r="L61" s="3166" t="e">
        <f ca="1">IF(OR(M48="住宅",L49&lt;J52),0,ROUND(L58*(L59/L60-1),0))</f>
        <v>#DIV/0!</v>
      </c>
      <c r="O61" s="2399" t="s">
        <v>2382</v>
      </c>
      <c r="P61" s="2397" t="s">
        <v>2391</v>
      </c>
      <c r="Q61" s="2400">
        <f>L53</f>
        <v>0</v>
      </c>
      <c r="R61" s="2401"/>
    </row>
    <row r="62" spans="1:18" s="2057" customFormat="1" ht="20.25" thickBot="1">
      <c r="A62" s="2094"/>
      <c r="B62" s="2095"/>
      <c r="C62" s="2095"/>
      <c r="K62" s="2084"/>
      <c r="O62" s="2399" t="s">
        <v>2384</v>
      </c>
      <c r="P62" s="2397" t="s">
        <v>2392</v>
      </c>
      <c r="Q62" s="2398">
        <f ca="1">L59</f>
        <v>0</v>
      </c>
      <c r="R62" s="2401" t="s">
        <v>2393</v>
      </c>
    </row>
    <row r="63" spans="1:18" s="2057" customFormat="1" ht="20.25" thickBot="1">
      <c r="A63" s="2094"/>
      <c r="B63" s="2095"/>
      <c r="C63" s="2095"/>
      <c r="I63" s="3168" t="s">
        <v>2365</v>
      </c>
      <c r="J63" s="3169" t="s">
        <v>2366</v>
      </c>
      <c r="K63" s="3169" t="s">
        <v>2367</v>
      </c>
      <c r="L63" s="3169" t="s">
        <v>2348</v>
      </c>
      <c r="M63" s="3170" t="s">
        <v>2930</v>
      </c>
      <c r="O63" s="2399" t="s">
        <v>2386</v>
      </c>
      <c r="P63" s="2397" t="s">
        <v>2394</v>
      </c>
      <c r="Q63" s="2398">
        <f ca="1">L60</f>
        <v>0</v>
      </c>
      <c r="R63" s="2401" t="s">
        <v>2395</v>
      </c>
    </row>
    <row r="64" spans="1:18" s="2057" customFormat="1" ht="15.75" thickBot="1">
      <c r="A64" s="2094"/>
      <c r="B64" s="2095"/>
      <c r="C64" s="2095"/>
      <c r="I64" s="3168" t="s">
        <v>2368</v>
      </c>
      <c r="J64" s="3169">
        <v>70</v>
      </c>
      <c r="K64" s="3169">
        <v>50</v>
      </c>
      <c r="L64" s="3169">
        <v>80</v>
      </c>
      <c r="M64" s="3171">
        <v>0.02</v>
      </c>
      <c r="O64" s="2396" t="s">
        <v>2389</v>
      </c>
      <c r="P64" s="2397" t="s">
        <v>2406</v>
      </c>
      <c r="Q64" s="2398" t="e">
        <f ca="1">Q58+Q59</f>
        <v>#DIV/0!</v>
      </c>
      <c r="R64" s="2401" t="s">
        <v>2390</v>
      </c>
    </row>
    <row r="65" spans="1:18" s="2057" customFormat="1" ht="16.5" thickBot="1">
      <c r="A65" s="2094"/>
      <c r="B65" s="2095"/>
      <c r="C65" s="2095"/>
      <c r="I65" s="3168" t="s">
        <v>2369</v>
      </c>
      <c r="J65" s="3169">
        <v>50</v>
      </c>
      <c r="K65" s="3169">
        <v>35</v>
      </c>
      <c r="L65" s="3169">
        <v>60</v>
      </c>
      <c r="M65" s="845">
        <v>0</v>
      </c>
      <c r="O65" s="2402" t="s">
        <v>2413</v>
      </c>
      <c r="P65" s="1591"/>
      <c r="Q65" s="1603"/>
      <c r="R65" s="1591"/>
    </row>
    <row r="66" spans="1:18" s="2057" customFormat="1" ht="15.75" thickBot="1">
      <c r="A66" s="2094"/>
      <c r="B66" s="2095"/>
      <c r="C66" s="2095"/>
      <c r="I66" s="3168" t="s">
        <v>2370</v>
      </c>
      <c r="J66" s="3169">
        <v>40</v>
      </c>
      <c r="K66" s="3169">
        <v>30</v>
      </c>
      <c r="L66" s="3169">
        <v>50</v>
      </c>
      <c r="M66" s="3171">
        <v>0.02</v>
      </c>
      <c r="O66" s="2393" t="s">
        <v>2373</v>
      </c>
      <c r="P66" s="2394" t="s">
        <v>2374</v>
      </c>
      <c r="Q66" s="2395" t="s">
        <v>2375</v>
      </c>
      <c r="R66" s="2394" t="s">
        <v>2376</v>
      </c>
    </row>
    <row r="67" spans="1:18" s="2057" customFormat="1" ht="15.75" thickBot="1">
      <c r="A67" s="2094"/>
      <c r="B67" s="2095"/>
      <c r="C67" s="2095"/>
      <c r="K67" s="2084"/>
      <c r="O67" s="2396" t="s">
        <v>2377</v>
      </c>
      <c r="P67" s="2397" t="s">
        <v>2403</v>
      </c>
      <c r="Q67" s="2398">
        <f ca="1">C41+J31</f>
        <v>0</v>
      </c>
      <c r="R67" s="2397" t="s">
        <v>2378</v>
      </c>
    </row>
    <row r="68" spans="1:18" s="2057" customFormat="1" ht="20.25" thickBot="1">
      <c r="A68" s="2094"/>
      <c r="B68" s="2095"/>
      <c r="C68" s="2095"/>
      <c r="K68" s="2084"/>
      <c r="O68" s="2396" t="s">
        <v>2379</v>
      </c>
      <c r="P68" s="2397" t="s">
        <v>2410</v>
      </c>
      <c r="Q68" s="2398" t="e">
        <f ca="1">L61</f>
        <v>#DIV/0!</v>
      </c>
      <c r="R68" s="2401" t="s">
        <v>2412</v>
      </c>
    </row>
    <row r="69" spans="1:18" s="2057" customFormat="1" ht="21.75" thickBot="1">
      <c r="A69" s="2094"/>
      <c r="B69" s="2095"/>
      <c r="C69" s="2095"/>
      <c r="K69" s="2084"/>
      <c r="O69" s="2399" t="s">
        <v>2381</v>
      </c>
      <c r="P69" s="2397" t="s">
        <v>2411</v>
      </c>
      <c r="Q69" s="2403">
        <f ca="1">L52</f>
        <v>0</v>
      </c>
      <c r="R69" s="2404" t="s">
        <v>2414</v>
      </c>
    </row>
    <row r="70" spans="1:18" s="2057" customFormat="1" ht="20.25" thickBot="1">
      <c r="A70" s="2094"/>
      <c r="B70" s="2095"/>
      <c r="C70" s="2095"/>
      <c r="K70" s="2084"/>
      <c r="O70" s="2399" t="s">
        <v>2382</v>
      </c>
      <c r="P70" s="2405" t="s">
        <v>2396</v>
      </c>
      <c r="Q70" s="2398">
        <f ca="1">ROUND(Q71-Q72*Q73,0)</f>
        <v>0</v>
      </c>
      <c r="R70" s="2401"/>
    </row>
    <row r="71" spans="1:18" s="2057" customFormat="1" ht="15.75" thickBot="1">
      <c r="A71" s="2094"/>
      <c r="B71" s="2095"/>
      <c r="C71" s="2095"/>
      <c r="K71" s="2084"/>
      <c r="O71" s="2399" t="s">
        <v>2397</v>
      </c>
      <c r="P71" s="2405" t="s">
        <v>2398</v>
      </c>
      <c r="Q71" s="2398">
        <f ca="1">C42</f>
        <v>0</v>
      </c>
      <c r="R71" s="2397" t="s">
        <v>2378</v>
      </c>
    </row>
    <row r="72" spans="1:18" s="2057" customFormat="1" ht="15.75" thickBot="1">
      <c r="A72" s="2094"/>
      <c r="B72" s="2095"/>
      <c r="C72" s="2095"/>
      <c r="K72" s="2084"/>
      <c r="O72" s="2399" t="s">
        <v>2399</v>
      </c>
      <c r="P72" s="2405" t="s">
        <v>2400</v>
      </c>
      <c r="Q72" s="2398">
        <f ca="1">C15</f>
        <v>0</v>
      </c>
      <c r="R72" s="2397" t="s">
        <v>2378</v>
      </c>
    </row>
    <row r="73" spans="1:18" s="2057" customFormat="1" ht="15.75" thickBot="1">
      <c r="A73" s="2094"/>
      <c r="B73" s="2095"/>
      <c r="C73" s="2095"/>
      <c r="K73" s="2084"/>
      <c r="O73" s="2399" t="s">
        <v>2401</v>
      </c>
      <c r="P73" s="2405" t="s">
        <v>2402</v>
      </c>
      <c r="Q73" s="2400">
        <f ca="1">F43</f>
        <v>0</v>
      </c>
      <c r="R73" s="2401"/>
    </row>
    <row r="74" spans="1:18" s="2057" customFormat="1" ht="15.75" thickBot="1">
      <c r="A74" s="2094"/>
      <c r="B74" s="2095"/>
      <c r="C74" s="2095"/>
      <c r="K74" s="2084"/>
      <c r="O74" s="2399" t="s">
        <v>2384</v>
      </c>
      <c r="P74" s="2397" t="s">
        <v>2391</v>
      </c>
      <c r="Q74" s="2400">
        <f>L53</f>
        <v>0</v>
      </c>
      <c r="R74" s="2401"/>
    </row>
    <row r="75" spans="1:18" s="2057" customFormat="1" ht="20.25" thickBot="1">
      <c r="A75" s="2094"/>
      <c r="B75" s="2095"/>
      <c r="C75" s="2095"/>
      <c r="K75" s="2084"/>
      <c r="O75" s="2399" t="s">
        <v>2386</v>
      </c>
      <c r="P75" s="2397" t="s">
        <v>2392</v>
      </c>
      <c r="Q75" s="2398">
        <f ca="1">L59</f>
        <v>0</v>
      </c>
      <c r="R75" s="2401" t="s">
        <v>2393</v>
      </c>
    </row>
    <row r="76" spans="1:18" s="2057" customFormat="1" ht="20.25" thickBot="1">
      <c r="A76" s="2094"/>
      <c r="B76" s="2095"/>
      <c r="C76" s="2095"/>
      <c r="K76" s="2084"/>
      <c r="O76" s="2399" t="s">
        <v>2415</v>
      </c>
      <c r="P76" s="2397" t="s">
        <v>2394</v>
      </c>
      <c r="Q76" s="2398">
        <f ca="1">L60</f>
        <v>0</v>
      </c>
      <c r="R76" s="2401" t="s">
        <v>2395</v>
      </c>
    </row>
    <row r="77" spans="1:18" s="2057" customFormat="1" ht="15.75" thickBot="1">
      <c r="A77" s="2094"/>
      <c r="B77" s="2095"/>
      <c r="C77" s="2095"/>
      <c r="K77" s="2084"/>
      <c r="O77" s="2396" t="s">
        <v>2389</v>
      </c>
      <c r="P77" s="2397" t="s">
        <v>2406</v>
      </c>
      <c r="Q77" s="2398" t="e">
        <f ca="1">Q67+Q68</f>
        <v>#DIV/0!</v>
      </c>
      <c r="R77" s="2401" t="s">
        <v>2390</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15" priority="6">
      <formula>$F$12="自定义"</formula>
    </cfRule>
  </conditionalFormatting>
  <conditionalFormatting sqref="J13">
    <cfRule type="expression" dxfId="114" priority="5">
      <formula>$M$10="自定义"</formula>
    </cfRule>
  </conditionalFormatting>
  <conditionalFormatting sqref="K56">
    <cfRule type="expression" dxfId="113" priority="3">
      <formula>$L$48&gt;$J$51</formula>
    </cfRule>
  </conditionalFormatting>
  <conditionalFormatting sqref="I56">
    <cfRule type="expression" dxfId="112" priority="4">
      <formula>$J$51&gt;$L$48</formula>
    </cfRule>
  </conditionalFormatting>
  <conditionalFormatting sqref="I61">
    <cfRule type="expression" dxfId="111" priority="2">
      <formula>$J$51&gt;$L$48</formula>
    </cfRule>
  </conditionalFormatting>
  <conditionalFormatting sqref="K61">
    <cfRule type="expression" dxfId="11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G32" sqref="G32:G35"/>
    </sheetView>
  </sheetViews>
  <sheetFormatPr defaultRowHeight="12.75"/>
  <cols>
    <col min="1" max="1" width="9" style="2661"/>
    <col min="2" max="6" width="9" style="2661" customWidth="1"/>
    <col min="7" max="7" width="9" style="2677" customWidth="1"/>
    <col min="8" max="12" width="9" style="2661" customWidth="1"/>
    <col min="13" max="13" width="2.25" style="2661" customWidth="1"/>
    <col min="14" max="14" width="9" style="2677" customWidth="1"/>
    <col min="15" max="17" width="9" style="2661" customWidth="1"/>
    <col min="18" max="18" width="2.375" style="2661" customWidth="1"/>
    <col min="19" max="19" width="7.125" style="2677" customWidth="1"/>
    <col min="20" max="22" width="7.125" style="2661" customWidth="1"/>
    <col min="23" max="23" width="24" style="2661" customWidth="1"/>
    <col min="24" max="25" width="9" style="2661"/>
    <col min="26" max="27" width="11.625" style="2661" customWidth="1"/>
    <col min="28" max="28" width="9" style="2661"/>
    <col min="29" max="29" width="2" style="2661" customWidth="1"/>
    <col min="30" max="16384" width="9" style="2661"/>
  </cols>
  <sheetData>
    <row r="1" spans="1:34" s="2651" customFormat="1">
      <c r="B1" s="3579" t="s">
        <v>2574</v>
      </c>
      <c r="C1" s="3579"/>
      <c r="D1" s="3579"/>
      <c r="E1" s="3579"/>
      <c r="F1" s="3579"/>
      <c r="G1" s="3578" t="s">
        <v>2575</v>
      </c>
      <c r="H1" s="3578"/>
      <c r="I1" s="3578"/>
      <c r="J1" s="3578"/>
      <c r="K1" s="3578"/>
      <c r="L1" s="3578"/>
      <c r="N1" s="3578" t="s">
        <v>2576</v>
      </c>
      <c r="O1" s="3578"/>
      <c r="P1" s="3578"/>
      <c r="Q1" s="3578"/>
      <c r="R1" s="2652"/>
      <c r="S1" s="3578" t="s">
        <v>2577</v>
      </c>
      <c r="T1" s="3578"/>
      <c r="U1" s="3578"/>
      <c r="V1" s="3578"/>
      <c r="X1" s="3577" t="s">
        <v>2637</v>
      </c>
      <c r="Y1" s="3578"/>
      <c r="Z1" s="3578"/>
      <c r="AA1" s="3578"/>
      <c r="AB1" s="3578"/>
      <c r="AD1" s="3577" t="s">
        <v>2641</v>
      </c>
      <c r="AE1" s="3578"/>
      <c r="AF1" s="3578"/>
      <c r="AG1" s="3578"/>
      <c r="AH1" s="3578"/>
    </row>
    <row r="2" spans="1:34" s="2754" customFormat="1" ht="14.25" thickBot="1">
      <c r="B2" s="2762" t="s">
        <v>2578</v>
      </c>
      <c r="C2" s="2762" t="s">
        <v>2639</v>
      </c>
      <c r="D2" s="2755" t="s">
        <v>1645</v>
      </c>
      <c r="E2" s="2755" t="s">
        <v>1952</v>
      </c>
      <c r="F2" s="2762" t="s">
        <v>2640</v>
      </c>
      <c r="G2" s="2758"/>
      <c r="H2" s="2757"/>
      <c r="I2" s="2762" t="s">
        <v>2944</v>
      </c>
      <c r="J2" s="2755" t="s">
        <v>2946</v>
      </c>
      <c r="K2" s="2755" t="s">
        <v>2947</v>
      </c>
      <c r="L2" s="2762" t="s">
        <v>2948</v>
      </c>
      <c r="N2" s="2762" t="s">
        <v>2578</v>
      </c>
      <c r="O2" s="2755" t="s">
        <v>2945</v>
      </c>
      <c r="P2" s="2755" t="s">
        <v>1952</v>
      </c>
      <c r="Q2" s="2762" t="s">
        <v>2640</v>
      </c>
      <c r="R2" s="2756"/>
      <c r="S2" s="2762" t="s">
        <v>2578</v>
      </c>
      <c r="T2" s="2755" t="s">
        <v>2945</v>
      </c>
      <c r="U2" s="2755" t="s">
        <v>1952</v>
      </c>
      <c r="V2" s="2762" t="s">
        <v>2640</v>
      </c>
      <c r="X2" s="2762" t="s">
        <v>2578</v>
      </c>
      <c r="Y2" s="2762" t="s">
        <v>2639</v>
      </c>
      <c r="Z2" s="2755" t="s">
        <v>1645</v>
      </c>
      <c r="AA2" s="2755" t="s">
        <v>1952</v>
      </c>
      <c r="AB2" s="2762" t="s">
        <v>2640</v>
      </c>
      <c r="AD2" s="2762" t="s">
        <v>2578</v>
      </c>
      <c r="AE2" s="2762" t="s">
        <v>2639</v>
      </c>
      <c r="AF2" s="2755" t="s">
        <v>1645</v>
      </c>
      <c r="AG2" s="2755" t="s">
        <v>1952</v>
      </c>
      <c r="AH2" s="2762" t="s">
        <v>2640</v>
      </c>
    </row>
    <row r="3" spans="1:34" s="3129" customFormat="1" ht="14.25">
      <c r="A3" s="3141" t="s">
        <v>2957</v>
      </c>
      <c r="B3" s="3130"/>
      <c r="C3" s="3130"/>
      <c r="D3" s="3131"/>
      <c r="E3" s="3131"/>
      <c r="F3" s="3130"/>
      <c r="G3" s="3132"/>
      <c r="H3" s="3133"/>
      <c r="I3" s="3140">
        <f>ROUND(AVERAGE($I8:$I23),2)</f>
        <v>2.4500000000000002</v>
      </c>
      <c r="J3" s="3140">
        <f>ROUND(AVERAGE($J8:$J23),2)</f>
        <v>1.65</v>
      </c>
      <c r="K3" s="3140">
        <f>ROUND(AVERAGE($K8:$K23),2)</f>
        <v>2.71</v>
      </c>
      <c r="L3" s="3140">
        <f>ROUND(AVERAGE($L8:$L23),2)</f>
        <v>1.39</v>
      </c>
      <c r="N3" s="3132"/>
      <c r="O3" s="3134"/>
      <c r="P3" s="3134"/>
      <c r="Q3" s="3134"/>
      <c r="R3" s="3134"/>
      <c r="S3" s="3132"/>
      <c r="T3" s="3134"/>
      <c r="U3" s="3134"/>
      <c r="V3" s="3134"/>
      <c r="W3" s="3137"/>
      <c r="X3" s="3135">
        <f>ROUND(SUMPRODUCT(PRODUCT(1+N3:N$22)),4)</f>
        <v>1.4733000000000001</v>
      </c>
      <c r="Y3" s="3135">
        <f>ROUND(SUMPRODUCT(PRODUCT(1+O3:O$22)),4)</f>
        <v>1.3052999999999999</v>
      </c>
      <c r="Z3" s="3135">
        <f t="shared" ref="Z3:Z20" si="0">Y3</f>
        <v>1.3052999999999999</v>
      </c>
      <c r="AA3" s="3135">
        <f>ROUND(SUMPRODUCT(PRODUCT(1+P3:P$22)),4)</f>
        <v>1.5306999999999999</v>
      </c>
      <c r="AB3" s="3135">
        <f>ROUND(SUMPRODUCT(PRODUCT(1+Q3:Q$22)),4)</f>
        <v>1.2863</v>
      </c>
      <c r="AD3" s="3136">
        <f>ROUND(AVERAGE(I3:I$23)/100,4)</f>
        <v>2.24E-2</v>
      </c>
      <c r="AE3" s="3136">
        <f>ROUND(AVERAGE(J3:J$23)/100,4)</f>
        <v>1.54E-2</v>
      </c>
      <c r="AF3" s="3136">
        <f t="shared" ref="AF3:AF21" si="1">AE3</f>
        <v>1.54E-2</v>
      </c>
      <c r="AG3" s="3136">
        <f>ROUND(AVERAGE(K3:K$23)/100,4)</f>
        <v>2.47E-2</v>
      </c>
      <c r="AH3" s="3136">
        <f>ROUND(AVERAGE(L3:L$23)/100,4)</f>
        <v>1.41E-2</v>
      </c>
    </row>
    <row r="4" spans="1:34" s="2747" customFormat="1" ht="14.25">
      <c r="B4" s="2748"/>
      <c r="C4" s="2748"/>
      <c r="D4" s="2749"/>
      <c r="E4" s="2749"/>
      <c r="F4" s="2748"/>
      <c r="G4" s="2753"/>
      <c r="H4" s="2750"/>
      <c r="I4" s="3122"/>
      <c r="J4" s="3122"/>
      <c r="K4" s="3122"/>
      <c r="L4" s="3122"/>
      <c r="N4" s="2753"/>
      <c r="O4" s="2751"/>
      <c r="P4" s="2751"/>
      <c r="Q4" s="2751"/>
      <c r="R4" s="2751"/>
      <c r="S4" s="2753"/>
      <c r="T4" s="2751"/>
      <c r="U4" s="2751"/>
      <c r="V4" s="2751"/>
      <c r="W4" s="3138"/>
      <c r="X4" s="2752"/>
      <c r="Y4" s="2752"/>
      <c r="Z4" s="2752"/>
      <c r="AA4" s="2752"/>
      <c r="AB4" s="2752"/>
      <c r="AD4" s="2672"/>
      <c r="AE4" s="2672"/>
      <c r="AF4" s="2672"/>
      <c r="AG4" s="2672"/>
      <c r="AH4" s="2672"/>
    </row>
    <row r="5" spans="1:34" s="3110" customFormat="1">
      <c r="A5" s="3108" t="s">
        <v>2968</v>
      </c>
      <c r="B5" s="2793">
        <f t="shared" ref="B5:C7" si="2">B6*(1+N5)</f>
        <v>453.11529869999993</v>
      </c>
      <c r="C5" s="2793">
        <f t="shared" si="2"/>
        <v>336.47787264000004</v>
      </c>
      <c r="D5" s="2793">
        <f>C5</f>
        <v>336.47787264000004</v>
      </c>
      <c r="E5" s="2793">
        <f t="shared" ref="E5:F7" si="3">E6*(1+P5)</f>
        <v>647.35186823999993</v>
      </c>
      <c r="F5" s="2793">
        <f t="shared" si="3"/>
        <v>295.73229452000004</v>
      </c>
      <c r="G5" s="2753">
        <v>2018</v>
      </c>
      <c r="H5" s="3109">
        <v>3</v>
      </c>
      <c r="I5" s="3123">
        <v>1.49</v>
      </c>
      <c r="J5" s="3123">
        <v>0.96</v>
      </c>
      <c r="K5" s="3123">
        <v>1.58</v>
      </c>
      <c r="L5" s="3123">
        <v>2.44</v>
      </c>
      <c r="N5" s="2760">
        <f t="shared" ref="N5:Q6" si="4">I5/100</f>
        <v>1.49E-2</v>
      </c>
      <c r="O5" s="2760">
        <f t="shared" si="4"/>
        <v>9.5999999999999992E-3</v>
      </c>
      <c r="P5" s="2760">
        <f t="shared" si="4"/>
        <v>1.5800000000000002E-2</v>
      </c>
      <c r="Q5" s="2760">
        <f t="shared" si="4"/>
        <v>2.4399999999999998E-2</v>
      </c>
      <c r="R5" s="3111"/>
      <c r="S5" s="3112"/>
      <c r="T5" s="3111"/>
      <c r="U5" s="3111"/>
      <c r="V5" s="3111"/>
      <c r="W5" s="3139" t="s">
        <v>2958</v>
      </c>
      <c r="X5" s="3113">
        <f>ROUND(SUMPRODUCT(PRODUCT(1+N5:N$22)),4)</f>
        <v>1.4733000000000001</v>
      </c>
      <c r="Y5" s="3113">
        <f>ROUND(SUMPRODUCT(PRODUCT(1+O5:O$22)),4)</f>
        <v>1.3052999999999999</v>
      </c>
      <c r="Z5" s="3113">
        <f>Y5</f>
        <v>1.3052999999999999</v>
      </c>
      <c r="AA5" s="3113">
        <f>ROUND(SUMPRODUCT(PRODUCT(1+P5:P$22)),4)</f>
        <v>1.5306999999999999</v>
      </c>
      <c r="AB5" s="3113">
        <f>ROUND(SUMPRODUCT(PRODUCT(1+Q5:Q$22)),4)</f>
        <v>1.2863</v>
      </c>
      <c r="AD5" s="3114">
        <f>ROUND(AVERAGE(I5:I$23)/100,4)</f>
        <v>2.23E-2</v>
      </c>
      <c r="AE5" s="3114">
        <f>ROUND(AVERAGE(J5:J$23)/100,4)</f>
        <v>1.54E-2</v>
      </c>
      <c r="AF5" s="3114">
        <f>AE5</f>
        <v>1.54E-2</v>
      </c>
      <c r="AG5" s="3114">
        <f>ROUND(AVERAGE(K5:K$23)/100,4)</f>
        <v>2.4500000000000001E-2</v>
      </c>
      <c r="AH5" s="3114">
        <f>ROUND(AVERAGE(L5:L$23)/100,4)</f>
        <v>1.41E-2</v>
      </c>
    </row>
    <row r="6" spans="1:34" s="2759" customFormat="1" ht="13.5" thickBot="1">
      <c r="A6" s="2653" t="s">
        <v>2969</v>
      </c>
      <c r="B6" s="2667">
        <f t="shared" si="2"/>
        <v>446.46299999999997</v>
      </c>
      <c r="C6" s="2667">
        <f t="shared" si="2"/>
        <v>333.27840000000003</v>
      </c>
      <c r="D6" s="2667">
        <f>C6</f>
        <v>333.27840000000003</v>
      </c>
      <c r="E6" s="2667">
        <f t="shared" si="3"/>
        <v>637.28279999999995</v>
      </c>
      <c r="F6" s="2667">
        <f t="shared" si="3"/>
        <v>288.68830000000003</v>
      </c>
      <c r="G6" s="3128"/>
      <c r="H6" s="2657">
        <v>2</v>
      </c>
      <c r="I6" s="2657">
        <v>0</v>
      </c>
      <c r="J6" s="2657">
        <v>0</v>
      </c>
      <c r="K6" s="2657">
        <v>0</v>
      </c>
      <c r="L6" s="2668">
        <v>0</v>
      </c>
      <c r="M6" s="2661"/>
      <c r="N6" s="2662">
        <f t="shared" si="4"/>
        <v>0</v>
      </c>
      <c r="O6" s="2663">
        <f t="shared" si="4"/>
        <v>0</v>
      </c>
      <c r="P6" s="2663">
        <f t="shared" si="4"/>
        <v>0</v>
      </c>
      <c r="Q6" s="2663">
        <f t="shared" si="4"/>
        <v>0</v>
      </c>
      <c r="R6" s="2664"/>
      <c r="S6" s="2670"/>
      <c r="T6" s="2671"/>
      <c r="U6" s="2671"/>
      <c r="V6" s="2671"/>
      <c r="W6" s="2661"/>
      <c r="X6" s="2752">
        <f>ROUND(SUMPRODUCT(PRODUCT(1+N6:N$22)),4)</f>
        <v>1.4517</v>
      </c>
      <c r="Y6" s="2752">
        <f>ROUND(SUMPRODUCT(PRODUCT(1+O6:O$22)),4)</f>
        <v>1.2928999999999999</v>
      </c>
      <c r="Z6" s="2752">
        <f>Y6</f>
        <v>1.2928999999999999</v>
      </c>
      <c r="AA6" s="2752">
        <f>ROUND(SUMPRODUCT(PRODUCT(1+P6:P$22)),4)</f>
        <v>1.5068999999999999</v>
      </c>
      <c r="AB6" s="2752">
        <f>ROUND(SUMPRODUCT(PRODUCT(1+Q6:Q$22)),4)</f>
        <v>1.2557</v>
      </c>
      <c r="AC6" s="2661"/>
      <c r="AD6" s="2672">
        <f>ROUND(AVERAGE(I6:I$23)/100,4)</f>
        <v>2.2700000000000001E-2</v>
      </c>
      <c r="AE6" s="2672">
        <f>ROUND(AVERAGE(J6:J$23)/100,4)</f>
        <v>1.5699999999999999E-2</v>
      </c>
      <c r="AF6" s="2672">
        <f>AE6</f>
        <v>1.5699999999999999E-2</v>
      </c>
      <c r="AG6" s="2672">
        <f>ROUND(AVERAGE(K6:K$23)/100,4)</f>
        <v>2.5000000000000001E-2</v>
      </c>
      <c r="AH6" s="2672">
        <f>ROUND(AVERAGE(L6:L$23)/100,4)</f>
        <v>1.35E-2</v>
      </c>
    </row>
    <row r="7" spans="1:34" s="2759" customFormat="1" ht="13.5" thickBot="1">
      <c r="A7" s="2653" t="s">
        <v>2964</v>
      </c>
      <c r="B7" s="2667">
        <f t="shared" si="2"/>
        <v>446.46299999999997</v>
      </c>
      <c r="C7" s="2667">
        <f t="shared" si="2"/>
        <v>333.27840000000003</v>
      </c>
      <c r="D7" s="2667">
        <f t="shared" ref="D7:D12" si="5">C7</f>
        <v>333.27840000000003</v>
      </c>
      <c r="E7" s="2667">
        <f t="shared" si="3"/>
        <v>637.28279999999995</v>
      </c>
      <c r="F7" s="2667">
        <f t="shared" si="3"/>
        <v>288.68830000000003</v>
      </c>
      <c r="G7" s="3128"/>
      <c r="H7" s="2657">
        <v>1</v>
      </c>
      <c r="I7" s="2657">
        <v>1.7</v>
      </c>
      <c r="J7" s="2657">
        <v>1.92</v>
      </c>
      <c r="K7" s="2657">
        <v>1.64</v>
      </c>
      <c r="L7" s="2668">
        <v>2.0099999999999998</v>
      </c>
      <c r="M7" s="2661"/>
      <c r="N7" s="2662">
        <f t="shared" ref="N7:N12" si="6">I7/100</f>
        <v>1.7000000000000001E-2</v>
      </c>
      <c r="O7" s="2663">
        <f t="shared" ref="O7:Q11" si="7">J7/100</f>
        <v>1.9199999999999998E-2</v>
      </c>
      <c r="P7" s="2663">
        <f t="shared" si="7"/>
        <v>1.6399999999999998E-2</v>
      </c>
      <c r="Q7" s="2663">
        <f t="shared" si="7"/>
        <v>2.0099999999999996E-2</v>
      </c>
      <c r="R7" s="2664"/>
      <c r="S7" s="2670">
        <f>B7/B8-1</f>
        <v>1.6999999999999904E-2</v>
      </c>
      <c r="T7" s="2671">
        <f>C7/C8-1</f>
        <v>1.9200000000000106E-2</v>
      </c>
      <c r="U7" s="2671">
        <f>E7/E8-1</f>
        <v>1.639999999999997E-2</v>
      </c>
      <c r="V7" s="2671">
        <f>F7/F8-1</f>
        <v>2.0100000000000007E-2</v>
      </c>
      <c r="W7" s="2661"/>
      <c r="X7" s="2752">
        <f>ROUND(SUMPRODUCT(PRODUCT(1+N7:N$22)),4)</f>
        <v>1.4517</v>
      </c>
      <c r="Y7" s="2752">
        <f>ROUND(SUMPRODUCT(PRODUCT(1+O7:O$22)),4)</f>
        <v>1.2928999999999999</v>
      </c>
      <c r="Z7" s="2752">
        <f>Y7</f>
        <v>1.2928999999999999</v>
      </c>
      <c r="AA7" s="2752">
        <f>ROUND(SUMPRODUCT(PRODUCT(1+P7:P$22)),4)</f>
        <v>1.5068999999999999</v>
      </c>
      <c r="AB7" s="2752">
        <f>ROUND(SUMPRODUCT(PRODUCT(1+Q7:Q$22)),4)</f>
        <v>1.2557</v>
      </c>
      <c r="AC7" s="2661"/>
      <c r="AD7" s="2672">
        <f>ROUND(AVERAGE(I7:I$23)/100,4)</f>
        <v>2.4E-2</v>
      </c>
      <c r="AE7" s="2672">
        <f>ROUND(AVERAGE(J7:J$23)/100,4)</f>
        <v>1.66E-2</v>
      </c>
      <c r="AF7" s="2672">
        <f>AE7</f>
        <v>1.66E-2</v>
      </c>
      <c r="AG7" s="2672">
        <f>ROUND(AVERAGE(K7:K$23)/100,4)</f>
        <v>2.6499999999999999E-2</v>
      </c>
      <c r="AH7" s="2672">
        <f>ROUND(AVERAGE(L7:L$23)/100,4)</f>
        <v>1.43E-2</v>
      </c>
    </row>
    <row r="8" spans="1:34">
      <c r="A8" s="2653" t="s">
        <v>2955</v>
      </c>
      <c r="B8" s="3143">
        <v>439</v>
      </c>
      <c r="C8" s="3143">
        <v>327</v>
      </c>
      <c r="D8" s="3143">
        <f t="shared" si="5"/>
        <v>327</v>
      </c>
      <c r="E8" s="3143">
        <v>627</v>
      </c>
      <c r="F8" s="3144">
        <v>283</v>
      </c>
      <c r="G8" s="3126">
        <v>2017</v>
      </c>
      <c r="H8" s="2654">
        <v>4</v>
      </c>
      <c r="I8" s="2654">
        <v>1.71</v>
      </c>
      <c r="J8" s="2654">
        <v>1.78</v>
      </c>
      <c r="K8" s="2654">
        <v>1.71</v>
      </c>
      <c r="L8" s="2655">
        <v>1.43</v>
      </c>
      <c r="N8" s="2662">
        <f t="shared" si="6"/>
        <v>1.7100000000000001E-2</v>
      </c>
      <c r="O8" s="2663">
        <f t="shared" si="7"/>
        <v>1.78E-2</v>
      </c>
      <c r="P8" s="2663">
        <f t="shared" si="7"/>
        <v>1.7100000000000001E-2</v>
      </c>
      <c r="Q8" s="2663">
        <f t="shared" si="7"/>
        <v>1.43E-2</v>
      </c>
      <c r="R8" s="2664"/>
      <c r="S8" s="2665"/>
      <c r="T8" s="2666"/>
      <c r="U8" s="2666"/>
      <c r="V8" s="2666"/>
      <c r="X8" s="2752">
        <f>ROUND(SUMPRODUCT(PRODUCT(1+N8:N$22)),4)</f>
        <v>1.4274</v>
      </c>
      <c r="Y8" s="2752">
        <f>ROUND(SUMPRODUCT(PRODUCT(1+O8:O$22)),4)</f>
        <v>1.2685</v>
      </c>
      <c r="Z8" s="2752">
        <f t="shared" si="0"/>
        <v>1.2685</v>
      </c>
      <c r="AA8" s="2752">
        <f>ROUND(SUMPRODUCT(PRODUCT(1+P8:P$22)),4)</f>
        <v>1.4825999999999999</v>
      </c>
      <c r="AB8" s="2752">
        <f>ROUND(SUMPRODUCT(PRODUCT(1+Q8:Q$22)),4)</f>
        <v>1.2309000000000001</v>
      </c>
      <c r="AD8" s="2672">
        <f>ROUND(AVERAGE(I8:I$23)/100,4)</f>
        <v>2.4500000000000001E-2</v>
      </c>
      <c r="AE8" s="2672">
        <f>ROUND(AVERAGE(J8:J$23)/100,4)</f>
        <v>1.6500000000000001E-2</v>
      </c>
      <c r="AF8" s="2672">
        <f t="shared" si="1"/>
        <v>1.6500000000000001E-2</v>
      </c>
      <c r="AG8" s="2672">
        <f>ROUND(AVERAGE(K8:K$23)/100,4)</f>
        <v>2.7099999999999999E-2</v>
      </c>
      <c r="AH8" s="2672">
        <f>ROUND(AVERAGE(L8:L$23)/100,4)</f>
        <v>1.3899999999999999E-2</v>
      </c>
    </row>
    <row r="9" spans="1:34" s="2759" customFormat="1" ht="13.5" thickBot="1">
      <c r="A9" s="2653" t="s">
        <v>2959</v>
      </c>
      <c r="B9" s="2667">
        <f t="shared" ref="B9:C11" si="8">B10*(1+N9)</f>
        <v>431.80730811680002</v>
      </c>
      <c r="C9" s="2667">
        <f t="shared" si="8"/>
        <v>320.57880516480003</v>
      </c>
      <c r="D9" s="2667">
        <f t="shared" si="5"/>
        <v>320.57880516480003</v>
      </c>
      <c r="E9" s="2667">
        <f t="shared" ref="E9:F11" si="9">E10*(1+P9)</f>
        <v>615.96110553196797</v>
      </c>
      <c r="F9" s="2667">
        <f t="shared" si="9"/>
        <v>279.46777300108801</v>
      </c>
      <c r="G9" s="3128"/>
      <c r="H9" s="2657">
        <v>3</v>
      </c>
      <c r="I9" s="2657">
        <v>2.98</v>
      </c>
      <c r="J9" s="2657">
        <v>2.11</v>
      </c>
      <c r="K9" s="2657">
        <v>3.24</v>
      </c>
      <c r="L9" s="2668">
        <v>1.72</v>
      </c>
      <c r="M9" s="2661"/>
      <c r="N9" s="2662">
        <f t="shared" si="6"/>
        <v>2.98E-2</v>
      </c>
      <c r="O9" s="2663">
        <f t="shared" si="7"/>
        <v>2.1099999999999997E-2</v>
      </c>
      <c r="P9" s="2663">
        <f t="shared" si="7"/>
        <v>3.2400000000000005E-2</v>
      </c>
      <c r="Q9" s="2663">
        <f t="shared" si="7"/>
        <v>1.72E-2</v>
      </c>
      <c r="R9" s="2664"/>
      <c r="S9" s="2670"/>
      <c r="T9" s="2671"/>
      <c r="U9" s="2671"/>
      <c r="V9" s="2671"/>
      <c r="W9" s="2661"/>
      <c r="X9" s="2752">
        <f>ROUND(SUMPRODUCT(PRODUCT(1+N9:N$22)),4)</f>
        <v>1.4034</v>
      </c>
      <c r="Y9" s="2752">
        <f>ROUND(SUMPRODUCT(PRODUCT(1+O9:O$22)),4)</f>
        <v>1.2463</v>
      </c>
      <c r="Z9" s="2752">
        <f t="shared" si="0"/>
        <v>1.2463</v>
      </c>
      <c r="AA9" s="2752">
        <f>ROUND(SUMPRODUCT(PRODUCT(1+P9:P$22)),4)</f>
        <v>1.4577</v>
      </c>
      <c r="AB9" s="2752">
        <f>ROUND(SUMPRODUCT(PRODUCT(1+Q9:Q$22)),4)</f>
        <v>1.2136</v>
      </c>
      <c r="AC9" s="2661"/>
      <c r="AD9" s="2672">
        <f>ROUND(AVERAGE(I9:I$23)/100,4)</f>
        <v>2.4899999999999999E-2</v>
      </c>
      <c r="AE9" s="2672">
        <f>ROUND(AVERAGE(J9:J$23)/100,4)</f>
        <v>1.6400000000000001E-2</v>
      </c>
      <c r="AF9" s="2672">
        <f t="shared" si="1"/>
        <v>1.6400000000000001E-2</v>
      </c>
      <c r="AG9" s="2672">
        <f>ROUND(AVERAGE(K9:K$23)/100,4)</f>
        <v>2.7799999999999998E-2</v>
      </c>
      <c r="AH9" s="2672">
        <f>ROUND(AVERAGE(L9:L$23)/100,4)</f>
        <v>1.3899999999999999E-2</v>
      </c>
    </row>
    <row r="10" spans="1:34" s="2651" customFormat="1">
      <c r="A10" s="2653" t="s">
        <v>2579</v>
      </c>
      <c r="B10" s="2667">
        <f t="shared" si="8"/>
        <v>419.31181600000002</v>
      </c>
      <c r="C10" s="2667">
        <f t="shared" si="8"/>
        <v>313.95436800000004</v>
      </c>
      <c r="D10" s="2667">
        <f t="shared" si="5"/>
        <v>313.95436800000004</v>
      </c>
      <c r="E10" s="2667">
        <f t="shared" si="9"/>
        <v>596.63028431999999</v>
      </c>
      <c r="F10" s="2667">
        <f t="shared" si="9"/>
        <v>274.74220703999998</v>
      </c>
      <c r="G10" s="3127"/>
      <c r="H10" s="2658">
        <v>2</v>
      </c>
      <c r="I10" s="2658">
        <v>3.4</v>
      </c>
      <c r="J10" s="2658">
        <v>2</v>
      </c>
      <c r="K10" s="2658">
        <v>3.82</v>
      </c>
      <c r="L10" s="2669">
        <v>1.68</v>
      </c>
      <c r="N10" s="2662">
        <f t="shared" si="6"/>
        <v>3.4000000000000002E-2</v>
      </c>
      <c r="O10" s="2663">
        <f t="shared" si="7"/>
        <v>0.02</v>
      </c>
      <c r="P10" s="2663">
        <f t="shared" si="7"/>
        <v>3.8199999999999998E-2</v>
      </c>
      <c r="Q10" s="2663">
        <f t="shared" si="7"/>
        <v>1.6799999999999999E-2</v>
      </c>
      <c r="R10" s="2652"/>
      <c r="S10" s="2656"/>
      <c r="T10" s="2652"/>
      <c r="U10" s="2652"/>
      <c r="V10" s="2652"/>
      <c r="X10" s="2752">
        <f>ROUND(SUMPRODUCT(PRODUCT(1+N10:N$22)),4)</f>
        <v>1.3628</v>
      </c>
      <c r="Y10" s="2752">
        <f>ROUND(SUMPRODUCT(PRODUCT(1+O10:O$22)),4)</f>
        <v>1.2205999999999999</v>
      </c>
      <c r="Z10" s="2752">
        <f t="shared" si="0"/>
        <v>1.2205999999999999</v>
      </c>
      <c r="AA10" s="2752">
        <f>ROUND(SUMPRODUCT(PRODUCT(1+P10:P$22)),4)</f>
        <v>1.4118999999999999</v>
      </c>
      <c r="AB10" s="2752">
        <f>ROUND(SUMPRODUCT(PRODUCT(1+Q10:Q$22)),4)</f>
        <v>1.1930000000000001</v>
      </c>
      <c r="AD10" s="2672">
        <f>ROUND(AVERAGE(I10:I$23)/100,4)</f>
        <v>2.46E-2</v>
      </c>
      <c r="AE10" s="2672">
        <f>ROUND(AVERAGE(J10:J$23)/100,4)</f>
        <v>1.6E-2</v>
      </c>
      <c r="AF10" s="2672">
        <f t="shared" si="1"/>
        <v>1.6E-2</v>
      </c>
      <c r="AG10" s="2672">
        <f>ROUND(AVERAGE(K10:K$23)/100,4)</f>
        <v>2.75E-2</v>
      </c>
      <c r="AH10" s="2672">
        <f>ROUND(AVERAGE(L10:L$23)/100,4)</f>
        <v>1.37E-2</v>
      </c>
    </row>
    <row r="11" spans="1:34" s="2759" customFormat="1" ht="13.5" thickBot="1">
      <c r="A11" s="2653" t="s">
        <v>2580</v>
      </c>
      <c r="B11" s="2667">
        <f t="shared" si="8"/>
        <v>405.524</v>
      </c>
      <c r="C11" s="2667">
        <f t="shared" si="8"/>
        <v>307.79840000000002</v>
      </c>
      <c r="D11" s="2667">
        <f t="shared" si="5"/>
        <v>307.79840000000002</v>
      </c>
      <c r="E11" s="2667">
        <f t="shared" si="9"/>
        <v>574.67759999999998</v>
      </c>
      <c r="F11" s="2667">
        <f t="shared" si="9"/>
        <v>270.20280000000002</v>
      </c>
      <c r="G11" s="3128"/>
      <c r="H11" s="2657">
        <v>1</v>
      </c>
      <c r="I11" s="2657">
        <v>3.45</v>
      </c>
      <c r="J11" s="2657">
        <v>1.92</v>
      </c>
      <c r="K11" s="2657">
        <v>3.92</v>
      </c>
      <c r="L11" s="2668">
        <v>1.58</v>
      </c>
      <c r="M11" s="2661"/>
      <c r="N11" s="2662">
        <f t="shared" si="6"/>
        <v>3.4500000000000003E-2</v>
      </c>
      <c r="O11" s="2663">
        <f t="shared" si="7"/>
        <v>1.9199999999999998E-2</v>
      </c>
      <c r="P11" s="2663">
        <f t="shared" si="7"/>
        <v>3.9199999999999999E-2</v>
      </c>
      <c r="Q11" s="2663">
        <f t="shared" si="7"/>
        <v>1.5800000000000002E-2</v>
      </c>
      <c r="R11" s="2664"/>
      <c r="S11" s="2670">
        <f>B11/B12-1</f>
        <v>3.4499999999999975E-2</v>
      </c>
      <c r="T11" s="2671">
        <f>C11/C12-1</f>
        <v>1.9200000000000106E-2</v>
      </c>
      <c r="U11" s="2671">
        <f>E11/E12-1</f>
        <v>3.9199999999999902E-2</v>
      </c>
      <c r="V11" s="2671">
        <f>F11/F12-1</f>
        <v>1.5800000000000036E-2</v>
      </c>
      <c r="W11" s="2661"/>
      <c r="X11" s="2752">
        <f>ROUND(SUMPRODUCT(PRODUCT(1+N11:N$22)),4)</f>
        <v>1.3180000000000001</v>
      </c>
      <c r="Y11" s="2752">
        <f>ROUND(SUMPRODUCT(PRODUCT(1+O11:O$22)),4)</f>
        <v>1.1966000000000001</v>
      </c>
      <c r="Z11" s="2752">
        <f t="shared" si="0"/>
        <v>1.1966000000000001</v>
      </c>
      <c r="AA11" s="2752">
        <f>ROUND(SUMPRODUCT(PRODUCT(1+P11:P$22)),4)</f>
        <v>1.36</v>
      </c>
      <c r="AB11" s="2752">
        <f>ROUND(SUMPRODUCT(PRODUCT(1+Q11:Q$22)),4)</f>
        <v>1.1733</v>
      </c>
      <c r="AC11" s="2661"/>
      <c r="AD11" s="2672">
        <f>ROUND(AVERAGE(I11:I$23)/100,4)</f>
        <v>2.3900000000000001E-2</v>
      </c>
      <c r="AE11" s="2672">
        <f>ROUND(AVERAGE(J11:J$23)/100,4)</f>
        <v>1.5699999999999999E-2</v>
      </c>
      <c r="AF11" s="2672">
        <f t="shared" si="1"/>
        <v>1.5699999999999999E-2</v>
      </c>
      <c r="AG11" s="2672">
        <f>ROUND(AVERAGE(K11:K$23)/100,4)</f>
        <v>2.6599999999999999E-2</v>
      </c>
      <c r="AH11" s="2672">
        <f>ROUND(AVERAGE(L11:L$23)/100,4)</f>
        <v>1.34E-2</v>
      </c>
    </row>
    <row r="12" spans="1:34">
      <c r="A12" s="2653" t="s">
        <v>971</v>
      </c>
      <c r="B12" s="2659">
        <v>392</v>
      </c>
      <c r="C12" s="2659">
        <v>302</v>
      </c>
      <c r="D12" s="2659">
        <f t="shared" si="5"/>
        <v>302</v>
      </c>
      <c r="E12" s="2659">
        <v>553</v>
      </c>
      <c r="F12" s="2660">
        <v>266</v>
      </c>
      <c r="G12" s="3586">
        <v>2016</v>
      </c>
      <c r="H12" s="2654">
        <v>4</v>
      </c>
      <c r="I12" s="2654">
        <v>4.5599999999999996</v>
      </c>
      <c r="J12" s="2654">
        <v>2.15</v>
      </c>
      <c r="K12" s="2654">
        <v>5.32</v>
      </c>
      <c r="L12" s="2655">
        <v>1.57</v>
      </c>
      <c r="N12" s="2662">
        <f t="shared" si="6"/>
        <v>4.5599999999999995E-2</v>
      </c>
      <c r="O12" s="2663">
        <f t="shared" ref="O12:Q27" si="10">J12/100</f>
        <v>2.1499999999999998E-2</v>
      </c>
      <c r="P12" s="2663">
        <f t="shared" si="10"/>
        <v>5.3200000000000004E-2</v>
      </c>
      <c r="Q12" s="2663">
        <f t="shared" si="10"/>
        <v>1.5700000000000002E-2</v>
      </c>
      <c r="R12" s="2664"/>
      <c r="S12" s="2665"/>
      <c r="T12" s="2666"/>
      <c r="U12" s="2666"/>
      <c r="V12" s="2666"/>
      <c r="X12" s="2752">
        <f>ROUND(SUMPRODUCT(PRODUCT(1+N12:N$22)),4)</f>
        <v>1.274</v>
      </c>
      <c r="Y12" s="2752">
        <f>ROUND(SUMPRODUCT(PRODUCT(1+O12:O$22)),4)</f>
        <v>1.1740999999999999</v>
      </c>
      <c r="Z12" s="2752">
        <f t="shared" si="0"/>
        <v>1.1740999999999999</v>
      </c>
      <c r="AA12" s="2752">
        <f>ROUND(SUMPRODUCT(PRODUCT(1+P12:P$22)),4)</f>
        <v>1.3087</v>
      </c>
      <c r="AB12" s="2752">
        <f>ROUND(SUMPRODUCT(PRODUCT(1+Q12:Q$22)),4)</f>
        <v>1.1551</v>
      </c>
      <c r="AD12" s="2672">
        <f>ROUND(AVERAGE(I12:I$23)/100,4)</f>
        <v>2.3E-2</v>
      </c>
      <c r="AE12" s="2672">
        <f>ROUND(AVERAGE(J12:J$23)/100,4)</f>
        <v>1.55E-2</v>
      </c>
      <c r="AF12" s="2672">
        <f t="shared" si="1"/>
        <v>1.55E-2</v>
      </c>
      <c r="AG12" s="2672">
        <f>ROUND(AVERAGE(K12:K$23)/100,4)</f>
        <v>2.5600000000000001E-2</v>
      </c>
      <c r="AH12" s="2672">
        <f>ROUND(AVERAGE(L12:L$23)/100,4)</f>
        <v>1.32E-2</v>
      </c>
    </row>
    <row r="13" spans="1:34">
      <c r="A13" s="2653" t="s">
        <v>970</v>
      </c>
      <c r="B13" s="2667">
        <f t="shared" ref="B13:C15" si="11">B12/(1+N12)</f>
        <v>374.90436113236416</v>
      </c>
      <c r="C13" s="2667">
        <f t="shared" si="11"/>
        <v>295.64366128242779</v>
      </c>
      <c r="D13" s="2667">
        <f t="shared" ref="D13:D72" si="12">C13</f>
        <v>295.64366128242779</v>
      </c>
      <c r="E13" s="2667">
        <f t="shared" ref="E13:F15" si="13">E12/(1+P12)</f>
        <v>525.06646410938095</v>
      </c>
      <c r="F13" s="2667">
        <f t="shared" si="13"/>
        <v>261.88835286009646</v>
      </c>
      <c r="G13" s="3581"/>
      <c r="H13" s="2657">
        <v>3</v>
      </c>
      <c r="I13" s="2657">
        <v>4.12</v>
      </c>
      <c r="J13" s="2657">
        <v>2</v>
      </c>
      <c r="K13" s="2657">
        <v>4.79</v>
      </c>
      <c r="L13" s="2668">
        <v>1.97</v>
      </c>
      <c r="N13" s="2662">
        <f t="shared" ref="N13:Q47" si="14">I13/100</f>
        <v>4.1200000000000001E-2</v>
      </c>
      <c r="O13" s="2663">
        <f t="shared" si="10"/>
        <v>0.02</v>
      </c>
      <c r="P13" s="2663">
        <f t="shared" si="10"/>
        <v>4.7899999999999998E-2</v>
      </c>
      <c r="Q13" s="2663">
        <f t="shared" si="10"/>
        <v>1.9699999999999999E-2</v>
      </c>
      <c r="R13" s="2664"/>
      <c r="S13" s="2662"/>
      <c r="T13" s="2663"/>
      <c r="U13" s="2663"/>
      <c r="V13" s="2663"/>
      <c r="X13" s="2752">
        <f>ROUND(SUMPRODUCT(PRODUCT(1+N13:N$22)),4)</f>
        <v>1.2184999999999999</v>
      </c>
      <c r="Y13" s="2752">
        <f>ROUND(SUMPRODUCT(PRODUCT(1+O13:O$22)),4)</f>
        <v>1.1494</v>
      </c>
      <c r="Z13" s="2752">
        <f t="shared" si="0"/>
        <v>1.1494</v>
      </c>
      <c r="AA13" s="2752">
        <f>ROUND(SUMPRODUCT(PRODUCT(1+P13:P$22)),4)</f>
        <v>1.2425999999999999</v>
      </c>
      <c r="AB13" s="2752">
        <f>ROUND(SUMPRODUCT(PRODUCT(1+Q13:Q$22)),4)</f>
        <v>1.1372</v>
      </c>
      <c r="AD13" s="2672">
        <f>ROUND(AVERAGE(I13:I$23)/100,4)</f>
        <v>2.0899999999999998E-2</v>
      </c>
      <c r="AE13" s="2672">
        <f>ROUND(AVERAGE(J13:J$23)/100,4)</f>
        <v>1.49E-2</v>
      </c>
      <c r="AF13" s="2672">
        <f t="shared" si="1"/>
        <v>1.49E-2</v>
      </c>
      <c r="AG13" s="2672">
        <f>ROUND(AVERAGE(K13:K$23)/100,4)</f>
        <v>2.3099999999999999E-2</v>
      </c>
      <c r="AH13" s="2672">
        <f>ROUND(AVERAGE(L13:L$23)/100,4)</f>
        <v>1.2999999999999999E-2</v>
      </c>
    </row>
    <row r="14" spans="1:34">
      <c r="A14" s="2653" t="s">
        <v>960</v>
      </c>
      <c r="B14" s="2667">
        <f t="shared" si="11"/>
        <v>360.06949782209392</v>
      </c>
      <c r="C14" s="2667">
        <f t="shared" si="11"/>
        <v>289.84672674747821</v>
      </c>
      <c r="D14" s="2667">
        <f t="shared" si="12"/>
        <v>289.84672674747821</v>
      </c>
      <c r="E14" s="2667">
        <f t="shared" si="13"/>
        <v>501.06543001181495</v>
      </c>
      <c r="F14" s="2667">
        <f t="shared" si="13"/>
        <v>256.82882500744967</v>
      </c>
      <c r="G14" s="3581"/>
      <c r="H14" s="2658">
        <v>2</v>
      </c>
      <c r="I14" s="2658">
        <v>3.85</v>
      </c>
      <c r="J14" s="2658">
        <v>1.95</v>
      </c>
      <c r="K14" s="2658">
        <v>4.4800000000000004</v>
      </c>
      <c r="L14" s="2669">
        <v>1.41</v>
      </c>
      <c r="N14" s="2662">
        <f t="shared" si="14"/>
        <v>3.85E-2</v>
      </c>
      <c r="O14" s="2663">
        <f t="shared" si="10"/>
        <v>1.95E-2</v>
      </c>
      <c r="P14" s="2663">
        <f t="shared" si="10"/>
        <v>4.4800000000000006E-2</v>
      </c>
      <c r="Q14" s="2663">
        <f t="shared" si="10"/>
        <v>1.41E-2</v>
      </c>
      <c r="R14" s="2664"/>
      <c r="S14" s="2662"/>
      <c r="T14" s="2663"/>
      <c r="U14" s="2663"/>
      <c r="V14" s="2663"/>
      <c r="X14" s="2752">
        <f>ROUND(SUMPRODUCT(PRODUCT(1+N14:N$22)),4)</f>
        <v>1.1702999999999999</v>
      </c>
      <c r="Y14" s="2752">
        <f>ROUND(SUMPRODUCT(PRODUCT(1+O14:O$22)),4)</f>
        <v>1.1269</v>
      </c>
      <c r="Z14" s="2752">
        <f t="shared" si="0"/>
        <v>1.1269</v>
      </c>
      <c r="AA14" s="2752">
        <f>ROUND(SUMPRODUCT(PRODUCT(1+P14:P$22)),4)</f>
        <v>1.1858</v>
      </c>
      <c r="AB14" s="2752">
        <f>ROUND(SUMPRODUCT(PRODUCT(1+Q14:Q$22)),4)</f>
        <v>1.1152</v>
      </c>
      <c r="AD14" s="2672">
        <f>ROUND(AVERAGE(I14:I$23)/100,4)</f>
        <v>1.89E-2</v>
      </c>
      <c r="AE14" s="2672">
        <f>ROUND(AVERAGE(J14:J$23)/100,4)</f>
        <v>1.44E-2</v>
      </c>
      <c r="AF14" s="2672">
        <f t="shared" si="1"/>
        <v>1.44E-2</v>
      </c>
      <c r="AG14" s="2672">
        <f>ROUND(AVERAGE(K14:K$23)/100,4)</f>
        <v>2.06E-2</v>
      </c>
      <c r="AH14" s="2672">
        <f>ROUND(AVERAGE(L14:L$23)/100,4)</f>
        <v>1.23E-2</v>
      </c>
    </row>
    <row r="15" spans="1:34" ht="13.5" thickBot="1">
      <c r="A15" s="2653" t="s">
        <v>969</v>
      </c>
      <c r="B15" s="2667">
        <f t="shared" si="11"/>
        <v>346.720748986128</v>
      </c>
      <c r="C15" s="2667">
        <f t="shared" si="11"/>
        <v>284.30282172386285</v>
      </c>
      <c r="D15" s="2667">
        <f t="shared" si="12"/>
        <v>284.30282172386285</v>
      </c>
      <c r="E15" s="2667">
        <f t="shared" si="13"/>
        <v>479.58023546306947</v>
      </c>
      <c r="F15" s="2667">
        <f t="shared" si="13"/>
        <v>253.25788877571213</v>
      </c>
      <c r="G15" s="3582"/>
      <c r="H15" s="2657">
        <v>1</v>
      </c>
      <c r="I15" s="2657">
        <v>4.09</v>
      </c>
      <c r="J15" s="2657">
        <v>2.93</v>
      </c>
      <c r="K15" s="2657">
        <v>4.54</v>
      </c>
      <c r="L15" s="2668">
        <v>1.48</v>
      </c>
      <c r="N15" s="2662">
        <f t="shared" si="14"/>
        <v>4.0899999999999999E-2</v>
      </c>
      <c r="O15" s="2663">
        <f t="shared" si="10"/>
        <v>2.9300000000000003E-2</v>
      </c>
      <c r="P15" s="2663">
        <f t="shared" si="10"/>
        <v>4.5400000000000003E-2</v>
      </c>
      <c r="Q15" s="2663">
        <f t="shared" si="10"/>
        <v>1.4800000000000001E-2</v>
      </c>
      <c r="R15" s="2664"/>
      <c r="S15" s="2670">
        <f>B15/B16-1</f>
        <v>4.1203450408792808E-2</v>
      </c>
      <c r="T15" s="2671">
        <f>C15/C16-1</f>
        <v>2.6363977342465095E-2</v>
      </c>
      <c r="U15" s="2671">
        <f>E15/E16-1</f>
        <v>4.4837114298626357E-2</v>
      </c>
      <c r="V15" s="2671">
        <f>F15/F16-1</f>
        <v>1.7099954922538574E-2</v>
      </c>
      <c r="X15" s="2752">
        <f>ROUND(SUMPRODUCT(PRODUCT(1+N15:N$22)),4)</f>
        <v>1.1269</v>
      </c>
      <c r="Y15" s="2752">
        <f>ROUND(SUMPRODUCT(PRODUCT(1+O15:O$22)),4)</f>
        <v>1.1052999999999999</v>
      </c>
      <c r="Z15" s="2752">
        <f t="shared" si="0"/>
        <v>1.1052999999999999</v>
      </c>
      <c r="AA15" s="2752">
        <f>ROUND(SUMPRODUCT(PRODUCT(1+P15:P$22)),4)</f>
        <v>1.1349</v>
      </c>
      <c r="AB15" s="2752">
        <f>ROUND(SUMPRODUCT(PRODUCT(1+Q15:Q$22)),4)</f>
        <v>1.0996999999999999</v>
      </c>
      <c r="AD15" s="2672">
        <f>ROUND(AVERAGE(I15:I$23)/100,4)</f>
        <v>1.67E-2</v>
      </c>
      <c r="AE15" s="2672">
        <f>ROUND(AVERAGE(J15:J$23)/100,4)</f>
        <v>1.38E-2</v>
      </c>
      <c r="AF15" s="2672">
        <f t="shared" si="1"/>
        <v>1.38E-2</v>
      </c>
      <c r="AG15" s="2672">
        <f>ROUND(AVERAGE(K15:K$23)/100,4)</f>
        <v>1.7899999999999999E-2</v>
      </c>
      <c r="AH15" s="2672">
        <f>ROUND(AVERAGE(L15:L$23)/100,4)</f>
        <v>1.21E-2</v>
      </c>
    </row>
    <row r="16" spans="1:34" ht="13.5" thickBot="1">
      <c r="A16" s="2653" t="s">
        <v>968</v>
      </c>
      <c r="B16" s="2659">
        <v>333</v>
      </c>
      <c r="C16" s="2659">
        <v>277</v>
      </c>
      <c r="D16" s="2659">
        <f t="shared" si="12"/>
        <v>277</v>
      </c>
      <c r="E16" s="2659">
        <v>459</v>
      </c>
      <c r="F16" s="2660">
        <v>249</v>
      </c>
      <c r="G16" s="3580">
        <v>2015</v>
      </c>
      <c r="H16" s="2673">
        <v>4</v>
      </c>
      <c r="I16" s="2673">
        <v>1.63</v>
      </c>
      <c r="J16" s="2673">
        <v>1.1100000000000001</v>
      </c>
      <c r="K16" s="2673">
        <v>1.77</v>
      </c>
      <c r="L16" s="2674">
        <v>1.89</v>
      </c>
      <c r="N16" s="2675">
        <f t="shared" si="14"/>
        <v>1.6299999999999999E-2</v>
      </c>
      <c r="O16" s="2676">
        <f t="shared" si="10"/>
        <v>1.11E-2</v>
      </c>
      <c r="P16" s="2676">
        <f t="shared" si="10"/>
        <v>1.77E-2</v>
      </c>
      <c r="Q16" s="2676">
        <f t="shared" si="10"/>
        <v>1.89E-2</v>
      </c>
      <c r="R16" s="2664"/>
      <c r="X16" s="2752">
        <f>ROUND(SUMPRODUCT(PRODUCT(1+N16:N$22)),4)</f>
        <v>1.0826</v>
      </c>
      <c r="Y16" s="2752">
        <f>ROUND(SUMPRODUCT(PRODUCT(1+O16:O$22)),4)</f>
        <v>1.0738000000000001</v>
      </c>
      <c r="Z16" s="2752">
        <f t="shared" si="0"/>
        <v>1.0738000000000001</v>
      </c>
      <c r="AA16" s="2752">
        <f>ROUND(SUMPRODUCT(PRODUCT(1+P16:P$22)),4)</f>
        <v>1.0855999999999999</v>
      </c>
      <c r="AB16" s="2752">
        <f>ROUND(SUMPRODUCT(PRODUCT(1+Q16:Q$22)),4)</f>
        <v>1.0837000000000001</v>
      </c>
      <c r="AD16" s="2672">
        <f>ROUND(AVERAGE(I16:I$23)/100,4)</f>
        <v>1.37E-2</v>
      </c>
      <c r="AE16" s="2672">
        <f>ROUND(AVERAGE(J16:J$23)/100,4)</f>
        <v>1.1900000000000001E-2</v>
      </c>
      <c r="AF16" s="2672">
        <f t="shared" si="1"/>
        <v>1.1900000000000001E-2</v>
      </c>
      <c r="AG16" s="2672">
        <f>ROUND(AVERAGE(K16:K$23)/100,4)</f>
        <v>1.4500000000000001E-2</v>
      </c>
      <c r="AH16" s="2672">
        <f>ROUND(AVERAGE(L16:L$23)/100,4)</f>
        <v>1.18E-2</v>
      </c>
    </row>
    <row r="17" spans="1:34">
      <c r="A17" s="2653" t="s">
        <v>967</v>
      </c>
      <c r="B17" s="2667">
        <f t="shared" ref="B17:C19" si="15">B16/(1+N16)</f>
        <v>327.65915576109415</v>
      </c>
      <c r="C17" s="2667">
        <f t="shared" si="15"/>
        <v>273.95905449510434</v>
      </c>
      <c r="D17" s="2667">
        <f t="shared" si="12"/>
        <v>273.95905449510434</v>
      </c>
      <c r="E17" s="2667">
        <f t="shared" ref="E17:F19" si="16">E16/(1+P16)</f>
        <v>451.01699911565294</v>
      </c>
      <c r="F17" s="2667">
        <f t="shared" si="16"/>
        <v>244.38119540681129</v>
      </c>
      <c r="G17" s="3581"/>
      <c r="H17" s="2678">
        <v>3</v>
      </c>
      <c r="I17" s="2678">
        <v>1.65</v>
      </c>
      <c r="J17" s="2678">
        <v>0.92</v>
      </c>
      <c r="K17" s="2678">
        <v>1.88</v>
      </c>
      <c r="L17" s="2679">
        <v>1.26</v>
      </c>
      <c r="N17" s="2662">
        <f t="shared" si="14"/>
        <v>1.6500000000000001E-2</v>
      </c>
      <c r="O17" s="2680">
        <f t="shared" si="10"/>
        <v>9.1999999999999998E-3</v>
      </c>
      <c r="P17" s="2680">
        <f t="shared" si="10"/>
        <v>1.8799999999999997E-2</v>
      </c>
      <c r="Q17" s="2680">
        <f t="shared" si="10"/>
        <v>1.26E-2</v>
      </c>
      <c r="R17" s="2664"/>
      <c r="S17" s="2662"/>
      <c r="T17" s="2663"/>
      <c r="U17" s="2663"/>
      <c r="V17" s="2663"/>
      <c r="X17" s="2752">
        <f>ROUND(SUMPRODUCT(PRODUCT(1+N17:N$22)),4)</f>
        <v>1.0651999999999999</v>
      </c>
      <c r="Y17" s="2752">
        <f>ROUND(SUMPRODUCT(PRODUCT(1+O17:O$22)),4)</f>
        <v>1.0621</v>
      </c>
      <c r="Z17" s="2752">
        <f t="shared" si="0"/>
        <v>1.0621</v>
      </c>
      <c r="AA17" s="2752">
        <f>ROUND(SUMPRODUCT(PRODUCT(1+P17:P$22)),4)</f>
        <v>1.0668</v>
      </c>
      <c r="AB17" s="2752">
        <f>ROUND(SUMPRODUCT(PRODUCT(1+Q17:Q$22)),4)</f>
        <v>1.0636000000000001</v>
      </c>
      <c r="AD17" s="2672">
        <f>ROUND(AVERAGE(I17:I$23)/100,4)</f>
        <v>1.3299999999999999E-2</v>
      </c>
      <c r="AE17" s="2672">
        <f>ROUND(AVERAGE(J17:J$23)/100,4)</f>
        <v>1.2E-2</v>
      </c>
      <c r="AF17" s="2672">
        <f t="shared" si="1"/>
        <v>1.2E-2</v>
      </c>
      <c r="AG17" s="2672">
        <f>ROUND(AVERAGE(K17:K$23)/100,4)</f>
        <v>1.4E-2</v>
      </c>
      <c r="AH17" s="2672">
        <f>ROUND(AVERAGE(L17:L$23)/100,4)</f>
        <v>1.0800000000000001E-2</v>
      </c>
    </row>
    <row r="18" spans="1:34">
      <c r="A18" s="2653" t="s">
        <v>966</v>
      </c>
      <c r="B18" s="2667">
        <f t="shared" si="15"/>
        <v>322.34053690220776</v>
      </c>
      <c r="C18" s="2667">
        <f t="shared" si="15"/>
        <v>271.46160770422546</v>
      </c>
      <c r="D18" s="2667">
        <f t="shared" si="12"/>
        <v>271.46160770422546</v>
      </c>
      <c r="E18" s="2667">
        <f t="shared" si="16"/>
        <v>442.69434542172456</v>
      </c>
      <c r="F18" s="2667">
        <f t="shared" si="16"/>
        <v>241.34030753190925</v>
      </c>
      <c r="G18" s="3581"/>
      <c r="H18" s="2658">
        <v>2</v>
      </c>
      <c r="I18" s="2658">
        <v>0.77</v>
      </c>
      <c r="J18" s="2658">
        <v>0.69</v>
      </c>
      <c r="K18" s="2658">
        <v>0.8</v>
      </c>
      <c r="L18" s="2669">
        <v>0.88</v>
      </c>
      <c r="N18" s="2662">
        <f t="shared" si="14"/>
        <v>7.7000000000000002E-3</v>
      </c>
      <c r="O18" s="2680">
        <f t="shared" si="10"/>
        <v>6.8999999999999999E-3</v>
      </c>
      <c r="P18" s="2680">
        <f t="shared" si="10"/>
        <v>8.0000000000000002E-3</v>
      </c>
      <c r="Q18" s="2680">
        <f t="shared" si="10"/>
        <v>8.8000000000000005E-3</v>
      </c>
      <c r="R18" s="2664"/>
      <c r="S18" s="2662"/>
      <c r="T18" s="2663"/>
      <c r="U18" s="2663"/>
      <c r="V18" s="2663"/>
      <c r="X18" s="2752">
        <f>ROUND(SUMPRODUCT(PRODUCT(1+N18:N$22)),4)</f>
        <v>1.048</v>
      </c>
      <c r="Y18" s="2752">
        <f>ROUND(SUMPRODUCT(PRODUCT(1+O18:O$22)),4)</f>
        <v>1.0524</v>
      </c>
      <c r="Z18" s="2752">
        <f t="shared" si="0"/>
        <v>1.0524</v>
      </c>
      <c r="AA18" s="2752">
        <f>ROUND(SUMPRODUCT(PRODUCT(1+P18:P$22)),4)</f>
        <v>1.0470999999999999</v>
      </c>
      <c r="AB18" s="2752">
        <f>ROUND(SUMPRODUCT(PRODUCT(1+Q18:Q$22)),4)</f>
        <v>1.0504</v>
      </c>
      <c r="AD18" s="2672">
        <f>ROUND(AVERAGE(I18:I$23)/100,4)</f>
        <v>1.2800000000000001E-2</v>
      </c>
      <c r="AE18" s="2672">
        <f>ROUND(AVERAGE(J18:J$23)/100,4)</f>
        <v>1.2500000000000001E-2</v>
      </c>
      <c r="AF18" s="2672">
        <f t="shared" si="1"/>
        <v>1.2500000000000001E-2</v>
      </c>
      <c r="AG18" s="2672">
        <f>ROUND(AVERAGE(K18:K$23)/100,4)</f>
        <v>1.32E-2</v>
      </c>
      <c r="AH18" s="2672">
        <f>ROUND(AVERAGE(L18:L$23)/100,4)</f>
        <v>1.0500000000000001E-2</v>
      </c>
    </row>
    <row r="19" spans="1:34">
      <c r="A19" s="2653" t="s">
        <v>965</v>
      </c>
      <c r="B19" s="2667">
        <f t="shared" si="15"/>
        <v>319.87748030386797</v>
      </c>
      <c r="C19" s="2667">
        <f t="shared" si="15"/>
        <v>269.60135833173649</v>
      </c>
      <c r="D19" s="2667">
        <f t="shared" si="12"/>
        <v>269.60135833173649</v>
      </c>
      <c r="E19" s="2667">
        <f t="shared" si="16"/>
        <v>439.18089823583784</v>
      </c>
      <c r="F19" s="2667">
        <f t="shared" si="16"/>
        <v>239.23503918706311</v>
      </c>
      <c r="G19" s="3582"/>
      <c r="H19" s="2657">
        <v>1</v>
      </c>
      <c r="I19" s="2657">
        <v>0.51</v>
      </c>
      <c r="J19" s="2657">
        <v>0.54</v>
      </c>
      <c r="K19" s="2657">
        <v>0.48</v>
      </c>
      <c r="L19" s="2668">
        <v>0.93</v>
      </c>
      <c r="N19" s="2670">
        <f t="shared" si="14"/>
        <v>5.1000000000000004E-3</v>
      </c>
      <c r="O19" s="2671">
        <f t="shared" si="10"/>
        <v>5.4000000000000003E-3</v>
      </c>
      <c r="P19" s="2671">
        <f t="shared" si="10"/>
        <v>4.7999999999999996E-3</v>
      </c>
      <c r="Q19" s="2671">
        <f t="shared" si="10"/>
        <v>9.300000000000001E-3</v>
      </c>
      <c r="R19" s="2664"/>
      <c r="S19" s="2670">
        <f>B19/B20-1</f>
        <v>5.9040261127922822E-3</v>
      </c>
      <c r="T19" s="2671">
        <f>C19/C20-1</f>
        <v>5.9752176557332781E-3</v>
      </c>
      <c r="U19" s="2671">
        <f>E19/E20-1</f>
        <v>4.9906138119859556E-3</v>
      </c>
      <c r="V19" s="2671">
        <f>F19/F20-1</f>
        <v>9.4305450930933787E-3</v>
      </c>
      <c r="X19" s="2752">
        <f>ROUND(SUMPRODUCT(PRODUCT(1+N19:N$22)),4)</f>
        <v>1.0399</v>
      </c>
      <c r="Y19" s="2752">
        <f>ROUND(SUMPRODUCT(PRODUCT(1+O19:O$22)),4)</f>
        <v>1.0451999999999999</v>
      </c>
      <c r="Z19" s="2752">
        <f t="shared" si="0"/>
        <v>1.0451999999999999</v>
      </c>
      <c r="AA19" s="2752">
        <f>ROUND(SUMPRODUCT(PRODUCT(1+P19:P$22)),4)</f>
        <v>1.0387999999999999</v>
      </c>
      <c r="AB19" s="2752">
        <f>ROUND(SUMPRODUCT(PRODUCT(1+Q19:Q$22)),4)</f>
        <v>1.0411999999999999</v>
      </c>
      <c r="AD19" s="2672">
        <f>ROUND(AVERAGE(I19:I$23)/100,4)</f>
        <v>1.38E-2</v>
      </c>
      <c r="AE19" s="2672">
        <f>ROUND(AVERAGE(J19:J$23)/100,4)</f>
        <v>1.3599999999999999E-2</v>
      </c>
      <c r="AF19" s="2672">
        <f t="shared" si="1"/>
        <v>1.3599999999999999E-2</v>
      </c>
      <c r="AG19" s="2672">
        <f>ROUND(AVERAGE(K19:K$23)/100,4)</f>
        <v>1.4200000000000001E-2</v>
      </c>
      <c r="AH19" s="2672">
        <f>ROUND(AVERAGE(L19:L$23)/100,4)</f>
        <v>1.0800000000000001E-2</v>
      </c>
    </row>
    <row r="20" spans="1:34" ht="13.5" thickBot="1">
      <c r="A20" s="2653" t="s">
        <v>964</v>
      </c>
      <c r="B20" s="2681">
        <v>318</v>
      </c>
      <c r="C20" s="2681">
        <v>268</v>
      </c>
      <c r="D20" s="2681">
        <f t="shared" si="12"/>
        <v>268</v>
      </c>
      <c r="E20" s="2681">
        <v>437</v>
      </c>
      <c r="F20" s="2682">
        <v>237</v>
      </c>
      <c r="G20" s="3580">
        <v>2014</v>
      </c>
      <c r="H20" s="2673">
        <v>4</v>
      </c>
      <c r="I20" s="2673">
        <v>0.21</v>
      </c>
      <c r="J20" s="2673">
        <v>0.41</v>
      </c>
      <c r="K20" s="2673">
        <v>0.12</v>
      </c>
      <c r="L20" s="2674">
        <v>0.89</v>
      </c>
      <c r="N20" s="2662">
        <f t="shared" si="14"/>
        <v>2.0999999999999999E-3</v>
      </c>
      <c r="O20" s="2663">
        <f t="shared" si="10"/>
        <v>4.0999999999999995E-3</v>
      </c>
      <c r="P20" s="2663">
        <f t="shared" si="10"/>
        <v>1.1999999999999999E-3</v>
      </c>
      <c r="Q20" s="2663">
        <f t="shared" si="10"/>
        <v>8.8999999999999999E-3</v>
      </c>
      <c r="R20" s="2664"/>
      <c r="S20" s="2665"/>
      <c r="T20" s="2666"/>
      <c r="U20" s="2666"/>
      <c r="V20" s="2666"/>
      <c r="X20" s="2752">
        <f>ROUND(SUMPRODUCT(PRODUCT(1+N20:N$22)),4)</f>
        <v>1.0347</v>
      </c>
      <c r="Y20" s="2752">
        <f>ROUND(SUMPRODUCT(PRODUCT(1+O20:O$22)),4)</f>
        <v>1.0395000000000001</v>
      </c>
      <c r="Z20" s="2752">
        <f t="shared" si="0"/>
        <v>1.0395000000000001</v>
      </c>
      <c r="AA20" s="2752">
        <f>ROUND(SUMPRODUCT(PRODUCT(1+P20:P$22)),4)</f>
        <v>1.0338000000000001</v>
      </c>
      <c r="AB20" s="2752">
        <f>ROUND(SUMPRODUCT(PRODUCT(1+Q20:Q$22)),4)</f>
        <v>1.0316000000000001</v>
      </c>
      <c r="AD20" s="2672">
        <f>ROUND(AVERAGE(I20:I$23)/100,4)</f>
        <v>1.6E-2</v>
      </c>
      <c r="AE20" s="2672">
        <f>ROUND(AVERAGE(J20:J$23)/100,4)</f>
        <v>1.5599999999999999E-2</v>
      </c>
      <c r="AF20" s="2672">
        <f t="shared" si="1"/>
        <v>1.5599999999999999E-2</v>
      </c>
      <c r="AG20" s="2672">
        <f>ROUND(AVERAGE(K20:K$23)/100,4)</f>
        <v>1.66E-2</v>
      </c>
      <c r="AH20" s="2672">
        <f>ROUND(AVERAGE(L20:L$23)/100,4)</f>
        <v>1.12E-2</v>
      </c>
    </row>
    <row r="21" spans="1:34">
      <c r="A21" s="2653" t="s">
        <v>963</v>
      </c>
      <c r="B21" s="2667">
        <f t="shared" ref="B21:C23" si="17">B20/(1+N20)</f>
        <v>317.33359944117353</v>
      </c>
      <c r="C21" s="2667">
        <f t="shared" si="17"/>
        <v>266.90568668459315</v>
      </c>
      <c r="D21" s="2667">
        <f t="shared" si="12"/>
        <v>266.90568668459315</v>
      </c>
      <c r="E21" s="2667">
        <f t="shared" ref="E21:F23" si="18">E20/(1+P20)</f>
        <v>436.47622852576905</v>
      </c>
      <c r="F21" s="2667">
        <f t="shared" si="18"/>
        <v>234.90930716622066</v>
      </c>
      <c r="G21" s="3581"/>
      <c r="H21" s="2683">
        <v>3</v>
      </c>
      <c r="I21" s="2683">
        <v>0.83</v>
      </c>
      <c r="J21" s="2683">
        <v>1.47</v>
      </c>
      <c r="K21" s="2683">
        <v>0.65</v>
      </c>
      <c r="L21" s="2684">
        <v>0.72</v>
      </c>
      <c r="N21" s="2662">
        <f t="shared" si="14"/>
        <v>8.3000000000000001E-3</v>
      </c>
      <c r="O21" s="2663">
        <f t="shared" si="10"/>
        <v>1.47E-2</v>
      </c>
      <c r="P21" s="2663">
        <f t="shared" si="10"/>
        <v>6.5000000000000006E-3</v>
      </c>
      <c r="Q21" s="2663">
        <f t="shared" si="10"/>
        <v>7.1999999999999998E-3</v>
      </c>
      <c r="R21" s="2664"/>
      <c r="S21" s="2662"/>
      <c r="T21" s="2663"/>
      <c r="U21" s="2663"/>
      <c r="V21" s="2663"/>
      <c r="X21" s="2752">
        <f>ROUND(SUMPRODUCT(PRODUCT(1+N21:N$22)),4)</f>
        <v>1.0325</v>
      </c>
      <c r="Y21" s="2752">
        <f>ROUND(SUMPRODUCT(PRODUCT(1+O21:O$22)),4)</f>
        <v>1.0353000000000001</v>
      </c>
      <c r="Z21" s="2752">
        <f>Y21</f>
        <v>1.0353000000000001</v>
      </c>
      <c r="AA21" s="2752">
        <f>ROUND(SUMPRODUCT(PRODUCT(1+P21:P$22)),4)</f>
        <v>1.0326</v>
      </c>
      <c r="AB21" s="2752">
        <f>ROUND(SUMPRODUCT(PRODUCT(1+Q21:Q$22)),4)</f>
        <v>1.0225</v>
      </c>
      <c r="AD21" s="2672">
        <f>ROUND(AVERAGE(I21:I$23)/100,4)</f>
        <v>2.07E-2</v>
      </c>
      <c r="AE21" s="2672">
        <f>ROUND(AVERAGE(J21:J$23)/100,4)</f>
        <v>1.95E-2</v>
      </c>
      <c r="AF21" s="2672">
        <f t="shared" si="1"/>
        <v>1.95E-2</v>
      </c>
      <c r="AG21" s="2672">
        <f>ROUND(AVERAGE(K21:K$23)/100,4)</f>
        <v>2.1700000000000001E-2</v>
      </c>
      <c r="AH21" s="2672">
        <f>ROUND(AVERAGE(L21:L$23)/100,4)</f>
        <v>1.2E-2</v>
      </c>
    </row>
    <row r="22" spans="1:34" ht="13.5" thickBot="1">
      <c r="A22" s="2653" t="s">
        <v>962</v>
      </c>
      <c r="B22" s="2667">
        <f t="shared" si="17"/>
        <v>314.72141172386546</v>
      </c>
      <c r="C22" s="2667">
        <f t="shared" si="17"/>
        <v>263.03901319069001</v>
      </c>
      <c r="D22" s="2667">
        <f t="shared" si="12"/>
        <v>263.03901319069001</v>
      </c>
      <c r="E22" s="2667">
        <f t="shared" si="18"/>
        <v>433.65745506782821</v>
      </c>
      <c r="F22" s="2667">
        <f t="shared" si="18"/>
        <v>233.23005080045735</v>
      </c>
      <c r="G22" s="3581"/>
      <c r="H22" s="2673">
        <v>2</v>
      </c>
      <c r="I22" s="2673">
        <v>2.4</v>
      </c>
      <c r="J22" s="2673">
        <v>2.0299999999999998</v>
      </c>
      <c r="K22" s="2673">
        <v>2.59</v>
      </c>
      <c r="L22" s="2674">
        <v>1.52</v>
      </c>
      <c r="N22" s="2662">
        <f t="shared" si="14"/>
        <v>2.4E-2</v>
      </c>
      <c r="O22" s="2663">
        <f t="shared" si="10"/>
        <v>2.0299999999999999E-2</v>
      </c>
      <c r="P22" s="2663">
        <f t="shared" si="10"/>
        <v>2.5899999999999999E-2</v>
      </c>
      <c r="Q22" s="2663">
        <f t="shared" si="10"/>
        <v>1.52E-2</v>
      </c>
      <c r="R22" s="2664"/>
      <c r="S22" s="2662"/>
      <c r="T22" s="2663"/>
      <c r="U22" s="2663"/>
      <c r="V22" s="2663"/>
      <c r="X22" s="2752">
        <f>1+N22</f>
        <v>1.024</v>
      </c>
      <c r="Y22" s="2752">
        <f>1+O22</f>
        <v>1.0203</v>
      </c>
      <c r="Z22" s="2752">
        <f>Y22</f>
        <v>1.0203</v>
      </c>
      <c r="AA22" s="2752">
        <f>1+P22</f>
        <v>1.0259</v>
      </c>
      <c r="AB22" s="2752">
        <f>1+Q22</f>
        <v>1.0152000000000001</v>
      </c>
      <c r="AD22" s="2672">
        <f>ROUND(AVERAGE(I22:I$23)/100,4)</f>
        <v>2.69E-2</v>
      </c>
      <c r="AE22" s="2672">
        <f>ROUND(AVERAGE(J22:J$23)/100,4)</f>
        <v>2.1899999999999999E-2</v>
      </c>
      <c r="AF22" s="2672">
        <f>AE22</f>
        <v>2.1899999999999999E-2</v>
      </c>
      <c r="AG22" s="2672">
        <f>ROUND(AVERAGE(K22:K$23)/100,4)</f>
        <v>2.9399999999999999E-2</v>
      </c>
      <c r="AH22" s="2672">
        <f>ROUND(AVERAGE(L22:L$23)/100,4)</f>
        <v>1.44E-2</v>
      </c>
    </row>
    <row r="23" spans="1:34" s="2689" customFormat="1" ht="13.5" thickBot="1">
      <c r="A23" s="2685" t="s">
        <v>961</v>
      </c>
      <c r="B23" s="2686">
        <f t="shared" si="17"/>
        <v>307.34512863658733</v>
      </c>
      <c r="C23" s="2686">
        <f t="shared" si="17"/>
        <v>257.80556031626975</v>
      </c>
      <c r="D23" s="2686">
        <f t="shared" si="12"/>
        <v>257.80556031626975</v>
      </c>
      <c r="E23" s="2686">
        <f t="shared" si="18"/>
        <v>422.70928459677179</v>
      </c>
      <c r="F23" s="2686">
        <f t="shared" si="18"/>
        <v>229.73803270336617</v>
      </c>
      <c r="G23" s="3582"/>
      <c r="H23" s="2687">
        <v>1</v>
      </c>
      <c r="I23" s="2687">
        <v>2.97</v>
      </c>
      <c r="J23" s="2687">
        <v>2.34</v>
      </c>
      <c r="K23" s="2687">
        <v>3.28</v>
      </c>
      <c r="L23" s="2688">
        <v>1.36</v>
      </c>
      <c r="N23" s="2690">
        <f t="shared" si="14"/>
        <v>2.9700000000000001E-2</v>
      </c>
      <c r="O23" s="2691">
        <f t="shared" si="10"/>
        <v>2.3399999999999997E-2</v>
      </c>
      <c r="P23" s="2691">
        <f t="shared" si="10"/>
        <v>3.2799999999999996E-2</v>
      </c>
      <c r="Q23" s="2691">
        <f t="shared" si="10"/>
        <v>1.3600000000000001E-2</v>
      </c>
      <c r="R23" s="2692"/>
      <c r="S23" s="2693">
        <f>B23/B24-1</f>
        <v>2.7910129219355539E-2</v>
      </c>
      <c r="T23" s="2694">
        <f>C23/C24-1</f>
        <v>2.3037937762975247E-2</v>
      </c>
      <c r="U23" s="2694">
        <f>E23/E24-1</f>
        <v>3.3519033243940788E-2</v>
      </c>
      <c r="V23" s="2694">
        <f>F23/F24-1</f>
        <v>1.2061818076502862E-2</v>
      </c>
      <c r="W23" s="2761" t="s">
        <v>2638</v>
      </c>
      <c r="X23" s="2763">
        <v>1</v>
      </c>
      <c r="Y23" s="2763">
        <v>1</v>
      </c>
      <c r="Z23" s="2763">
        <v>1</v>
      </c>
      <c r="AA23" s="2763">
        <v>1</v>
      </c>
      <c r="AB23" s="2763">
        <v>1</v>
      </c>
      <c r="AD23" s="3006">
        <f>I23/100</f>
        <v>2.9700000000000001E-2</v>
      </c>
      <c r="AE23" s="3006">
        <f>J23/100</f>
        <v>2.3399999999999997E-2</v>
      </c>
      <c r="AF23" s="3006">
        <f>AE23</f>
        <v>2.3399999999999997E-2</v>
      </c>
      <c r="AG23" s="3006">
        <f>K23/100</f>
        <v>3.2799999999999996E-2</v>
      </c>
      <c r="AH23" s="3006">
        <f>L23/100</f>
        <v>1.3600000000000001E-2</v>
      </c>
    </row>
    <row r="24" spans="1:34" ht="13.5" thickBot="1">
      <c r="A24" s="2653" t="s">
        <v>2581</v>
      </c>
      <c r="B24" s="2659">
        <v>299</v>
      </c>
      <c r="C24" s="2659">
        <v>252</v>
      </c>
      <c r="D24" s="2659">
        <f t="shared" si="12"/>
        <v>252</v>
      </c>
      <c r="E24" s="2659">
        <v>409</v>
      </c>
      <c r="F24" s="2660">
        <v>227</v>
      </c>
      <c r="G24" s="3583">
        <v>2013</v>
      </c>
      <c r="H24" s="2695">
        <v>4</v>
      </c>
      <c r="I24" s="2695">
        <v>1.83</v>
      </c>
      <c r="J24" s="2695">
        <v>1.68</v>
      </c>
      <c r="K24" s="2695">
        <v>1.97</v>
      </c>
      <c r="L24" s="2696">
        <v>0.87</v>
      </c>
      <c r="N24" s="2675">
        <f t="shared" si="14"/>
        <v>1.83E-2</v>
      </c>
      <c r="O24" s="2676">
        <f t="shared" si="10"/>
        <v>1.6799999999999999E-2</v>
      </c>
      <c r="P24" s="2676">
        <f t="shared" si="10"/>
        <v>1.9699999999999999E-2</v>
      </c>
      <c r="Q24" s="2676">
        <f t="shared" si="10"/>
        <v>8.6999999999999994E-3</v>
      </c>
      <c r="R24" s="2664"/>
      <c r="S24" s="2665"/>
      <c r="T24" s="2666"/>
      <c r="U24" s="2666"/>
      <c r="V24" s="2666"/>
      <c r="X24" s="2666"/>
      <c r="Y24" s="2666"/>
      <c r="Z24" s="2666"/>
    </row>
    <row r="25" spans="1:34">
      <c r="A25" s="2653" t="s">
        <v>2582</v>
      </c>
      <c r="B25" s="2667">
        <f t="shared" ref="B25:C27" si="19">B24/(1+N24)</f>
        <v>293.62663262299913</v>
      </c>
      <c r="C25" s="2667">
        <f t="shared" si="19"/>
        <v>247.83634933123525</v>
      </c>
      <c r="D25" s="2667">
        <f t="shared" si="12"/>
        <v>247.83634933123525</v>
      </c>
      <c r="E25" s="2667">
        <f t="shared" ref="E25:F27" si="20">E24/(1+P24)</f>
        <v>401.09836226341076</v>
      </c>
      <c r="F25" s="2667">
        <f t="shared" si="20"/>
        <v>225.04213343908003</v>
      </c>
      <c r="G25" s="3584"/>
      <c r="H25" s="2678">
        <v>3</v>
      </c>
      <c r="I25" s="2678">
        <v>1.86</v>
      </c>
      <c r="J25" s="2678">
        <v>1.72</v>
      </c>
      <c r="K25" s="2678">
        <v>1.98</v>
      </c>
      <c r="L25" s="2679">
        <v>0.88</v>
      </c>
      <c r="N25" s="2662">
        <f t="shared" si="14"/>
        <v>1.8600000000000002E-2</v>
      </c>
      <c r="O25" s="2680">
        <f t="shared" si="10"/>
        <v>1.72E-2</v>
      </c>
      <c r="P25" s="2680">
        <f t="shared" si="10"/>
        <v>1.9799999999999998E-2</v>
      </c>
      <c r="Q25" s="2680">
        <f t="shared" si="10"/>
        <v>8.8000000000000005E-3</v>
      </c>
      <c r="R25" s="2664"/>
      <c r="S25" s="2662"/>
      <c r="T25" s="2663"/>
      <c r="U25" s="2663"/>
      <c r="V25" s="2663"/>
    </row>
    <row r="26" spans="1:34">
      <c r="A26" s="2653" t="s">
        <v>2583</v>
      </c>
      <c r="B26" s="2667">
        <f t="shared" si="19"/>
        <v>288.2649053828776</v>
      </c>
      <c r="C26" s="2667">
        <f t="shared" si="19"/>
        <v>243.64564425013293</v>
      </c>
      <c r="D26" s="2667">
        <f t="shared" si="12"/>
        <v>243.64564425013293</v>
      </c>
      <c r="E26" s="2667">
        <f t="shared" si="20"/>
        <v>393.31080825986544</v>
      </c>
      <c r="F26" s="2667">
        <f t="shared" si="20"/>
        <v>223.07903790551154</v>
      </c>
      <c r="G26" s="3584"/>
      <c r="H26" s="2658">
        <v>2</v>
      </c>
      <c r="I26" s="2658">
        <v>2.04</v>
      </c>
      <c r="J26" s="2658">
        <v>2.33</v>
      </c>
      <c r="K26" s="2658">
        <v>2.0699999999999998</v>
      </c>
      <c r="L26" s="2669">
        <v>0.69</v>
      </c>
      <c r="N26" s="2662">
        <f t="shared" si="14"/>
        <v>2.0400000000000001E-2</v>
      </c>
      <c r="O26" s="2680">
        <f t="shared" si="10"/>
        <v>2.3300000000000001E-2</v>
      </c>
      <c r="P26" s="2680">
        <f t="shared" si="10"/>
        <v>2.07E-2</v>
      </c>
      <c r="Q26" s="2680">
        <f t="shared" si="10"/>
        <v>6.8999999999999999E-3</v>
      </c>
      <c r="R26" s="2664"/>
      <c r="S26" s="2662"/>
      <c r="T26" s="2663"/>
      <c r="U26" s="2663"/>
      <c r="V26" s="2663"/>
      <c r="X26" s="2764"/>
      <c r="Y26" s="2766"/>
    </row>
    <row r="27" spans="1:34">
      <c r="A27" s="2653" t="s">
        <v>2584</v>
      </c>
      <c r="B27" s="2667">
        <f t="shared" si="19"/>
        <v>282.50186729015837</v>
      </c>
      <c r="C27" s="2667">
        <f t="shared" si="19"/>
        <v>238.09796174155468</v>
      </c>
      <c r="D27" s="2667">
        <f t="shared" si="12"/>
        <v>238.09796174155468</v>
      </c>
      <c r="E27" s="2667">
        <f t="shared" si="20"/>
        <v>385.33438646014054</v>
      </c>
      <c r="F27" s="2667">
        <f t="shared" si="20"/>
        <v>221.55034055567739</v>
      </c>
      <c r="G27" s="3585"/>
      <c r="H27" s="2657">
        <v>1</v>
      </c>
      <c r="I27" s="2657">
        <v>1.67</v>
      </c>
      <c r="J27" s="2657">
        <v>1.31</v>
      </c>
      <c r="K27" s="2657">
        <v>1.85</v>
      </c>
      <c r="L27" s="2668">
        <v>0.96</v>
      </c>
      <c r="N27" s="2670">
        <f t="shared" si="14"/>
        <v>1.67E-2</v>
      </c>
      <c r="O27" s="2671">
        <f t="shared" si="10"/>
        <v>1.3100000000000001E-2</v>
      </c>
      <c r="P27" s="2671">
        <f t="shared" si="10"/>
        <v>1.8500000000000003E-2</v>
      </c>
      <c r="Q27" s="2671">
        <f t="shared" si="10"/>
        <v>9.5999999999999992E-3</v>
      </c>
      <c r="R27" s="2664"/>
      <c r="S27" s="2670">
        <f>B27/B28-1</f>
        <v>1.6193767230785472E-2</v>
      </c>
      <c r="T27" s="2671">
        <f>C27/C28-1</f>
        <v>1.7512657015190891E-2</v>
      </c>
      <c r="U27" s="2671">
        <f>E27/E28-1</f>
        <v>1.6713420739157048E-2</v>
      </c>
      <c r="V27" s="2671">
        <f>F27/F28-1</f>
        <v>7.0470025258062563E-3</v>
      </c>
      <c r="X27" s="2765"/>
      <c r="Y27" s="2672"/>
      <c r="Z27" s="2672"/>
    </row>
    <row r="28" spans="1:34" ht="13.5" thickBot="1">
      <c r="A28" s="2653" t="s">
        <v>2585</v>
      </c>
      <c r="B28" s="2697">
        <v>278</v>
      </c>
      <c r="C28" s="2697">
        <v>234</v>
      </c>
      <c r="D28" s="2697">
        <f t="shared" si="12"/>
        <v>234</v>
      </c>
      <c r="E28" s="2697">
        <v>379</v>
      </c>
      <c r="F28" s="2698">
        <v>220</v>
      </c>
      <c r="G28" s="3580">
        <v>2012</v>
      </c>
      <c r="H28" s="2673">
        <v>4</v>
      </c>
      <c r="I28" s="2673">
        <v>0.91</v>
      </c>
      <c r="J28" s="2673">
        <v>0.68</v>
      </c>
      <c r="K28" s="2673">
        <v>0.98</v>
      </c>
      <c r="L28" s="2674">
        <v>0.9</v>
      </c>
      <c r="N28" s="2662">
        <f t="shared" si="14"/>
        <v>9.1000000000000004E-3</v>
      </c>
      <c r="O28" s="2663">
        <f t="shared" si="14"/>
        <v>6.8000000000000005E-3</v>
      </c>
      <c r="P28" s="2663">
        <f t="shared" si="14"/>
        <v>9.7999999999999997E-3</v>
      </c>
      <c r="Q28" s="2663">
        <f t="shared" si="14"/>
        <v>9.0000000000000011E-3</v>
      </c>
      <c r="R28" s="2664"/>
      <c r="S28" s="2665"/>
      <c r="T28" s="2666"/>
      <c r="U28" s="2666"/>
      <c r="V28" s="2666"/>
      <c r="X28" s="2666"/>
      <c r="Y28" s="2666"/>
      <c r="Z28" s="2666"/>
    </row>
    <row r="29" spans="1:34">
      <c r="A29" s="2653" t="s">
        <v>2586</v>
      </c>
      <c r="B29" s="2667">
        <f>B28/(1+N28)</f>
        <v>275.49301357645425</v>
      </c>
      <c r="C29" s="2667">
        <f>C28/(1+O28)</f>
        <v>232.41954707985698</v>
      </c>
      <c r="D29" s="2667">
        <f t="shared" si="12"/>
        <v>232.41954707985698</v>
      </c>
      <c r="E29" s="2667">
        <f t="shared" ref="E29:F31" si="21">E28/(1+P28)</f>
        <v>375.32184591008121</v>
      </c>
      <c r="F29" s="2667">
        <f t="shared" si="21"/>
        <v>218.03766105054513</v>
      </c>
      <c r="G29" s="3581"/>
      <c r="H29" s="2678">
        <v>3</v>
      </c>
      <c r="I29" s="2678">
        <v>0.09</v>
      </c>
      <c r="J29" s="2678">
        <v>0.28999999999999998</v>
      </c>
      <c r="K29" s="2678">
        <v>-0.01</v>
      </c>
      <c r="L29" s="2679">
        <v>0.57999999999999996</v>
      </c>
      <c r="N29" s="2662">
        <f t="shared" si="14"/>
        <v>8.9999999999999998E-4</v>
      </c>
      <c r="O29" s="2663">
        <f t="shared" si="14"/>
        <v>2.8999999999999998E-3</v>
      </c>
      <c r="P29" s="2663">
        <f t="shared" si="14"/>
        <v>-1E-4</v>
      </c>
      <c r="Q29" s="2663">
        <f t="shared" si="14"/>
        <v>5.7999999999999996E-3</v>
      </c>
      <c r="R29" s="2664"/>
      <c r="S29" s="2662"/>
      <c r="T29" s="2663"/>
      <c r="U29" s="2663"/>
      <c r="V29" s="2663"/>
    </row>
    <row r="30" spans="1:34">
      <c r="A30" s="2653" t="s">
        <v>2587</v>
      </c>
      <c r="B30" s="2667">
        <f>B29/(1+N29)</f>
        <v>275.24529281292263</v>
      </c>
      <c r="C30" s="2667">
        <f>C29/(1+O29)</f>
        <v>231.74747938962707</v>
      </c>
      <c r="D30" s="2667">
        <f t="shared" si="12"/>
        <v>231.74747938962707</v>
      </c>
      <c r="E30" s="2667">
        <f t="shared" si="21"/>
        <v>375.35938184826603</v>
      </c>
      <c r="F30" s="2667">
        <f t="shared" si="21"/>
        <v>216.78033510692495</v>
      </c>
      <c r="G30" s="3581"/>
      <c r="H30" s="2658">
        <v>2</v>
      </c>
      <c r="I30" s="2658">
        <v>0.02</v>
      </c>
      <c r="J30" s="2658">
        <v>0.12</v>
      </c>
      <c r="K30" s="2658">
        <v>-0.08</v>
      </c>
      <c r="L30" s="2669">
        <v>1.24</v>
      </c>
      <c r="N30" s="2662">
        <f t="shared" si="14"/>
        <v>2.0000000000000001E-4</v>
      </c>
      <c r="O30" s="2663">
        <f t="shared" si="14"/>
        <v>1.1999999999999999E-3</v>
      </c>
      <c r="P30" s="2663">
        <f t="shared" si="14"/>
        <v>-8.0000000000000004E-4</v>
      </c>
      <c r="Q30" s="2663">
        <f t="shared" si="14"/>
        <v>1.24E-2</v>
      </c>
      <c r="R30" s="2664"/>
      <c r="S30" s="2662"/>
      <c r="T30" s="2663"/>
      <c r="U30" s="2663"/>
      <c r="V30" s="2663"/>
    </row>
    <row r="31" spans="1:34" ht="13.5" thickBot="1">
      <c r="A31" s="2653" t="s">
        <v>2588</v>
      </c>
      <c r="B31" s="2667">
        <f>B30/(1+N30)</f>
        <v>275.19025476197027</v>
      </c>
      <c r="C31" s="2699">
        <v>232</v>
      </c>
      <c r="D31" s="2699">
        <f t="shared" si="12"/>
        <v>232</v>
      </c>
      <c r="E31" s="2667">
        <f t="shared" si="21"/>
        <v>375.65990977608692</v>
      </c>
      <c r="F31" s="2667">
        <f t="shared" si="21"/>
        <v>214.12518283971252</v>
      </c>
      <c r="G31" s="3582"/>
      <c r="H31" s="2657">
        <v>1</v>
      </c>
      <c r="I31" s="2657">
        <v>0.02</v>
      </c>
      <c r="J31" s="2657">
        <v>0.13</v>
      </c>
      <c r="K31" s="2657">
        <v>-0.04</v>
      </c>
      <c r="L31" s="2668">
        <v>0.46</v>
      </c>
      <c r="N31" s="2662">
        <f t="shared" si="14"/>
        <v>2.0000000000000001E-4</v>
      </c>
      <c r="O31" s="2663">
        <f t="shared" si="14"/>
        <v>1.2999999999999999E-3</v>
      </c>
      <c r="P31" s="2663">
        <f t="shared" si="14"/>
        <v>-4.0000000000000002E-4</v>
      </c>
      <c r="Q31" s="2663">
        <f t="shared" si="14"/>
        <v>4.5999999999999999E-3</v>
      </c>
      <c r="R31" s="2664"/>
      <c r="S31" s="2670">
        <f>B31/B32-1</f>
        <v>6.9183549807361189E-4</v>
      </c>
      <c r="T31" s="2671">
        <f>C31/C32-1</f>
        <v>0</v>
      </c>
      <c r="U31" s="2671">
        <f>E31/E32-1</f>
        <v>-9.0449527636460303E-4</v>
      </c>
      <c r="V31" s="2671">
        <f>F31/F32-1</f>
        <v>5.2825485432512753E-3</v>
      </c>
      <c r="X31" s="2672"/>
      <c r="Y31" s="2672"/>
      <c r="Z31" s="2672"/>
    </row>
    <row r="32" spans="1:34" ht="13.5" thickBot="1">
      <c r="A32" s="2653" t="s">
        <v>2589</v>
      </c>
      <c r="B32" s="2659">
        <v>275</v>
      </c>
      <c r="C32" s="2659">
        <v>232</v>
      </c>
      <c r="D32" s="2659">
        <f t="shared" si="12"/>
        <v>232</v>
      </c>
      <c r="E32" s="2659">
        <v>376</v>
      </c>
      <c r="F32" s="2660">
        <v>213</v>
      </c>
      <c r="G32" s="3580">
        <v>2011</v>
      </c>
      <c r="H32" s="2673">
        <v>4</v>
      </c>
      <c r="I32" s="2673">
        <v>-0.2</v>
      </c>
      <c r="J32" s="2673">
        <v>0.04</v>
      </c>
      <c r="K32" s="2673">
        <v>-0.34</v>
      </c>
      <c r="L32" s="2674">
        <v>0.46</v>
      </c>
      <c r="N32" s="2675">
        <f t="shared" si="14"/>
        <v>-2E-3</v>
      </c>
      <c r="O32" s="2676">
        <f t="shared" si="14"/>
        <v>4.0000000000000002E-4</v>
      </c>
      <c r="P32" s="2676">
        <f t="shared" si="14"/>
        <v>-3.4000000000000002E-3</v>
      </c>
      <c r="Q32" s="2676">
        <f t="shared" si="14"/>
        <v>4.5999999999999999E-3</v>
      </c>
      <c r="R32" s="2664"/>
      <c r="S32" s="2665"/>
      <c r="T32" s="2666"/>
      <c r="U32" s="2666"/>
      <c r="V32" s="2666"/>
      <c r="X32" s="2666"/>
      <c r="Y32" s="2666"/>
      <c r="Z32" s="2666"/>
    </row>
    <row r="33" spans="1:26">
      <c r="A33" s="2653" t="s">
        <v>2590</v>
      </c>
      <c r="B33" s="2667">
        <f t="shared" ref="B33:C35" si="22">B32/(1+N32)</f>
        <v>275.55110220440883</v>
      </c>
      <c r="C33" s="2667">
        <f t="shared" si="22"/>
        <v>231.90723710515795</v>
      </c>
      <c r="D33" s="2667">
        <f t="shared" si="12"/>
        <v>231.90723710515795</v>
      </c>
      <c r="E33" s="2667">
        <f t="shared" ref="E33:F35" si="23">E32/(1+P32)</f>
        <v>377.28276138872161</v>
      </c>
      <c r="F33" s="2667">
        <f t="shared" si="23"/>
        <v>212.02468644236512</v>
      </c>
      <c r="G33" s="3581">
        <v>2011</v>
      </c>
      <c r="H33" s="2678">
        <v>3</v>
      </c>
      <c r="I33" s="2678">
        <v>0.13</v>
      </c>
      <c r="J33" s="2678">
        <v>0.75</v>
      </c>
      <c r="K33" s="2678">
        <v>-0.08</v>
      </c>
      <c r="L33" s="2679">
        <v>0.53</v>
      </c>
      <c r="N33" s="2662">
        <f t="shared" si="14"/>
        <v>1.2999999999999999E-3</v>
      </c>
      <c r="O33" s="2680">
        <f t="shared" si="14"/>
        <v>7.4999999999999997E-3</v>
      </c>
      <c r="P33" s="2680">
        <f t="shared" si="14"/>
        <v>-8.0000000000000004E-4</v>
      </c>
      <c r="Q33" s="2680">
        <f t="shared" si="14"/>
        <v>5.3E-3</v>
      </c>
      <c r="R33" s="2664"/>
      <c r="S33" s="2662"/>
      <c r="T33" s="2663"/>
      <c r="U33" s="2663"/>
      <c r="V33" s="2663"/>
    </row>
    <row r="34" spans="1:26">
      <c r="A34" s="2653" t="s">
        <v>2591</v>
      </c>
      <c r="B34" s="2667">
        <f t="shared" si="22"/>
        <v>275.19335084830601</v>
      </c>
      <c r="C34" s="2667">
        <f t="shared" si="22"/>
        <v>230.18088050139744</v>
      </c>
      <c r="D34" s="2667">
        <f t="shared" si="12"/>
        <v>230.18088050139744</v>
      </c>
      <c r="E34" s="2667">
        <f t="shared" si="23"/>
        <v>377.58482925212331</v>
      </c>
      <c r="F34" s="2667">
        <f t="shared" si="23"/>
        <v>210.90687997847917</v>
      </c>
      <c r="G34" s="3581">
        <v>2011</v>
      </c>
      <c r="H34" s="2658">
        <v>2</v>
      </c>
      <c r="I34" s="2658">
        <v>-0.4</v>
      </c>
      <c r="J34" s="2658">
        <v>0.17</v>
      </c>
      <c r="K34" s="2658">
        <v>-0.57999999999999996</v>
      </c>
      <c r="L34" s="2669">
        <v>-0.2</v>
      </c>
      <c r="N34" s="2662">
        <f t="shared" si="14"/>
        <v>-4.0000000000000001E-3</v>
      </c>
      <c r="O34" s="2680">
        <f t="shared" si="14"/>
        <v>1.7000000000000001E-3</v>
      </c>
      <c r="P34" s="2680">
        <f t="shared" si="14"/>
        <v>-5.7999999999999996E-3</v>
      </c>
      <c r="Q34" s="2680">
        <f t="shared" si="14"/>
        <v>-2E-3</v>
      </c>
      <c r="R34" s="2664"/>
      <c r="S34" s="2662"/>
      <c r="T34" s="2663"/>
      <c r="U34" s="2663"/>
      <c r="V34" s="2663"/>
    </row>
    <row r="35" spans="1:26" ht="13.5" thickBot="1">
      <c r="A35" s="2653" t="s">
        <v>2592</v>
      </c>
      <c r="B35" s="2667">
        <f t="shared" si="22"/>
        <v>276.29854502841971</v>
      </c>
      <c r="C35" s="2667">
        <f t="shared" si="22"/>
        <v>229.79023709833027</v>
      </c>
      <c r="D35" s="2667">
        <f t="shared" si="12"/>
        <v>229.79023709833027</v>
      </c>
      <c r="E35" s="2667">
        <f t="shared" si="23"/>
        <v>379.78759731655936</v>
      </c>
      <c r="F35" s="2667">
        <f t="shared" si="23"/>
        <v>211.32953905659235</v>
      </c>
      <c r="G35" s="3582">
        <v>2011</v>
      </c>
      <c r="H35" s="2657">
        <v>1</v>
      </c>
      <c r="I35" s="2657">
        <v>2.65</v>
      </c>
      <c r="J35" s="2657">
        <v>3.76</v>
      </c>
      <c r="K35" s="2657">
        <v>1.89</v>
      </c>
      <c r="L35" s="2668">
        <v>7.95</v>
      </c>
      <c r="N35" s="2670">
        <f t="shared" si="14"/>
        <v>2.6499999999999999E-2</v>
      </c>
      <c r="O35" s="2671">
        <f t="shared" si="14"/>
        <v>3.7599999999999995E-2</v>
      </c>
      <c r="P35" s="2671">
        <f t="shared" si="14"/>
        <v>1.89E-2</v>
      </c>
      <c r="Q35" s="2671">
        <f t="shared" si="14"/>
        <v>7.9500000000000001E-2</v>
      </c>
      <c r="R35" s="2664"/>
      <c r="S35" s="2670">
        <f>B35/B36-1</f>
        <v>2.713213765211786E-2</v>
      </c>
      <c r="T35" s="2671">
        <f>C35/C36-1</f>
        <v>3.9774828499231862E-2</v>
      </c>
      <c r="U35" s="2671">
        <f>E35/E36-1</f>
        <v>1.8197311840641772E-2</v>
      </c>
      <c r="V35" s="2671">
        <f>F35/F36-1</f>
        <v>7.8211933962205826E-2</v>
      </c>
      <c r="X35" s="2672"/>
      <c r="Y35" s="2672"/>
      <c r="Z35" s="2672"/>
    </row>
    <row r="36" spans="1:26" ht="13.5" thickBot="1">
      <c r="A36" s="2653" t="s">
        <v>2593</v>
      </c>
      <c r="B36" s="2659">
        <v>269</v>
      </c>
      <c r="C36" s="2659">
        <v>221</v>
      </c>
      <c r="D36" s="2659">
        <f t="shared" si="12"/>
        <v>221</v>
      </c>
      <c r="E36" s="2659">
        <v>373</v>
      </c>
      <c r="F36" s="2660">
        <v>196</v>
      </c>
      <c r="G36" s="3580">
        <v>2010</v>
      </c>
      <c r="H36" s="2673">
        <v>4</v>
      </c>
      <c r="I36" s="2673">
        <v>5.72</v>
      </c>
      <c r="J36" s="2673">
        <v>6.57</v>
      </c>
      <c r="K36" s="2673">
        <v>5.72</v>
      </c>
      <c r="L36" s="2674">
        <v>2.72</v>
      </c>
      <c r="N36" s="2662">
        <f t="shared" si="14"/>
        <v>5.7200000000000001E-2</v>
      </c>
      <c r="O36" s="2663">
        <f t="shared" si="14"/>
        <v>6.5700000000000008E-2</v>
      </c>
      <c r="P36" s="2663">
        <f t="shared" si="14"/>
        <v>5.7200000000000001E-2</v>
      </c>
      <c r="Q36" s="2663">
        <f t="shared" si="14"/>
        <v>2.7200000000000002E-2</v>
      </c>
      <c r="R36" s="2664"/>
      <c r="S36" s="2665"/>
      <c r="T36" s="2666"/>
      <c r="U36" s="2666"/>
      <c r="V36" s="2666"/>
      <c r="X36" s="2666"/>
      <c r="Y36" s="2666"/>
      <c r="Z36" s="2666"/>
    </row>
    <row r="37" spans="1:26">
      <c r="A37" s="2653" t="s">
        <v>2594</v>
      </c>
      <c r="B37" s="2667">
        <f t="shared" ref="B37:C39" si="24">B36/(1+N36)</f>
        <v>254.44570563753314</v>
      </c>
      <c r="C37" s="2667">
        <f t="shared" si="24"/>
        <v>207.37543398705074</v>
      </c>
      <c r="D37" s="2667">
        <f t="shared" si="12"/>
        <v>207.37543398705074</v>
      </c>
      <c r="E37" s="2667">
        <f t="shared" ref="E37:F39" si="25">E36/(1+P36)</f>
        <v>352.81876655315932</v>
      </c>
      <c r="F37" s="2667">
        <f t="shared" si="25"/>
        <v>190.809968847352</v>
      </c>
      <c r="G37" s="3581">
        <v>2010</v>
      </c>
      <c r="H37" s="2678">
        <v>3</v>
      </c>
      <c r="I37" s="2678">
        <v>4.7300000000000004</v>
      </c>
      <c r="J37" s="2678">
        <v>3.9</v>
      </c>
      <c r="K37" s="2678">
        <v>5.03</v>
      </c>
      <c r="L37" s="2679">
        <v>4.21</v>
      </c>
      <c r="N37" s="2662">
        <f t="shared" si="14"/>
        <v>4.7300000000000002E-2</v>
      </c>
      <c r="O37" s="2663">
        <f t="shared" si="14"/>
        <v>3.9E-2</v>
      </c>
      <c r="P37" s="2663">
        <f t="shared" si="14"/>
        <v>5.0300000000000004E-2</v>
      </c>
      <c r="Q37" s="2663">
        <f t="shared" si="14"/>
        <v>4.2099999999999999E-2</v>
      </c>
      <c r="R37" s="2664"/>
      <c r="S37" s="2662"/>
      <c r="T37" s="2663"/>
      <c r="U37" s="2663"/>
      <c r="V37" s="2663"/>
    </row>
    <row r="38" spans="1:26">
      <c r="A38" s="2653" t="s">
        <v>2595</v>
      </c>
      <c r="B38" s="2667">
        <f t="shared" si="24"/>
        <v>242.95398227588385</v>
      </c>
      <c r="C38" s="2667">
        <f t="shared" si="24"/>
        <v>199.59137053614126</v>
      </c>
      <c r="D38" s="2667">
        <f t="shared" si="12"/>
        <v>199.59137053614126</v>
      </c>
      <c r="E38" s="2667">
        <f t="shared" si="25"/>
        <v>335.92189522342125</v>
      </c>
      <c r="F38" s="2667">
        <f t="shared" si="25"/>
        <v>183.10139991109489</v>
      </c>
      <c r="G38" s="3581">
        <v>2010</v>
      </c>
      <c r="H38" s="2658">
        <v>2</v>
      </c>
      <c r="I38" s="2658">
        <v>4.6900000000000004</v>
      </c>
      <c r="J38" s="2658">
        <v>3.55</v>
      </c>
      <c r="K38" s="2658">
        <v>5.07</v>
      </c>
      <c r="L38" s="2669">
        <v>4.2300000000000004</v>
      </c>
      <c r="N38" s="2662">
        <f t="shared" si="14"/>
        <v>4.6900000000000004E-2</v>
      </c>
      <c r="O38" s="2663">
        <f t="shared" si="14"/>
        <v>3.5499999999999997E-2</v>
      </c>
      <c r="P38" s="2663">
        <f t="shared" si="14"/>
        <v>5.0700000000000002E-2</v>
      </c>
      <c r="Q38" s="2663">
        <f t="shared" si="14"/>
        <v>4.2300000000000004E-2</v>
      </c>
      <c r="R38" s="2664"/>
      <c r="S38" s="2662"/>
      <c r="T38" s="2663"/>
      <c r="U38" s="2663"/>
      <c r="V38" s="2663"/>
    </row>
    <row r="39" spans="1:26" ht="13.5" thickBot="1">
      <c r="A39" s="2653" t="s">
        <v>2596</v>
      </c>
      <c r="B39" s="2667">
        <f t="shared" si="24"/>
        <v>232.06990378821649</v>
      </c>
      <c r="C39" s="2667">
        <f t="shared" si="24"/>
        <v>192.74878854286936</v>
      </c>
      <c r="D39" s="2667">
        <f t="shared" si="12"/>
        <v>192.74878854286936</v>
      </c>
      <c r="E39" s="2667">
        <f t="shared" si="25"/>
        <v>319.71247284992984</v>
      </c>
      <c r="F39" s="2667">
        <f t="shared" si="25"/>
        <v>175.67053622862409</v>
      </c>
      <c r="G39" s="3582">
        <v>2010</v>
      </c>
      <c r="H39" s="2657">
        <v>1</v>
      </c>
      <c r="I39" s="2657">
        <v>5.4</v>
      </c>
      <c r="J39" s="2657">
        <v>3.2</v>
      </c>
      <c r="K39" s="2657">
        <v>6.16</v>
      </c>
      <c r="L39" s="2668">
        <v>4.51</v>
      </c>
      <c r="N39" s="2662">
        <f t="shared" si="14"/>
        <v>5.4000000000000006E-2</v>
      </c>
      <c r="O39" s="2663">
        <f t="shared" si="14"/>
        <v>3.2000000000000001E-2</v>
      </c>
      <c r="P39" s="2663">
        <f t="shared" si="14"/>
        <v>6.1600000000000002E-2</v>
      </c>
      <c r="Q39" s="2663">
        <f t="shared" si="14"/>
        <v>4.5100000000000001E-2</v>
      </c>
      <c r="R39" s="2664"/>
      <c r="S39" s="2670">
        <f>B39/B40-1</f>
        <v>5.4863199037347599E-2</v>
      </c>
      <c r="T39" s="2671">
        <f>C39/C40-1</f>
        <v>3.0742184721226584E-2</v>
      </c>
      <c r="U39" s="2671">
        <f>E39/E40-1</f>
        <v>6.2167683886810154E-2</v>
      </c>
      <c r="V39" s="2671">
        <f>F39/F40-1</f>
        <v>4.5657953741810031E-2</v>
      </c>
      <c r="X39" s="2672"/>
      <c r="Y39" s="2672"/>
      <c r="Z39" s="2672"/>
    </row>
    <row r="40" spans="1:26" ht="13.5" thickBot="1">
      <c r="A40" s="2653" t="s">
        <v>2597</v>
      </c>
      <c r="B40" s="2659">
        <v>220</v>
      </c>
      <c r="C40" s="2659">
        <v>187</v>
      </c>
      <c r="D40" s="2659">
        <f t="shared" si="12"/>
        <v>187</v>
      </c>
      <c r="E40" s="2659">
        <v>301</v>
      </c>
      <c r="F40" s="2660">
        <v>168</v>
      </c>
      <c r="G40" s="3580">
        <v>2009</v>
      </c>
      <c r="H40" s="2673">
        <v>4</v>
      </c>
      <c r="I40" s="2673">
        <v>2.2999999999999998</v>
      </c>
      <c r="J40" s="2673">
        <v>1.04</v>
      </c>
      <c r="K40" s="2673">
        <v>2.84</v>
      </c>
      <c r="L40" s="2674">
        <v>0.67</v>
      </c>
      <c r="N40" s="2675">
        <f t="shared" si="14"/>
        <v>2.3E-2</v>
      </c>
      <c r="O40" s="2676">
        <f t="shared" si="14"/>
        <v>1.04E-2</v>
      </c>
      <c r="P40" s="2676">
        <f t="shared" si="14"/>
        <v>2.8399999999999998E-2</v>
      </c>
      <c r="Q40" s="2676">
        <f t="shared" si="14"/>
        <v>6.7000000000000002E-3</v>
      </c>
      <c r="R40" s="2664"/>
      <c r="S40" s="2665"/>
      <c r="T40" s="2666"/>
      <c r="U40" s="2666"/>
      <c r="V40" s="2666"/>
      <c r="X40" s="2666"/>
      <c r="Y40" s="2666"/>
      <c r="Z40" s="2666"/>
    </row>
    <row r="41" spans="1:26">
      <c r="A41" s="2653" t="s">
        <v>2598</v>
      </c>
      <c r="B41" s="2667">
        <f t="shared" ref="B41:C43" si="26">B40/(1+N40)</f>
        <v>215.05376344086022</v>
      </c>
      <c r="C41" s="2667">
        <f t="shared" si="26"/>
        <v>185.0752177355503</v>
      </c>
      <c r="D41" s="2667">
        <f t="shared" si="12"/>
        <v>185.0752177355503</v>
      </c>
      <c r="E41" s="2667">
        <f t="shared" ref="E41:F43" si="27">E40/(1+P40)</f>
        <v>292.68767016725008</v>
      </c>
      <c r="F41" s="2667">
        <f t="shared" si="27"/>
        <v>166.88189132810174</v>
      </c>
      <c r="G41" s="3581">
        <v>2009</v>
      </c>
      <c r="H41" s="2678">
        <v>3</v>
      </c>
      <c r="I41" s="2678">
        <v>2.1</v>
      </c>
      <c r="J41" s="2678">
        <v>1.86</v>
      </c>
      <c r="K41" s="2678">
        <v>2.29</v>
      </c>
      <c r="L41" s="2679">
        <v>0.85</v>
      </c>
      <c r="N41" s="2662">
        <f t="shared" si="14"/>
        <v>2.1000000000000001E-2</v>
      </c>
      <c r="O41" s="2680">
        <f t="shared" si="14"/>
        <v>1.8600000000000002E-2</v>
      </c>
      <c r="P41" s="2680">
        <f t="shared" si="14"/>
        <v>2.29E-2</v>
      </c>
      <c r="Q41" s="2680">
        <f t="shared" si="14"/>
        <v>8.5000000000000006E-3</v>
      </c>
      <c r="R41" s="2664"/>
      <c r="S41" s="2662"/>
      <c r="T41" s="2663"/>
      <c r="U41" s="2663"/>
      <c r="V41" s="2663"/>
    </row>
    <row r="42" spans="1:26">
      <c r="A42" s="2653" t="s">
        <v>2599</v>
      </c>
      <c r="B42" s="2667">
        <f t="shared" si="26"/>
        <v>210.630522469011</v>
      </c>
      <c r="C42" s="2667">
        <f t="shared" si="26"/>
        <v>181.69567812247232</v>
      </c>
      <c r="D42" s="2667">
        <f t="shared" si="12"/>
        <v>181.69567812247232</v>
      </c>
      <c r="E42" s="2667">
        <f t="shared" si="27"/>
        <v>286.13517466736738</v>
      </c>
      <c r="F42" s="2667">
        <f t="shared" si="27"/>
        <v>165.47535084591149</v>
      </c>
      <c r="G42" s="3581">
        <v>2009</v>
      </c>
      <c r="H42" s="2658">
        <v>2</v>
      </c>
      <c r="I42" s="2658">
        <v>0.86</v>
      </c>
      <c r="J42" s="2658">
        <v>-1.1299999999999999</v>
      </c>
      <c r="K42" s="2658">
        <v>1.79</v>
      </c>
      <c r="L42" s="2669">
        <v>-2.0699999999999998</v>
      </c>
      <c r="N42" s="2662">
        <f t="shared" si="14"/>
        <v>8.6E-3</v>
      </c>
      <c r="O42" s="2680">
        <f t="shared" si="14"/>
        <v>-1.1299999999999999E-2</v>
      </c>
      <c r="P42" s="2680">
        <f t="shared" si="14"/>
        <v>1.7899999999999999E-2</v>
      </c>
      <c r="Q42" s="2680">
        <f t="shared" si="14"/>
        <v>-2.07E-2</v>
      </c>
      <c r="R42" s="2664"/>
      <c r="S42" s="2662"/>
      <c r="T42" s="2663"/>
      <c r="U42" s="2663"/>
      <c r="V42" s="2663"/>
    </row>
    <row r="43" spans="1:26">
      <c r="A43" s="2653" t="s">
        <v>2600</v>
      </c>
      <c r="B43" s="2667">
        <f t="shared" si="26"/>
        <v>208.83454537875372</v>
      </c>
      <c r="C43" s="2667">
        <f t="shared" si="26"/>
        <v>183.77230517090351</v>
      </c>
      <c r="D43" s="2667">
        <f t="shared" si="12"/>
        <v>183.77230517090351</v>
      </c>
      <c r="E43" s="2667">
        <f t="shared" si="27"/>
        <v>281.10342338870947</v>
      </c>
      <c r="F43" s="2667">
        <f t="shared" si="27"/>
        <v>168.97309388942256</v>
      </c>
      <c r="G43" s="3582">
        <v>2009</v>
      </c>
      <c r="H43" s="2657">
        <v>1</v>
      </c>
      <c r="I43" s="2657">
        <v>-2.64</v>
      </c>
      <c r="J43" s="2657">
        <v>-2.5299999999999998</v>
      </c>
      <c r="K43" s="2657">
        <v>-3.02</v>
      </c>
      <c r="L43" s="2668">
        <v>1.52</v>
      </c>
      <c r="N43" s="2670">
        <f t="shared" si="14"/>
        <v>-2.64E-2</v>
      </c>
      <c r="O43" s="2671">
        <f t="shared" si="14"/>
        <v>-2.53E-2</v>
      </c>
      <c r="P43" s="2671">
        <f t="shared" si="14"/>
        <v>-3.0200000000000001E-2</v>
      </c>
      <c r="Q43" s="2671">
        <f t="shared" si="14"/>
        <v>1.52E-2</v>
      </c>
      <c r="R43" s="2664"/>
      <c r="S43" s="2670">
        <f>B43/B44-1</f>
        <v>-2.4137638417038754E-2</v>
      </c>
      <c r="T43" s="2671">
        <f>C43/C44-1</f>
        <v>-2.248773845264096E-2</v>
      </c>
      <c r="U43" s="2671">
        <f>E43/E44-1</f>
        <v>-2.7323794502735366E-2</v>
      </c>
      <c r="V43" s="2671">
        <f>F43/F44-1</f>
        <v>1.7910204153148035E-2</v>
      </c>
      <c r="X43" s="2672"/>
      <c r="Y43" s="2672"/>
      <c r="Z43" s="2672"/>
    </row>
    <row r="44" spans="1:26" ht="13.5" thickBot="1">
      <c r="A44" s="2653" t="s">
        <v>2601</v>
      </c>
      <c r="B44" s="2697">
        <v>214</v>
      </c>
      <c r="C44" s="2697">
        <v>188</v>
      </c>
      <c r="D44" s="2697">
        <f t="shared" si="12"/>
        <v>188</v>
      </c>
      <c r="E44" s="2697">
        <v>289</v>
      </c>
      <c r="F44" s="2698">
        <v>166</v>
      </c>
      <c r="G44" s="3580">
        <v>2008</v>
      </c>
      <c r="H44" s="2673">
        <v>4</v>
      </c>
      <c r="I44" s="2673">
        <v>1.73</v>
      </c>
      <c r="J44" s="2673">
        <v>0.03</v>
      </c>
      <c r="K44" s="2673">
        <v>2.59</v>
      </c>
      <c r="L44" s="2674">
        <v>-1.66</v>
      </c>
      <c r="N44" s="2662">
        <f t="shared" si="14"/>
        <v>1.7299999999999999E-2</v>
      </c>
      <c r="O44" s="2663">
        <f t="shared" si="14"/>
        <v>2.9999999999999997E-4</v>
      </c>
      <c r="P44" s="2663">
        <f t="shared" si="14"/>
        <v>2.5899999999999999E-2</v>
      </c>
      <c r="Q44" s="2663">
        <f t="shared" si="14"/>
        <v>-1.66E-2</v>
      </c>
      <c r="R44" s="2664"/>
      <c r="S44" s="2665"/>
      <c r="T44" s="2666"/>
      <c r="U44" s="2666"/>
      <c r="V44" s="2666"/>
      <c r="X44" s="2666"/>
      <c r="Y44" s="2666"/>
      <c r="Z44" s="2666"/>
    </row>
    <row r="45" spans="1:26">
      <c r="A45" s="2653" t="s">
        <v>2602</v>
      </c>
      <c r="B45" s="2667">
        <f t="shared" ref="B45:C47" si="28">B44/(1+N44)</f>
        <v>210.36075887152265</v>
      </c>
      <c r="C45" s="2667">
        <f t="shared" si="28"/>
        <v>187.94361691492554</v>
      </c>
      <c r="D45" s="2667">
        <f t="shared" si="12"/>
        <v>187.94361691492554</v>
      </c>
      <c r="E45" s="2667">
        <f t="shared" ref="E45:F47" si="29">E44/(1+P44)</f>
        <v>281.70386977288234</v>
      </c>
      <c r="F45" s="2667">
        <f t="shared" si="29"/>
        <v>168.80211511083994</v>
      </c>
      <c r="G45" s="3581">
        <v>2008</v>
      </c>
      <c r="H45" s="2678">
        <v>3</v>
      </c>
      <c r="I45" s="2678">
        <v>1.96</v>
      </c>
      <c r="J45" s="2678">
        <v>2.36</v>
      </c>
      <c r="K45" s="2678">
        <v>1.82</v>
      </c>
      <c r="L45" s="2679">
        <v>2.2200000000000002</v>
      </c>
      <c r="N45" s="2662">
        <f t="shared" si="14"/>
        <v>1.9599999999999999E-2</v>
      </c>
      <c r="O45" s="2663">
        <f t="shared" si="14"/>
        <v>2.3599999999999999E-2</v>
      </c>
      <c r="P45" s="2663">
        <f t="shared" si="14"/>
        <v>1.8200000000000001E-2</v>
      </c>
      <c r="Q45" s="2663">
        <f t="shared" si="14"/>
        <v>2.2200000000000001E-2</v>
      </c>
      <c r="R45" s="2664"/>
      <c r="S45" s="2662"/>
      <c r="T45" s="2663"/>
      <c r="U45" s="2663"/>
      <c r="V45" s="2663"/>
    </row>
    <row r="46" spans="1:26">
      <c r="A46" s="2653" t="s">
        <v>2603</v>
      </c>
      <c r="B46" s="2667">
        <f t="shared" si="28"/>
        <v>206.31694671589116</v>
      </c>
      <c r="C46" s="2667">
        <f t="shared" si="28"/>
        <v>183.61041121036101</v>
      </c>
      <c r="D46" s="2667">
        <f t="shared" si="12"/>
        <v>183.61041121036101</v>
      </c>
      <c r="E46" s="2667">
        <f t="shared" si="29"/>
        <v>276.66850301795557</v>
      </c>
      <c r="F46" s="2667">
        <f t="shared" si="29"/>
        <v>165.1360938278614</v>
      </c>
      <c r="G46" s="3581">
        <v>2008</v>
      </c>
      <c r="H46" s="2658">
        <v>2</v>
      </c>
      <c r="I46" s="2658">
        <v>4.93</v>
      </c>
      <c r="J46" s="2658">
        <v>7.38</v>
      </c>
      <c r="K46" s="2658">
        <v>3.98</v>
      </c>
      <c r="L46" s="2669">
        <v>6.86</v>
      </c>
      <c r="N46" s="2662">
        <f t="shared" si="14"/>
        <v>4.9299999999999997E-2</v>
      </c>
      <c r="O46" s="2663">
        <f t="shared" si="14"/>
        <v>7.3800000000000004E-2</v>
      </c>
      <c r="P46" s="2663">
        <f t="shared" si="14"/>
        <v>3.9800000000000002E-2</v>
      </c>
      <c r="Q46" s="2663">
        <f t="shared" si="14"/>
        <v>6.8600000000000008E-2</v>
      </c>
      <c r="R46" s="2664"/>
      <c r="S46" s="2662"/>
      <c r="T46" s="2663"/>
      <c r="U46" s="2663"/>
      <c r="V46" s="2663"/>
    </row>
    <row r="47" spans="1:26" s="2703" customFormat="1" ht="13.5" thickBot="1">
      <c r="A47" s="2653" t="s">
        <v>2604</v>
      </c>
      <c r="B47" s="2700">
        <f t="shared" si="28"/>
        <v>196.62341248059772</v>
      </c>
      <c r="C47" s="2700">
        <f t="shared" si="28"/>
        <v>170.99125648199012</v>
      </c>
      <c r="D47" s="2700">
        <f t="shared" si="12"/>
        <v>170.99125648199012</v>
      </c>
      <c r="E47" s="2700">
        <f t="shared" si="29"/>
        <v>266.07857570490052</v>
      </c>
      <c r="F47" s="2700">
        <f t="shared" si="29"/>
        <v>154.53499328828505</v>
      </c>
      <c r="G47" s="3582">
        <v>2008</v>
      </c>
      <c r="H47" s="2701">
        <v>1</v>
      </c>
      <c r="I47" s="2701">
        <v>4.1399999999999997</v>
      </c>
      <c r="J47" s="2701">
        <v>3.45</v>
      </c>
      <c r="K47" s="2701">
        <v>4.95</v>
      </c>
      <c r="L47" s="2702">
        <v>4.82</v>
      </c>
      <c r="N47" s="2704">
        <f t="shared" si="14"/>
        <v>4.1399999999999999E-2</v>
      </c>
      <c r="O47" s="2705">
        <f t="shared" si="14"/>
        <v>3.4500000000000003E-2</v>
      </c>
      <c r="P47" s="2705">
        <f t="shared" si="14"/>
        <v>4.9500000000000002E-2</v>
      </c>
      <c r="Q47" s="2705">
        <f t="shared" si="14"/>
        <v>4.82E-2</v>
      </c>
      <c r="R47" s="2706"/>
      <c r="S47" s="2704">
        <f>B47/B48-1</f>
        <v>4.5869215322328349E-2</v>
      </c>
      <c r="T47" s="2705">
        <f>C47/C48-1</f>
        <v>3.6310645345394743E-2</v>
      </c>
      <c r="U47" s="2705">
        <f>E47/E48-1</f>
        <v>4.7553447657088688E-2</v>
      </c>
      <c r="V47" s="2705">
        <f>F47/F48-1</f>
        <v>4.4155360055980086E-2</v>
      </c>
      <c r="X47" s="2707"/>
      <c r="Y47" s="2707"/>
      <c r="Z47" s="2707"/>
    </row>
    <row r="48" spans="1:26" ht="13.5" thickBot="1">
      <c r="A48" s="2653" t="s">
        <v>2605</v>
      </c>
      <c r="B48" s="2659">
        <v>188</v>
      </c>
      <c r="C48" s="2659">
        <v>165</v>
      </c>
      <c r="D48" s="2659">
        <f t="shared" si="12"/>
        <v>165</v>
      </c>
      <c r="E48" s="2659">
        <v>254</v>
      </c>
      <c r="F48" s="2660">
        <v>148</v>
      </c>
      <c r="G48" s="3580">
        <v>2007</v>
      </c>
      <c r="H48" s="2708">
        <v>4</v>
      </c>
      <c r="I48" s="2708">
        <v>5.51</v>
      </c>
      <c r="J48" s="2708">
        <v>4.8899999999999997</v>
      </c>
      <c r="K48" s="2708">
        <v>6.43</v>
      </c>
      <c r="L48" s="2709">
        <v>5.36</v>
      </c>
      <c r="N48" s="2710">
        <f t="shared" ref="N48:O51" si="30">B48/B49-1</f>
        <v>4.1339718365245526E-2</v>
      </c>
      <c r="O48" s="2711">
        <f t="shared" si="30"/>
        <v>4.0324492593776018E-2</v>
      </c>
      <c r="P48" s="2711">
        <f t="shared" ref="P48:Q51" si="31">E48/E49-1</f>
        <v>6.1625555347990968E-2</v>
      </c>
      <c r="Q48" s="2711">
        <f t="shared" si="31"/>
        <v>4.6757569250590603E-2</v>
      </c>
      <c r="R48" s="2664"/>
      <c r="S48" s="2665"/>
      <c r="T48" s="2666"/>
      <c r="U48" s="2666"/>
      <c r="V48" s="2666"/>
      <c r="X48" s="2666"/>
      <c r="Y48" s="2666"/>
      <c r="Z48" s="2666"/>
    </row>
    <row r="49" spans="1:26">
      <c r="A49" s="2653" t="s">
        <v>2606</v>
      </c>
      <c r="B49" s="2667">
        <f t="shared" ref="B49:C51" si="32">B50+(B$48-B$52)*I49/SUM(I$48:I$51)</f>
        <v>180.5366651097618</v>
      </c>
      <c r="C49" s="2667">
        <f t="shared" si="32"/>
        <v>158.60435967302453</v>
      </c>
      <c r="D49" s="2667">
        <f t="shared" si="12"/>
        <v>158.60435967302453</v>
      </c>
      <c r="E49" s="2667">
        <f t="shared" ref="E49:F51" si="33">E50+(E$48-E$52)*K49/SUM(K$48:K$51)</f>
        <v>239.25573260785075</v>
      </c>
      <c r="F49" s="2667">
        <f t="shared" si="33"/>
        <v>141.38899430740037</v>
      </c>
      <c r="G49" s="3581">
        <v>2007</v>
      </c>
      <c r="H49" s="2678">
        <v>3</v>
      </c>
      <c r="I49" s="2678">
        <v>8.65</v>
      </c>
      <c r="J49" s="2678">
        <v>8.06</v>
      </c>
      <c r="K49" s="2678">
        <v>9.94</v>
      </c>
      <c r="L49" s="2679">
        <v>5.8</v>
      </c>
      <c r="N49" s="2710">
        <f t="shared" si="30"/>
        <v>6.940217571740015E-2</v>
      </c>
      <c r="O49" s="2711">
        <f t="shared" si="30"/>
        <v>7.1197482471153428E-2</v>
      </c>
      <c r="P49" s="2711">
        <f t="shared" si="31"/>
        <v>0.10529679922579582</v>
      </c>
      <c r="Q49" s="2711">
        <f t="shared" si="31"/>
        <v>5.3292245059512133E-2</v>
      </c>
      <c r="R49" s="2664"/>
      <c r="S49" s="2662"/>
      <c r="T49" s="2663"/>
      <c r="U49" s="2663"/>
      <c r="V49" s="2663"/>
      <c r="X49" s="2712"/>
      <c r="Y49" s="2712"/>
      <c r="Z49" s="2712"/>
    </row>
    <row r="50" spans="1:26">
      <c r="A50" s="2653" t="s">
        <v>2607</v>
      </c>
      <c r="B50" s="2667">
        <f t="shared" si="32"/>
        <v>168.82017748715555</v>
      </c>
      <c r="C50" s="2667">
        <f t="shared" si="32"/>
        <v>148.06267029972753</v>
      </c>
      <c r="D50" s="2667">
        <f t="shared" si="12"/>
        <v>148.06267029972753</v>
      </c>
      <c r="E50" s="2667">
        <f t="shared" si="33"/>
        <v>216.46288379323747</v>
      </c>
      <c r="F50" s="2667">
        <f t="shared" si="33"/>
        <v>134.23529411764704</v>
      </c>
      <c r="G50" s="3581">
        <v>2007</v>
      </c>
      <c r="H50" s="2658">
        <v>2</v>
      </c>
      <c r="I50" s="2658">
        <v>3.67</v>
      </c>
      <c r="J50" s="2658">
        <v>2.3199999999999998</v>
      </c>
      <c r="K50" s="2658">
        <v>5.0199999999999996</v>
      </c>
      <c r="L50" s="2669">
        <v>6.71</v>
      </c>
      <c r="N50" s="2710">
        <f t="shared" si="30"/>
        <v>3.0339138143848032E-2</v>
      </c>
      <c r="O50" s="2711">
        <f t="shared" si="30"/>
        <v>2.0922341588790472E-2</v>
      </c>
      <c r="P50" s="2711">
        <f t="shared" si="31"/>
        <v>5.6164796592717003E-2</v>
      </c>
      <c r="Q50" s="2711">
        <f t="shared" si="31"/>
        <v>6.5704536723887319E-2</v>
      </c>
      <c r="R50" s="2664"/>
      <c r="S50" s="2662"/>
      <c r="T50" s="2663"/>
      <c r="U50" s="2663"/>
      <c r="V50" s="2663"/>
      <c r="X50" s="2712"/>
      <c r="Y50" s="2712"/>
      <c r="Z50" s="2712"/>
    </row>
    <row r="51" spans="1:26">
      <c r="A51" s="2653" t="s">
        <v>2608</v>
      </c>
      <c r="B51" s="2667">
        <f t="shared" si="32"/>
        <v>163.84913591779542</v>
      </c>
      <c r="C51" s="2667">
        <f t="shared" si="32"/>
        <v>145.0283378746594</v>
      </c>
      <c r="D51" s="2667">
        <f t="shared" si="12"/>
        <v>145.0283378746594</v>
      </c>
      <c r="E51" s="2667">
        <f t="shared" si="33"/>
        <v>204.95180722891567</v>
      </c>
      <c r="F51" s="2667">
        <f t="shared" si="33"/>
        <v>125.95920303605313</v>
      </c>
      <c r="G51" s="3582">
        <v>2007</v>
      </c>
      <c r="H51" s="2657">
        <v>1</v>
      </c>
      <c r="I51" s="2657">
        <v>3.58</v>
      </c>
      <c r="J51" s="2657">
        <v>3.08</v>
      </c>
      <c r="K51" s="2657">
        <v>4.34</v>
      </c>
      <c r="L51" s="2668">
        <v>3.21</v>
      </c>
      <c r="N51" s="2713">
        <f t="shared" si="30"/>
        <v>3.0497710174814063E-2</v>
      </c>
      <c r="O51" s="2714">
        <f t="shared" si="30"/>
        <v>2.8569772160704998E-2</v>
      </c>
      <c r="P51" s="2714">
        <f t="shared" si="31"/>
        <v>5.1034908866234296E-2</v>
      </c>
      <c r="Q51" s="2714">
        <f t="shared" si="31"/>
        <v>3.245248390207478E-2</v>
      </c>
      <c r="R51" s="2664"/>
      <c r="S51" s="2670">
        <f>B51/B52-1</f>
        <v>3.0497710174814063E-2</v>
      </c>
      <c r="T51" s="2671">
        <f>C51/C52-1</f>
        <v>2.8569772160704998E-2</v>
      </c>
      <c r="U51" s="2671">
        <f>E51/E52-1</f>
        <v>5.1034908866234296E-2</v>
      </c>
      <c r="V51" s="2671">
        <f>F51/F52-1</f>
        <v>3.245248390207478E-2</v>
      </c>
      <c r="X51" s="2712"/>
      <c r="Y51" s="2712"/>
      <c r="Z51" s="2712"/>
    </row>
    <row r="52" spans="1:26" ht="13.5" thickBot="1">
      <c r="A52" s="2653" t="s">
        <v>2609</v>
      </c>
      <c r="B52" s="2681">
        <v>159</v>
      </c>
      <c r="C52" s="2681">
        <v>141</v>
      </c>
      <c r="D52" s="2681">
        <f t="shared" si="12"/>
        <v>141</v>
      </c>
      <c r="E52" s="2681">
        <v>195</v>
      </c>
      <c r="F52" s="2682">
        <v>122</v>
      </c>
      <c r="G52" s="3580">
        <v>2006</v>
      </c>
      <c r="H52" s="2673">
        <v>4</v>
      </c>
      <c r="I52" s="2673">
        <v>3.79</v>
      </c>
      <c r="J52" s="2673">
        <v>2.21</v>
      </c>
      <c r="K52" s="2673">
        <v>5.65</v>
      </c>
      <c r="L52" s="2674">
        <v>5.41</v>
      </c>
      <c r="N52" s="2710">
        <f t="shared" ref="N52:O55" si="34">I52/SUM(I$52:I$55)*(B$52/B$56-1)</f>
        <v>7.245466462748526E-2</v>
      </c>
      <c r="O52" s="2711">
        <f t="shared" si="34"/>
        <v>2.3237230038062766E-2</v>
      </c>
      <c r="P52" s="2711">
        <f t="shared" ref="P52:Q55" si="35">K52/SUM(K$52:K$55)*(E$52/E$56-1)</f>
        <v>0.16146893866323722</v>
      </c>
      <c r="Q52" s="2711">
        <f t="shared" si="35"/>
        <v>5.0755230321793784E-2</v>
      </c>
      <c r="R52" s="2664"/>
      <c r="S52" s="2665"/>
      <c r="T52" s="2666"/>
      <c r="U52" s="2666"/>
      <c r="V52" s="2666"/>
      <c r="X52" s="2712"/>
      <c r="Y52" s="2712"/>
      <c r="Z52" s="2712"/>
    </row>
    <row r="53" spans="1:26">
      <c r="A53" s="2653" t="s">
        <v>2610</v>
      </c>
      <c r="B53" s="2667">
        <f t="shared" ref="B53:C55" si="36">B54+(B$52-B$56)*I53/SUM(I$52:I$55)</f>
        <v>149.00125628140702</v>
      </c>
      <c r="C53" s="2667">
        <f t="shared" si="36"/>
        <v>137.95592286501378</v>
      </c>
      <c r="D53" s="2667">
        <f t="shared" si="12"/>
        <v>137.95592286501378</v>
      </c>
      <c r="E53" s="2667">
        <f t="shared" ref="E53:F55" si="37">E54+(E$52-E$56)*K53/SUM(K$52:K$55)</f>
        <v>169.97231450719823</v>
      </c>
      <c r="F53" s="2667">
        <f t="shared" si="37"/>
        <v>116.21390374331551</v>
      </c>
      <c r="G53" s="3581">
        <v>2006</v>
      </c>
      <c r="H53" s="2678">
        <v>3</v>
      </c>
      <c r="I53" s="2678">
        <v>0.92</v>
      </c>
      <c r="J53" s="2678">
        <v>1.08</v>
      </c>
      <c r="K53" s="2678">
        <v>0.73</v>
      </c>
      <c r="L53" s="2679">
        <v>1.08</v>
      </c>
      <c r="N53" s="2710">
        <f t="shared" si="34"/>
        <v>1.7587939698492462E-2</v>
      </c>
      <c r="O53" s="2711">
        <f t="shared" si="34"/>
        <v>1.1355750425840628E-2</v>
      </c>
      <c r="P53" s="2711">
        <f t="shared" si="35"/>
        <v>2.0862358446754544E-2</v>
      </c>
      <c r="Q53" s="2711">
        <f t="shared" si="35"/>
        <v>1.0132282578103011E-2</v>
      </c>
      <c r="R53" s="2664"/>
      <c r="S53" s="2662"/>
      <c r="T53" s="2663"/>
      <c r="U53" s="2663"/>
      <c r="V53" s="2663"/>
      <c r="X53" s="2712"/>
      <c r="Y53" s="2712"/>
      <c r="Z53" s="2712"/>
    </row>
    <row r="54" spans="1:26">
      <c r="A54" s="2653" t="s">
        <v>2611</v>
      </c>
      <c r="B54" s="2667">
        <f t="shared" si="36"/>
        <v>146.57412060301507</v>
      </c>
      <c r="C54" s="2667">
        <f t="shared" si="36"/>
        <v>136.46831955922866</v>
      </c>
      <c r="D54" s="2667">
        <f t="shared" si="12"/>
        <v>136.46831955922866</v>
      </c>
      <c r="E54" s="2667">
        <f t="shared" si="37"/>
        <v>166.73864894795128</v>
      </c>
      <c r="F54" s="2667">
        <f t="shared" si="37"/>
        <v>115.05882352941177</v>
      </c>
      <c r="G54" s="3581">
        <v>2006</v>
      </c>
      <c r="H54" s="2658">
        <v>2</v>
      </c>
      <c r="I54" s="2658">
        <v>0.96</v>
      </c>
      <c r="J54" s="2658">
        <v>0.25</v>
      </c>
      <c r="K54" s="2658">
        <v>1.9</v>
      </c>
      <c r="L54" s="2669">
        <v>0.95</v>
      </c>
      <c r="N54" s="2710">
        <f t="shared" si="34"/>
        <v>1.8352632728861701E-2</v>
      </c>
      <c r="O54" s="2711">
        <f t="shared" si="34"/>
        <v>2.6286459319075526E-3</v>
      </c>
      <c r="P54" s="2711">
        <f t="shared" si="35"/>
        <v>5.4299289107991269E-2</v>
      </c>
      <c r="Q54" s="2711">
        <f t="shared" si="35"/>
        <v>8.9126559714794995E-3</v>
      </c>
      <c r="R54" s="2664"/>
      <c r="S54" s="2662"/>
      <c r="T54" s="2663"/>
      <c r="U54" s="2663"/>
      <c r="V54" s="2663"/>
      <c r="X54" s="2712"/>
      <c r="Y54" s="2712"/>
      <c r="Z54" s="2712"/>
    </row>
    <row r="55" spans="1:26">
      <c r="A55" s="2653" t="s">
        <v>2612</v>
      </c>
      <c r="B55" s="2667">
        <f t="shared" si="36"/>
        <v>144.04145728643215</v>
      </c>
      <c r="C55" s="2667">
        <f t="shared" si="36"/>
        <v>136.12396694214877</v>
      </c>
      <c r="D55" s="2667">
        <f t="shared" si="12"/>
        <v>136.12396694214877</v>
      </c>
      <c r="E55" s="2667">
        <f t="shared" si="37"/>
        <v>158.32225913621264</v>
      </c>
      <c r="F55" s="2667">
        <f t="shared" si="37"/>
        <v>114.04278074866311</v>
      </c>
      <c r="G55" s="3582">
        <v>2006</v>
      </c>
      <c r="H55" s="2657">
        <v>1</v>
      </c>
      <c r="I55" s="2657">
        <v>2.29</v>
      </c>
      <c r="J55" s="2657">
        <v>3.72</v>
      </c>
      <c r="K55" s="2657">
        <v>0.75</v>
      </c>
      <c r="L55" s="2668">
        <v>0.04</v>
      </c>
      <c r="N55" s="2713">
        <f t="shared" si="34"/>
        <v>4.3778675988638847E-2</v>
      </c>
      <c r="O55" s="2714">
        <f t="shared" si="34"/>
        <v>3.9114251466784385E-2</v>
      </c>
      <c r="P55" s="2714">
        <f t="shared" si="35"/>
        <v>2.1433929911049188E-2</v>
      </c>
      <c r="Q55" s="2714">
        <f t="shared" si="35"/>
        <v>3.7526972511492629E-4</v>
      </c>
      <c r="R55" s="2664"/>
      <c r="S55" s="2670">
        <f>B55/B56-1</f>
        <v>4.3778675988638716E-2</v>
      </c>
      <c r="T55" s="2671">
        <f>C55/C56-1</f>
        <v>3.91142514667846E-2</v>
      </c>
      <c r="U55" s="2671">
        <f>E55/E56-1</f>
        <v>2.143392991104931E-2</v>
      </c>
      <c r="V55" s="2671">
        <f>F55/F56-1</f>
        <v>3.7526972511492396E-4</v>
      </c>
      <c r="X55" s="2712"/>
      <c r="Y55" s="2712"/>
      <c r="Z55" s="2712"/>
    </row>
    <row r="56" spans="1:26" ht="13.5" thickBot="1">
      <c r="A56" s="2653" t="s">
        <v>2613</v>
      </c>
      <c r="B56" s="2681">
        <v>138</v>
      </c>
      <c r="C56" s="2681">
        <v>131</v>
      </c>
      <c r="D56" s="2681">
        <f t="shared" si="12"/>
        <v>131</v>
      </c>
      <c r="E56" s="2681">
        <v>155</v>
      </c>
      <c r="F56" s="2682">
        <v>114</v>
      </c>
      <c r="G56" s="3580">
        <v>2005</v>
      </c>
      <c r="H56" s="2673">
        <v>4</v>
      </c>
      <c r="I56" s="2673">
        <v>3.29</v>
      </c>
      <c r="J56" s="2673">
        <v>1.44</v>
      </c>
      <c r="K56" s="2673">
        <v>0.66</v>
      </c>
      <c r="L56" s="2674">
        <v>7.78</v>
      </c>
      <c r="N56" s="2710">
        <f t="shared" ref="N56:O59" si="38">I56/SUM(I$56:I$59)*(B$56/B$60-1)</f>
        <v>9.9404603216919935E-2</v>
      </c>
      <c r="O56" s="2711">
        <f t="shared" si="38"/>
        <v>4.7636550760861554E-2</v>
      </c>
      <c r="P56" s="2711">
        <f t="shared" ref="P56:Q59" si="39">K56/SUM(K$56:K$59)*(E$56/E$60-1)</f>
        <v>8.3756345177664976E-2</v>
      </c>
      <c r="Q56" s="2711">
        <f t="shared" si="39"/>
        <v>5.2148766661559584E-2</v>
      </c>
      <c r="R56" s="2664"/>
      <c r="S56" s="2665"/>
      <c r="T56" s="2666"/>
      <c r="U56" s="2666"/>
      <c r="V56" s="2666"/>
      <c r="X56" s="2712"/>
      <c r="Y56" s="2712"/>
      <c r="Z56" s="2712"/>
    </row>
    <row r="57" spans="1:26">
      <c r="A57" s="2653" t="s">
        <v>2614</v>
      </c>
      <c r="B57" s="2667">
        <f t="shared" ref="B57:C59" si="40">B58+(B$56-B$60)*I57/SUM(I$56:I$59)</f>
        <v>125.9720430107527</v>
      </c>
      <c r="C57" s="2667">
        <f t="shared" si="40"/>
        <v>125.1883408071749</v>
      </c>
      <c r="D57" s="2667">
        <f t="shared" si="12"/>
        <v>125.1883408071749</v>
      </c>
      <c r="E57" s="2667">
        <f t="shared" ref="E57:F59" si="41">E58+(E$56-E$60)*K57/SUM(K$56:K$59)</f>
        <v>144.61421319796952</v>
      </c>
      <c r="F57" s="2667">
        <f t="shared" si="41"/>
        <v>108.42008196721311</v>
      </c>
      <c r="G57" s="3581">
        <v>2005</v>
      </c>
      <c r="H57" s="2678">
        <v>3</v>
      </c>
      <c r="I57" s="2678">
        <v>0.46</v>
      </c>
      <c r="J57" s="2678">
        <v>0.32</v>
      </c>
      <c r="K57" s="2678">
        <v>0.42</v>
      </c>
      <c r="L57" s="2679">
        <v>0.64</v>
      </c>
      <c r="N57" s="2710">
        <f t="shared" si="38"/>
        <v>1.3898515951301874E-2</v>
      </c>
      <c r="O57" s="2711">
        <f t="shared" si="38"/>
        <v>1.0585900169080346E-2</v>
      </c>
      <c r="P57" s="2711">
        <f t="shared" si="39"/>
        <v>5.3299492385786795E-2</v>
      </c>
      <c r="Q57" s="2711">
        <f t="shared" si="39"/>
        <v>4.2898728359123568E-3</v>
      </c>
      <c r="R57" s="2664"/>
      <c r="S57" s="2662"/>
      <c r="T57" s="2663"/>
      <c r="U57" s="2663"/>
      <c r="V57" s="2663"/>
      <c r="X57" s="2712"/>
      <c r="Y57" s="2712"/>
      <c r="Z57" s="2712"/>
    </row>
    <row r="58" spans="1:26">
      <c r="A58" s="2653" t="s">
        <v>2615</v>
      </c>
      <c r="B58" s="2667">
        <f t="shared" si="40"/>
        <v>124.29032258064517</v>
      </c>
      <c r="C58" s="2667">
        <f t="shared" si="40"/>
        <v>123.8968609865471</v>
      </c>
      <c r="D58" s="2667">
        <f t="shared" si="12"/>
        <v>123.8968609865471</v>
      </c>
      <c r="E58" s="2667">
        <f t="shared" si="41"/>
        <v>138.00507614213197</v>
      </c>
      <c r="F58" s="2667">
        <f t="shared" si="41"/>
        <v>107.96106557377048</v>
      </c>
      <c r="G58" s="3581">
        <v>2005</v>
      </c>
      <c r="H58" s="2658">
        <v>2</v>
      </c>
      <c r="I58" s="2658">
        <v>0.47</v>
      </c>
      <c r="J58" s="2658">
        <v>0.1</v>
      </c>
      <c r="K58" s="2658">
        <v>0.52</v>
      </c>
      <c r="L58" s="2669">
        <v>0.79</v>
      </c>
      <c r="N58" s="2710">
        <f t="shared" si="38"/>
        <v>1.420065760241713E-2</v>
      </c>
      <c r="O58" s="2711">
        <f t="shared" si="38"/>
        <v>3.3080938028376083E-3</v>
      </c>
      <c r="P58" s="2711">
        <f t="shared" si="39"/>
        <v>6.598984771573603E-2</v>
      </c>
      <c r="Q58" s="2711">
        <f t="shared" si="39"/>
        <v>5.2953117818293153E-3</v>
      </c>
      <c r="R58" s="2664"/>
      <c r="S58" s="2662"/>
      <c r="T58" s="2663"/>
      <c r="U58" s="2663"/>
      <c r="V58" s="2663"/>
      <c r="X58" s="2712"/>
      <c r="Y58" s="2712"/>
      <c r="Z58" s="2712"/>
    </row>
    <row r="59" spans="1:26">
      <c r="A59" s="2653" t="s">
        <v>2616</v>
      </c>
      <c r="B59" s="2667">
        <f t="shared" si="40"/>
        <v>122.57204301075269</v>
      </c>
      <c r="C59" s="2667">
        <f t="shared" si="40"/>
        <v>123.4932735426009</v>
      </c>
      <c r="D59" s="2667">
        <f t="shared" si="12"/>
        <v>123.4932735426009</v>
      </c>
      <c r="E59" s="2667">
        <f t="shared" si="41"/>
        <v>129.82233502538071</v>
      </c>
      <c r="F59" s="2667">
        <f t="shared" si="41"/>
        <v>107.39446721311475</v>
      </c>
      <c r="G59" s="3582">
        <v>2005</v>
      </c>
      <c r="H59" s="2657">
        <v>1</v>
      </c>
      <c r="I59" s="2657">
        <v>0.43</v>
      </c>
      <c r="J59" s="2657">
        <v>0.37</v>
      </c>
      <c r="K59" s="2657">
        <v>0.37</v>
      </c>
      <c r="L59" s="2668">
        <v>0.55000000000000004</v>
      </c>
      <c r="N59" s="2713">
        <f t="shared" si="38"/>
        <v>1.2992090997956099E-2</v>
      </c>
      <c r="O59" s="2714">
        <f t="shared" si="38"/>
        <v>1.2239947070499151E-2</v>
      </c>
      <c r="P59" s="2714">
        <f t="shared" si="39"/>
        <v>4.6954314720812178E-2</v>
      </c>
      <c r="Q59" s="2714">
        <f t="shared" si="39"/>
        <v>3.6866094683621815E-3</v>
      </c>
      <c r="R59" s="2664"/>
      <c r="S59" s="2670">
        <f>B59/B60-1</f>
        <v>1.2992090997956174E-2</v>
      </c>
      <c r="T59" s="2671">
        <f>C59/C60-1</f>
        <v>1.2239947070499246E-2</v>
      </c>
      <c r="U59" s="2671">
        <f>E59/E60-1</f>
        <v>4.695431472081224E-2</v>
      </c>
      <c r="V59" s="2671">
        <f>F59/F60-1</f>
        <v>3.6866094683620787E-3</v>
      </c>
      <c r="X59" s="2712"/>
      <c r="Y59" s="2712"/>
      <c r="Z59" s="2712"/>
    </row>
    <row r="60" spans="1:26" ht="13.5" thickBot="1">
      <c r="A60" s="2653" t="s">
        <v>2617</v>
      </c>
      <c r="B60" s="2697">
        <v>121</v>
      </c>
      <c r="C60" s="2697">
        <v>122</v>
      </c>
      <c r="D60" s="2697">
        <f t="shared" si="12"/>
        <v>122</v>
      </c>
      <c r="E60" s="2697">
        <v>124</v>
      </c>
      <c r="F60" s="2698">
        <v>107</v>
      </c>
      <c r="G60" s="3580">
        <v>2004</v>
      </c>
      <c r="H60" s="2673">
        <v>4</v>
      </c>
      <c r="I60" s="2673">
        <v>0.33</v>
      </c>
      <c r="J60" s="2673">
        <v>0.5</v>
      </c>
      <c r="K60" s="2673">
        <v>0.5</v>
      </c>
      <c r="L60" s="2674">
        <v>0</v>
      </c>
      <c r="N60" s="2710">
        <f t="shared" ref="N60:O63" si="42">I60/SUM(I$60:I$63)*(B$60/B$64-1)</f>
        <v>1.3391770148526898E-2</v>
      </c>
      <c r="O60" s="2711">
        <f t="shared" si="42"/>
        <v>1.063264221158958E-2</v>
      </c>
      <c r="P60" s="2711">
        <f t="shared" ref="P60:Q63" si="43">K60/SUM(K$60:K$63)*(E$60/E$64-1)</f>
        <v>2.2244466688911134E-2</v>
      </c>
      <c r="Q60" s="2711">
        <f t="shared" si="43"/>
        <v>0</v>
      </c>
      <c r="R60" s="2664"/>
      <c r="S60" s="2665"/>
      <c r="T60" s="2666"/>
      <c r="U60" s="2666"/>
      <c r="V60" s="2666"/>
      <c r="X60" s="2712"/>
      <c r="Y60" s="2712"/>
      <c r="Z60" s="2712"/>
    </row>
    <row r="61" spans="1:26">
      <c r="A61" s="2653" t="s">
        <v>2618</v>
      </c>
      <c r="B61" s="2667">
        <f t="shared" ref="B61:C63" si="44">B62+(B$60-B$64)*I61/SUM(I$60:I$63)</f>
        <v>119.51351351351352</v>
      </c>
      <c r="C61" s="2667">
        <f t="shared" si="44"/>
        <v>120.7878787878788</v>
      </c>
      <c r="D61" s="2667">
        <f t="shared" si="12"/>
        <v>120.7878787878788</v>
      </c>
      <c r="E61" s="2667">
        <f t="shared" ref="E61:F63" si="45">E62+(E$60-E$64)*K61/SUM(K$60:K$63)</f>
        <v>121.5975975975976</v>
      </c>
      <c r="F61" s="2667">
        <f t="shared" si="45"/>
        <v>107</v>
      </c>
      <c r="G61" s="3581">
        <v>2004</v>
      </c>
      <c r="H61" s="2678">
        <v>3</v>
      </c>
      <c r="I61" s="2678">
        <v>0.56000000000000005</v>
      </c>
      <c r="J61" s="2678">
        <v>0.8</v>
      </c>
      <c r="K61" s="2678">
        <v>0.83</v>
      </c>
      <c r="L61" s="2679">
        <v>0.06</v>
      </c>
      <c r="N61" s="2710">
        <f t="shared" si="42"/>
        <v>2.2725428130833527E-2</v>
      </c>
      <c r="O61" s="2711">
        <f t="shared" si="42"/>
        <v>1.7012227538543329E-2</v>
      </c>
      <c r="P61" s="2711">
        <f t="shared" si="43"/>
        <v>3.6925814703592477E-2</v>
      </c>
      <c r="Q61" s="2711">
        <f t="shared" si="43"/>
        <v>2.8846153846153744E-2</v>
      </c>
      <c r="R61" s="2664"/>
      <c r="S61" s="2662"/>
      <c r="T61" s="2663"/>
      <c r="U61" s="2663"/>
      <c r="V61" s="2663"/>
      <c r="X61" s="2712"/>
      <c r="Y61" s="2712"/>
      <c r="Z61" s="2712"/>
    </row>
    <row r="62" spans="1:26">
      <c r="A62" s="2653" t="s">
        <v>2619</v>
      </c>
      <c r="B62" s="2667">
        <f t="shared" si="44"/>
        <v>116.99099099099099</v>
      </c>
      <c r="C62" s="2667">
        <f t="shared" si="44"/>
        <v>118.84848484848486</v>
      </c>
      <c r="D62" s="2667">
        <f t="shared" si="12"/>
        <v>118.84848484848486</v>
      </c>
      <c r="E62" s="2667">
        <f t="shared" si="45"/>
        <v>117.60960960960961</v>
      </c>
      <c r="F62" s="2667">
        <f t="shared" si="45"/>
        <v>104</v>
      </c>
      <c r="G62" s="3581">
        <v>2004</v>
      </c>
      <c r="H62" s="2658">
        <v>2</v>
      </c>
      <c r="I62" s="2658">
        <v>1</v>
      </c>
      <c r="J62" s="2658">
        <v>1.5</v>
      </c>
      <c r="K62" s="2658">
        <v>1.5</v>
      </c>
      <c r="L62" s="2669">
        <v>0</v>
      </c>
      <c r="N62" s="2710">
        <f t="shared" si="42"/>
        <v>4.0581121662202721E-2</v>
      </c>
      <c r="O62" s="2711">
        <f t="shared" si="42"/>
        <v>3.1897926634768738E-2</v>
      </c>
      <c r="P62" s="2711">
        <f t="shared" si="43"/>
        <v>6.6733400066733395E-2</v>
      </c>
      <c r="Q62" s="2711">
        <f t="shared" si="43"/>
        <v>0</v>
      </c>
      <c r="R62" s="2664"/>
      <c r="S62" s="2662"/>
      <c r="T62" s="2663"/>
      <c r="U62" s="2663"/>
      <c r="V62" s="2663"/>
      <c r="X62" s="2712"/>
      <c r="Y62" s="2712"/>
      <c r="Z62" s="2712"/>
    </row>
    <row r="63" spans="1:26" s="2703" customFormat="1" ht="13.5" thickBot="1">
      <c r="A63" s="2653" t="s">
        <v>2620</v>
      </c>
      <c r="B63" s="2700">
        <f t="shared" si="44"/>
        <v>112.48648648648648</v>
      </c>
      <c r="C63" s="2700">
        <f t="shared" si="44"/>
        <v>115.21212121212122</v>
      </c>
      <c r="D63" s="2700">
        <f t="shared" si="12"/>
        <v>115.21212121212122</v>
      </c>
      <c r="E63" s="2700">
        <f t="shared" si="45"/>
        <v>110.4024024024024</v>
      </c>
      <c r="F63" s="2700">
        <f t="shared" si="45"/>
        <v>104</v>
      </c>
      <c r="G63" s="3582">
        <v>2004</v>
      </c>
      <c r="H63" s="2701">
        <v>1</v>
      </c>
      <c r="I63" s="2701">
        <v>0.33</v>
      </c>
      <c r="J63" s="2701">
        <v>0.5</v>
      </c>
      <c r="K63" s="2701">
        <v>0.5</v>
      </c>
      <c r="L63" s="2702">
        <v>0</v>
      </c>
      <c r="N63" s="2715">
        <f t="shared" si="42"/>
        <v>1.3391770148526898E-2</v>
      </c>
      <c r="O63" s="2716">
        <f t="shared" si="42"/>
        <v>1.063264221158958E-2</v>
      </c>
      <c r="P63" s="2716">
        <f t="shared" si="43"/>
        <v>2.2244466688911134E-2</v>
      </c>
      <c r="Q63" s="2716">
        <f t="shared" si="43"/>
        <v>0</v>
      </c>
      <c r="R63" s="2706"/>
      <c r="S63" s="2704">
        <f>B63/B64-1</f>
        <v>1.3391770148526883E-2</v>
      </c>
      <c r="T63" s="2705">
        <f>C63/C64-1</f>
        <v>1.063264221158966E-2</v>
      </c>
      <c r="U63" s="2705">
        <f>E63/E64-1</f>
        <v>2.2244466688911224E-2</v>
      </c>
      <c r="V63" s="2705">
        <f>F63/F64-1</f>
        <v>0</v>
      </c>
      <c r="X63" s="2717"/>
      <c r="Y63" s="2717"/>
      <c r="Z63" s="2717"/>
    </row>
    <row r="64" spans="1:26" ht="13.5" thickBot="1">
      <c r="A64" s="2653" t="s">
        <v>2621</v>
      </c>
      <c r="B64" s="2718">
        <v>111</v>
      </c>
      <c r="C64" s="2718">
        <v>114</v>
      </c>
      <c r="D64" s="2718">
        <f t="shared" si="12"/>
        <v>114</v>
      </c>
      <c r="E64" s="2718">
        <v>108</v>
      </c>
      <c r="F64" s="2719">
        <v>104</v>
      </c>
      <c r="G64" s="3580">
        <v>2003</v>
      </c>
      <c r="H64" s="2708">
        <v>4</v>
      </c>
      <c r="I64" s="2720"/>
      <c r="J64" s="2720"/>
      <c r="K64" s="2720"/>
      <c r="L64" s="2720"/>
      <c r="N64" s="2721"/>
      <c r="O64" s="2720"/>
      <c r="P64" s="2720"/>
      <c r="Q64" s="2720"/>
      <c r="S64" s="2721"/>
      <c r="T64" s="2720"/>
      <c r="U64" s="2720"/>
      <c r="V64" s="2720"/>
      <c r="X64" s="2712"/>
      <c r="Y64" s="2712"/>
      <c r="Z64" s="2712"/>
    </row>
    <row r="65" spans="1:26">
      <c r="A65" s="2653" t="s">
        <v>2622</v>
      </c>
      <c r="B65" s="2722">
        <f t="shared" ref="B65:C67" si="46">B66+(B$64-B$68)/4</f>
        <v>109.75</v>
      </c>
      <c r="C65" s="2722">
        <f t="shared" si="46"/>
        <v>112.25</v>
      </c>
      <c r="D65" s="2722">
        <f t="shared" si="12"/>
        <v>112.25</v>
      </c>
      <c r="E65" s="2722">
        <f t="shared" ref="E65:F67" si="47">E66+(E$64-E$68)/4</f>
        <v>107.25</v>
      </c>
      <c r="F65" s="2722">
        <f t="shared" si="47"/>
        <v>103.5</v>
      </c>
      <c r="G65" s="3581">
        <v>2003</v>
      </c>
      <c r="H65" s="2678">
        <v>3</v>
      </c>
      <c r="I65" s="2720"/>
      <c r="J65" s="2720"/>
      <c r="K65" s="2720"/>
      <c r="L65" s="2720"/>
      <c r="X65" s="2712"/>
      <c r="Y65" s="2712"/>
      <c r="Z65" s="2712"/>
    </row>
    <row r="66" spans="1:26">
      <c r="A66" s="2653" t="s">
        <v>2623</v>
      </c>
      <c r="B66" s="2722">
        <f t="shared" si="46"/>
        <v>108.5</v>
      </c>
      <c r="C66" s="2722">
        <f t="shared" si="46"/>
        <v>110.5</v>
      </c>
      <c r="D66" s="2722">
        <f t="shared" si="12"/>
        <v>110.5</v>
      </c>
      <c r="E66" s="2722">
        <f t="shared" si="47"/>
        <v>106.5</v>
      </c>
      <c r="F66" s="2722">
        <f t="shared" si="47"/>
        <v>103</v>
      </c>
      <c r="G66" s="3581">
        <v>2003</v>
      </c>
      <c r="H66" s="2658">
        <v>2</v>
      </c>
      <c r="I66" s="2720"/>
      <c r="J66" s="2720"/>
      <c r="K66" s="2720"/>
      <c r="L66" s="2720"/>
      <c r="X66" s="2712"/>
      <c r="Y66" s="2712"/>
      <c r="Z66" s="2712"/>
    </row>
    <row r="67" spans="1:26" ht="13.5" thickBot="1">
      <c r="A67" s="2653" t="s">
        <v>2624</v>
      </c>
      <c r="B67" s="2722">
        <f t="shared" si="46"/>
        <v>107.25</v>
      </c>
      <c r="C67" s="2722">
        <f t="shared" si="46"/>
        <v>108.75</v>
      </c>
      <c r="D67" s="2722">
        <f t="shared" si="12"/>
        <v>108.75</v>
      </c>
      <c r="E67" s="2722">
        <f t="shared" si="47"/>
        <v>105.75</v>
      </c>
      <c r="F67" s="2722">
        <f t="shared" si="47"/>
        <v>102.5</v>
      </c>
      <c r="G67" s="3582">
        <v>2003</v>
      </c>
      <c r="H67" s="2723">
        <v>1</v>
      </c>
      <c r="I67" s="2720"/>
      <c r="J67" s="2720"/>
      <c r="K67" s="2720"/>
      <c r="L67" s="2720"/>
      <c r="S67" s="2662"/>
      <c r="T67" s="2663"/>
      <c r="U67" s="2663"/>
      <c r="X67" s="2712"/>
      <c r="Y67" s="2712"/>
      <c r="Z67" s="2712"/>
    </row>
    <row r="68" spans="1:26" ht="13.5" thickBot="1">
      <c r="A68" s="2653" t="s">
        <v>2625</v>
      </c>
      <c r="B68" s="2724">
        <v>106</v>
      </c>
      <c r="C68" s="2724">
        <v>107</v>
      </c>
      <c r="D68" s="2724">
        <f t="shared" si="12"/>
        <v>107</v>
      </c>
      <c r="E68" s="2724">
        <v>105</v>
      </c>
      <c r="F68" s="2725">
        <v>102</v>
      </c>
      <c r="G68" s="3580">
        <v>2002</v>
      </c>
      <c r="H68" s="2673">
        <v>4</v>
      </c>
      <c r="I68" s="2720"/>
      <c r="J68" s="2720"/>
      <c r="K68" s="2720"/>
      <c r="L68" s="2720"/>
      <c r="N68" s="2721"/>
      <c r="O68" s="2720"/>
      <c r="P68" s="2720"/>
      <c r="Q68" s="2720"/>
      <c r="S68" s="2721"/>
      <c r="T68" s="2720"/>
      <c r="U68" s="2720"/>
      <c r="V68" s="2720"/>
      <c r="X68" s="2712"/>
      <c r="Y68" s="2712"/>
      <c r="Z68" s="2712"/>
    </row>
    <row r="69" spans="1:26">
      <c r="A69" s="2653" t="s">
        <v>2626</v>
      </c>
      <c r="B69" s="2722">
        <f t="shared" ref="B69:C71" si="48">B70+(B$68-B$72)/4</f>
        <v>105</v>
      </c>
      <c r="C69" s="2722">
        <f t="shared" si="48"/>
        <v>106</v>
      </c>
      <c r="D69" s="2722">
        <f t="shared" si="12"/>
        <v>106</v>
      </c>
      <c r="E69" s="2722">
        <f t="shared" ref="E69:F71" si="49">E70+(E$68-E$72)/4</f>
        <v>104.5</v>
      </c>
      <c r="F69" s="2722">
        <f t="shared" si="49"/>
        <v>101.5</v>
      </c>
      <c r="G69" s="3581">
        <v>2002</v>
      </c>
      <c r="H69" s="2678">
        <v>3</v>
      </c>
      <c r="I69" s="2720"/>
      <c r="J69" s="2720"/>
      <c r="K69" s="2720"/>
      <c r="L69" s="2720"/>
      <c r="X69" s="2712"/>
      <c r="Y69" s="2712"/>
      <c r="Z69" s="2712"/>
    </row>
    <row r="70" spans="1:26">
      <c r="A70" s="2653" t="s">
        <v>2627</v>
      </c>
      <c r="B70" s="2722">
        <f t="shared" si="48"/>
        <v>104</v>
      </c>
      <c r="C70" s="2722">
        <f t="shared" si="48"/>
        <v>105</v>
      </c>
      <c r="D70" s="2722">
        <f t="shared" si="12"/>
        <v>105</v>
      </c>
      <c r="E70" s="2722">
        <f t="shared" si="49"/>
        <v>104</v>
      </c>
      <c r="F70" s="2722">
        <f t="shared" si="49"/>
        <v>101</v>
      </c>
      <c r="G70" s="3581">
        <v>2002</v>
      </c>
      <c r="H70" s="2658">
        <v>2</v>
      </c>
      <c r="I70" s="2720"/>
      <c r="J70" s="2720"/>
      <c r="K70" s="2720"/>
      <c r="L70" s="2720"/>
      <c r="X70" s="2712"/>
      <c r="Y70" s="2712"/>
      <c r="Z70" s="2712"/>
    </row>
    <row r="71" spans="1:26" s="2689" customFormat="1" ht="13.5" thickBot="1">
      <c r="A71" s="2685" t="s">
        <v>2628</v>
      </c>
      <c r="B71" s="2726">
        <f t="shared" si="48"/>
        <v>103</v>
      </c>
      <c r="C71" s="2726">
        <f t="shared" si="48"/>
        <v>104</v>
      </c>
      <c r="D71" s="2726">
        <f t="shared" si="12"/>
        <v>104</v>
      </c>
      <c r="E71" s="2726">
        <f t="shared" si="49"/>
        <v>103.5</v>
      </c>
      <c r="F71" s="2726">
        <f t="shared" si="49"/>
        <v>100.5</v>
      </c>
      <c r="G71" s="3582">
        <v>2002</v>
      </c>
      <c r="H71" s="2727">
        <v>1</v>
      </c>
      <c r="I71" s="2728"/>
      <c r="J71" s="2728"/>
      <c r="K71" s="2728"/>
      <c r="L71" s="2728"/>
      <c r="N71" s="2729"/>
      <c r="S71" s="2729"/>
      <c r="X71" s="2730"/>
      <c r="Y71" s="2730"/>
      <c r="Z71" s="2730"/>
    </row>
    <row r="72" spans="1:26" ht="13.5" thickBot="1">
      <c r="B72" s="2731">
        <v>102</v>
      </c>
      <c r="C72" s="2732">
        <v>103</v>
      </c>
      <c r="D72" s="2732">
        <f t="shared" si="12"/>
        <v>103</v>
      </c>
      <c r="E72" s="2732">
        <v>103</v>
      </c>
      <c r="F72" s="2733">
        <v>100</v>
      </c>
      <c r="I72" s="2720"/>
      <c r="J72" s="2720"/>
      <c r="K72" s="2720"/>
      <c r="L72" s="2720"/>
      <c r="N72" s="2721"/>
      <c r="O72" s="2720"/>
      <c r="P72" s="2720"/>
      <c r="Q72" s="2720"/>
      <c r="S72" s="2721"/>
      <c r="T72" s="2720"/>
      <c r="U72" s="2720"/>
      <c r="V72" s="2720"/>
      <c r="X72" s="2666"/>
      <c r="Y72" s="2666"/>
      <c r="Z72" s="2666"/>
    </row>
    <row r="74" spans="1:26" s="2735" customFormat="1">
      <c r="A74" s="2734" t="s">
        <v>2629</v>
      </c>
      <c r="G74" s="2736"/>
      <c r="N74" s="2736"/>
      <c r="S74" s="2736"/>
    </row>
    <row r="75" spans="1:26" s="2735" customFormat="1">
      <c r="A75" s="2735" t="s">
        <v>2630</v>
      </c>
      <c r="G75" s="2736"/>
      <c r="N75" s="2736"/>
      <c r="S75" s="2736"/>
    </row>
    <row r="76" spans="1:26" s="2735" customFormat="1">
      <c r="A76" s="2735" t="s">
        <v>2631</v>
      </c>
      <c r="G76" s="2736"/>
      <c r="I76" s="2737"/>
      <c r="J76" s="2737"/>
      <c r="K76" s="2737"/>
      <c r="L76" s="2737"/>
      <c r="N76" s="2738"/>
      <c r="O76" s="2737"/>
      <c r="P76" s="2737"/>
      <c r="Q76" s="2737"/>
      <c r="S76" s="2738"/>
      <c r="T76" s="2737"/>
      <c r="U76" s="2737"/>
      <c r="V76" s="2737"/>
    </row>
    <row r="77" spans="1:26" s="2735" customFormat="1">
      <c r="A77" s="2735" t="s">
        <v>2632</v>
      </c>
      <c r="G77" s="2736"/>
      <c r="N77" s="2736"/>
      <c r="S77" s="2736"/>
    </row>
    <row r="84" spans="7:22" ht="13.5" thickBot="1"/>
    <row r="85" spans="7:22">
      <c r="G85" s="2661"/>
      <c r="S85" s="2739" t="s">
        <v>2633</v>
      </c>
      <c r="T85" s="2740" t="s">
        <v>2634</v>
      </c>
      <c r="U85" s="2740" t="s">
        <v>2635</v>
      </c>
      <c r="V85" s="2740" t="s">
        <v>2636</v>
      </c>
    </row>
    <row r="86" spans="7:22">
      <c r="G86" s="2661"/>
      <c r="N86" s="2665"/>
      <c r="O86" s="2666"/>
      <c r="P86" s="2666"/>
      <c r="Q86" s="2666"/>
      <c r="S86" s="2741">
        <v>2006</v>
      </c>
      <c r="T86" s="2742">
        <v>15.1</v>
      </c>
      <c r="U86" s="2742">
        <v>7.43</v>
      </c>
      <c r="V86" s="2742">
        <v>26.26</v>
      </c>
    </row>
    <row r="87" spans="7:22">
      <c r="G87" s="2661"/>
      <c r="N87" s="2665"/>
      <c r="O87" s="2666"/>
      <c r="P87" s="2666"/>
      <c r="Q87" s="2666"/>
      <c r="S87" s="2744">
        <v>2005</v>
      </c>
      <c r="T87" s="2743">
        <v>13.9</v>
      </c>
      <c r="U87" s="2743">
        <v>7.49</v>
      </c>
      <c r="V87" s="2743">
        <v>24.92</v>
      </c>
    </row>
    <row r="88" spans="7:22">
      <c r="G88" s="2661"/>
      <c r="N88" s="2665"/>
      <c r="O88" s="2666"/>
      <c r="P88" s="2666"/>
      <c r="Q88" s="2666"/>
      <c r="S88" s="2741">
        <v>2004</v>
      </c>
      <c r="T88" s="2742">
        <v>9.48</v>
      </c>
      <c r="U88" s="2742">
        <v>7.2</v>
      </c>
      <c r="V88" s="2742">
        <v>14.68</v>
      </c>
    </row>
    <row r="89" spans="7:22">
      <c r="G89" s="2661"/>
      <c r="N89" s="2665"/>
      <c r="O89" s="2666"/>
      <c r="P89" s="2666"/>
      <c r="Q89" s="2666"/>
      <c r="S89" s="2744">
        <v>2003</v>
      </c>
      <c r="T89" s="2743">
        <v>4.5</v>
      </c>
      <c r="U89" s="2743">
        <v>6.12</v>
      </c>
      <c r="V89" s="2743">
        <v>2.34</v>
      </c>
    </row>
    <row r="90" spans="7:22" ht="13.5" thickBot="1">
      <c r="G90" s="2661"/>
      <c r="N90" s="2665"/>
      <c r="O90" s="2666"/>
      <c r="P90" s="2666"/>
      <c r="Q90" s="2666"/>
      <c r="S90" s="2745">
        <v>2002</v>
      </c>
      <c r="T90" s="2746">
        <v>3.59</v>
      </c>
      <c r="U90" s="2746">
        <v>4.54</v>
      </c>
      <c r="V90" s="2746">
        <v>2.5499999999999998</v>
      </c>
    </row>
    <row r="91" spans="7:22">
      <c r="G91" s="2661"/>
      <c r="N91" s="2665"/>
      <c r="O91" s="2666"/>
      <c r="P91" s="2666"/>
      <c r="Q91" s="2666"/>
    </row>
    <row r="92" spans="7:22">
      <c r="G92" s="2661"/>
      <c r="N92" s="2665"/>
      <c r="O92" s="2666"/>
      <c r="P92" s="2666"/>
      <c r="Q92" s="2666"/>
    </row>
    <row r="93" spans="7:22">
      <c r="G93" s="2661"/>
      <c r="N93" s="2665"/>
      <c r="O93" s="2666"/>
      <c r="P93" s="2666"/>
      <c r="Q93" s="2666"/>
    </row>
    <row r="94" spans="7:22">
      <c r="G94" s="2661"/>
      <c r="N94" s="2665"/>
      <c r="O94" s="2666"/>
      <c r="P94" s="2666"/>
      <c r="Q94" s="2666"/>
    </row>
    <row r="95" spans="7:22">
      <c r="G95" s="2661"/>
      <c r="N95" s="2665"/>
      <c r="O95" s="2666"/>
      <c r="P95" s="2666"/>
      <c r="Q95" s="2666"/>
    </row>
    <row r="96" spans="7:22">
      <c r="G96" s="2661"/>
      <c r="N96" s="2665"/>
      <c r="O96" s="2666"/>
      <c r="P96" s="2666"/>
      <c r="Q96" s="2666"/>
    </row>
    <row r="97" spans="7:19">
      <c r="G97" s="2661"/>
      <c r="N97" s="2665"/>
      <c r="O97" s="2666"/>
      <c r="P97" s="2666"/>
      <c r="Q97" s="2666"/>
    </row>
    <row r="98" spans="7:19">
      <c r="G98" s="2661"/>
      <c r="N98" s="2665"/>
      <c r="O98" s="2666"/>
      <c r="P98" s="2666"/>
      <c r="Q98" s="2666"/>
    </row>
    <row r="99" spans="7:19">
      <c r="G99" s="2661"/>
      <c r="N99" s="2665"/>
      <c r="O99" s="2666"/>
      <c r="P99" s="2666"/>
      <c r="Q99" s="2666"/>
    </row>
    <row r="100" spans="7:19">
      <c r="G100" s="2661"/>
      <c r="N100" s="2665"/>
      <c r="O100" s="2666"/>
      <c r="P100" s="2666"/>
      <c r="Q100" s="2666"/>
    </row>
    <row r="101" spans="7:19">
      <c r="G101" s="2661"/>
      <c r="N101" s="2665"/>
      <c r="O101" s="2666"/>
      <c r="P101" s="2666"/>
      <c r="Q101" s="2666"/>
      <c r="S101" s="2661"/>
    </row>
    <row r="102" spans="7:19">
      <c r="G102" s="2661"/>
      <c r="N102" s="2665"/>
      <c r="O102" s="2666"/>
      <c r="P102" s="2666"/>
      <c r="Q102" s="2666"/>
      <c r="S102" s="2661"/>
    </row>
    <row r="103" spans="7:19">
      <c r="G103" s="2661"/>
      <c r="N103" s="2665"/>
      <c r="O103" s="2666"/>
      <c r="P103" s="2666"/>
      <c r="Q103" s="2666"/>
      <c r="S103" s="2661"/>
    </row>
    <row r="104" spans="7:19">
      <c r="G104" s="2661"/>
      <c r="N104" s="2665"/>
      <c r="O104" s="2666"/>
      <c r="P104" s="2666"/>
      <c r="Q104" s="2666"/>
      <c r="S104" s="2661"/>
    </row>
    <row r="105" spans="7:19">
      <c r="G105" s="2661"/>
      <c r="N105" s="2665"/>
      <c r="O105" s="2666"/>
      <c r="P105" s="2666"/>
      <c r="Q105" s="2666"/>
      <c r="S105" s="2661"/>
    </row>
    <row r="106" spans="7:19">
      <c r="G106" s="2661"/>
      <c r="N106" s="2665"/>
      <c r="O106" s="2666"/>
      <c r="P106" s="2666"/>
      <c r="Q106" s="2666"/>
      <c r="S106" s="2661"/>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4"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北京万龙华房地产开发有限公司 ：</v>
      </c>
    </row>
    <row r="4" spans="1:4" ht="37.5">
      <c r="A4" s="1790" t="str">
        <f>"受贵公司委托，我公司对"&amp;项目基本情况!K2&amp;项目基本情况!B9&amp;"进行了预评估。"</f>
        <v>受贵公司委托，我公司对北京市顺义区高丽营镇于庄03-21地块出让国有建设用地使用权抵押价格进行了预评估。</v>
      </c>
    </row>
    <row r="5" spans="1:4" ht="18.75">
      <c r="A5" s="1793" t="s">
        <v>1906</v>
      </c>
    </row>
    <row r="6" spans="1:4" ht="56.2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估价对象为使用的、位于北京市顺义区高丽营镇于庄03-21地块出让国有建设用地使用权。根据，估价对象（分摊）出让国有建设用地使用权面积为64089.62平方米。根据，估价对象规划建筑面积为169816平方米。</v>
      </c>
    </row>
    <row r="7" spans="1:4" ht="56.25">
      <c r="A7" s="1794" t="s">
        <v>2744</v>
      </c>
    </row>
    <row r="8" spans="1:4" ht="18.75">
      <c r="A8" s="1793" t="s">
        <v>1907</v>
      </c>
    </row>
    <row r="9" spans="1:4" ht="75">
      <c r="A9" s="1795" t="str">
        <f>IF(项目基本情况!B8="抵押",IF(项目基本情况!B5=项目基本情况!B6,定义!C51,定义!B51),定义!D51)</f>
        <v>委托估价方在向金融机构（建行城建、中行北京分行丰台支行、农行北分崇文门）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2026</v>
      </c>
    </row>
    <row r="11" spans="1:4" ht="18.75">
      <c r="A11" s="1779" t="str">
        <f>TEXT(项目基本情况!D3,"yyyy年m月d日;;")&amp;IF(项目基本情况!B3=项目基本情况!D3,"（评估专业人员勘察现场之日）","")</f>
        <v>2018年12月10日（评估专业人员勘察现场之日）</v>
      </c>
    </row>
    <row r="12" spans="1:4" ht="18.75">
      <c r="A12" s="1796" t="s">
        <v>2025</v>
      </c>
    </row>
    <row r="13" spans="1:4" ht="18.75">
      <c r="A13" s="1790" t="s">
        <v>2929</v>
      </c>
    </row>
    <row r="14" spans="1:4" ht="37.5">
      <c r="A14" s="1790" t="str">
        <f>"根据"&amp;项目基本情况!F12&amp;"，本次评估估价对象证载（地类）用途为"&amp;项目基本情况!B12&amp;"。"</f>
        <v>根据，本次评估估价对象证载（地类）用途为住宅、商业、地下仓储、地下车库。</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本次评估设定用途即为证载用途住宅、商业、地下仓储、地下车库。</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根据委托估价方介绍及评估专业人员现场勘查，本次评估估价对象实际土地开发程度为红线外市政基础设施达“三通”（即通路、通电、通上水）、宗地红线内已开工建设。。</v>
      </c>
    </row>
    <row r="18" spans="1:1" ht="56.2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由于估价对象已完成通平、具备施工条件，因此本次评估设定土地开发程度为红线外市政基础设施达“三通”、宗地红线内场地平整。本次评估估价结果不包含上述在建工程或已建建筑物价格。</v>
      </c>
    </row>
    <row r="19" spans="1:1" ht="18.75">
      <c r="A19" s="1790" t="s">
        <v>2073</v>
      </c>
    </row>
    <row r="20" spans="1:1" ht="37.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根据，估价对象（分摊）出让国有建设用地使用权面积为64089.62平方米。根据，估价对象规划建筑面积为169816平方米。</v>
      </c>
    </row>
    <row r="21" spans="1:1" ht="18.75">
      <c r="A21" s="1790" t="s">
        <v>2074</v>
      </c>
    </row>
    <row r="22" spans="1:1" ht="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2087年7月27日、商业2057年7月27日地下车库2067年7月27日、仓储2067年7月27日。截至估价期日，出让国有建设用地使用权剩余土地使用年限为住宅68.8年、商业38.8年、地下车库48.8年、仓储48.8。</v>
      </c>
    </row>
    <row r="23" spans="1:1" ht="37.5">
      <c r="A23" s="1790" t="str">
        <f>IF(项目基本情况!B16="出让","本次评估设定估价对象剩余土地使用年限为"&amp;项目基本情况!D20&amp;"。","")</f>
        <v>本次评估设定估价对象剩余土地使用年限为住宅68.8年、商业38.8年、地下车库48.8年、仓储48.8。</v>
      </c>
    </row>
    <row r="24" spans="1:1" ht="18.75">
      <c r="A24" s="1790" t="s">
        <v>2075</v>
      </c>
    </row>
    <row r="25" spans="1:1" ht="112.5">
      <c r="A25" s="1790" t="str">
        <f>定义!C53</f>
        <v>本次估价的“出让国有建设用地使用权价格”是指在估价对象土地所有权为国家所有，使用权性质为出让，在公开市场条件下、于估价期日2018年12月10日，在规划利用条件下、设定土地开发程度为红线外“三通”、宗地内场地平整，设定用途为住宅、商业、地下仓储、地下车库，剩余土地使用年限为住宅68.8年、商业38.8年、地下车库48.8年、仓储48.8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IF(项目基本情况!B9="市场价格","——",IF(项目基本情况!E9="——","",定义!C57))</f>
        <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4" zoomScale="80" zoomScaleNormal="80" workbookViewId="0">
      <selection activeCell="E38" sqref="E38"/>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1726</v>
      </c>
      <c r="B1" s="737"/>
      <c r="C1" s="772" t="s">
        <v>3201</v>
      </c>
      <c r="D1" s="3120" t="s">
        <v>3233</v>
      </c>
      <c r="E1" s="2385" t="s">
        <v>2372</v>
      </c>
      <c r="F1" s="2386">
        <f ca="1">J53</f>
        <v>66.67</v>
      </c>
      <c r="G1" s="773">
        <f>MATCH(C1,'数据-取费表'!A6:A16,0)+5</f>
        <v>8</v>
      </c>
      <c r="H1" s="2048"/>
      <c r="I1" s="2049"/>
      <c r="J1" s="2049"/>
      <c r="K1" s="2050"/>
      <c r="L1" s="2049"/>
      <c r="M1" s="2049"/>
      <c r="N1" s="2051"/>
      <c r="O1" s="2051"/>
      <c r="P1" s="2051"/>
      <c r="Q1" s="2390"/>
      <c r="R1" s="2051"/>
      <c r="S1" s="2051"/>
      <c r="T1" s="2051"/>
      <c r="U1" s="2051"/>
      <c r="V1" s="2051"/>
      <c r="W1" s="2051"/>
      <c r="X1" s="2051"/>
      <c r="Y1" s="2051"/>
      <c r="Z1" s="2051"/>
      <c r="AA1" s="2051"/>
      <c r="AB1" s="2051"/>
      <c r="AC1" s="2051"/>
      <c r="AD1" s="2051"/>
      <c r="AE1" s="2051"/>
      <c r="AF1" s="2051"/>
      <c r="AG1" s="2051"/>
    </row>
    <row r="2" spans="1:33" ht="18" customHeight="1">
      <c r="A2" s="422" t="s">
        <v>1727</v>
      </c>
      <c r="B2" s="774">
        <f ca="1">C40+J29+L46</f>
        <v>60731</v>
      </c>
      <c r="C2" s="2055"/>
      <c r="D2" s="2053"/>
      <c r="E2" s="2054"/>
      <c r="F2" s="2054"/>
      <c r="G2" s="1589"/>
      <c r="H2" s="2055"/>
      <c r="I2" s="2055"/>
      <c r="J2" s="2055"/>
      <c r="K2" s="2056"/>
      <c r="L2" s="2055"/>
      <c r="M2" s="2055"/>
    </row>
    <row r="3" spans="1:33" ht="18" customHeight="1" thickBot="1">
      <c r="A3" s="832" t="s">
        <v>1728</v>
      </c>
      <c r="B3" s="833">
        <f ca="1">IF(ISERROR(B2*10000/F43),0,ROUND(B2*10000/F43,0))</f>
        <v>25549</v>
      </c>
      <c r="C3" s="2055"/>
      <c r="D3" s="2053"/>
      <c r="E3" s="2054"/>
      <c r="F3" s="2054"/>
      <c r="G3" s="1589"/>
      <c r="H3" s="775" t="s">
        <v>695</v>
      </c>
      <c r="I3" s="1362"/>
      <c r="J3" s="1362"/>
      <c r="K3" s="1590"/>
      <c r="L3" s="1362"/>
      <c r="M3" s="1362"/>
    </row>
    <row r="4" spans="1:33" ht="18" customHeight="1">
      <c r="A4" s="776" t="s">
        <v>1729</v>
      </c>
      <c r="B4" s="777" t="s">
        <v>1730</v>
      </c>
      <c r="C4" s="777" t="s">
        <v>1731</v>
      </c>
      <c r="D4" s="777" t="s">
        <v>633</v>
      </c>
      <c r="E4" s="778" t="s">
        <v>1732</v>
      </c>
      <c r="F4" s="779"/>
      <c r="G4" s="1591"/>
      <c r="H4" s="776" t="s">
        <v>1733</v>
      </c>
      <c r="I4" s="777" t="s">
        <v>1734</v>
      </c>
      <c r="J4" s="777" t="s">
        <v>1735</v>
      </c>
      <c r="K4" s="777" t="s">
        <v>1736</v>
      </c>
      <c r="L4" s="778" t="s">
        <v>1737</v>
      </c>
      <c r="M4" s="779"/>
    </row>
    <row r="5" spans="1:33" ht="18" customHeight="1">
      <c r="A5" s="780">
        <v>1</v>
      </c>
      <c r="B5" s="781" t="s">
        <v>2456</v>
      </c>
      <c r="C5" s="55">
        <f ca="1">C6+C10+C12</f>
        <v>2346</v>
      </c>
      <c r="D5" s="2494" t="s">
        <v>2459</v>
      </c>
      <c r="E5" s="2488"/>
      <c r="F5" s="2489"/>
      <c r="G5" s="1591"/>
      <c r="H5" s="780">
        <v>1</v>
      </c>
      <c r="I5" s="781" t="s">
        <v>2456</v>
      </c>
      <c r="J5" s="55">
        <f ca="1">J6+J10+J12</f>
        <v>0</v>
      </c>
      <c r="K5" s="2494" t="s">
        <v>2459</v>
      </c>
      <c r="L5" s="2488"/>
      <c r="M5" s="2489"/>
    </row>
    <row r="6" spans="1:33" ht="18" customHeight="1">
      <c r="A6" s="1828" t="s">
        <v>1825</v>
      </c>
      <c r="B6" s="3571" t="s">
        <v>2461</v>
      </c>
      <c r="C6" s="782">
        <f ca="1">ROUND(F6*F8*F7*(1-F9)/10000,0)</f>
        <v>2343</v>
      </c>
      <c r="D6" s="2495" t="s">
        <v>2460</v>
      </c>
      <c r="E6" s="783" t="s">
        <v>1739</v>
      </c>
      <c r="F6" s="784">
        <f ca="1">INDIRECT("'数据-取费表'!u"&amp;$G$1)</f>
        <v>3</v>
      </c>
      <c r="G6" s="1591"/>
      <c r="H6" s="2502" t="s">
        <v>2466</v>
      </c>
      <c r="I6" s="3571" t="s">
        <v>2461</v>
      </c>
      <c r="J6" s="782">
        <f ca="1">ROUND(M6*M8*M7*(1-M9)/10000,0)</f>
        <v>0</v>
      </c>
      <c r="K6" s="340" t="s">
        <v>1738</v>
      </c>
      <c r="L6" s="783" t="s">
        <v>1739</v>
      </c>
      <c r="M6" s="784">
        <f ca="1">INDIRECT("'数据-取费表'!z"&amp;$G$1)</f>
        <v>0</v>
      </c>
    </row>
    <row r="7" spans="1:33" ht="18" customHeight="1">
      <c r="A7" s="2498"/>
      <c r="B7" s="3572"/>
      <c r="C7" s="787"/>
      <c r="D7" s="788"/>
      <c r="E7" s="783" t="s">
        <v>1740</v>
      </c>
      <c r="F7" s="784">
        <f ca="1">IF(INDIRECT("'数据-取费表'!ah"&amp;$G$1)="",INDIRECT("'数据-取费表'!k"&amp;$G$1),INDIRECT("'数据-取费表'!ah"&amp;$G$1))</f>
        <v>23770.38</v>
      </c>
      <c r="G7" s="1591"/>
      <c r="H7" s="2487"/>
      <c r="I7" s="3572"/>
      <c r="J7" s="787"/>
      <c r="K7" s="788"/>
      <c r="L7" s="783" t="s">
        <v>1740</v>
      </c>
      <c r="M7" s="784">
        <f ca="1">F7</f>
        <v>23770.38</v>
      </c>
    </row>
    <row r="8" spans="1:33" ht="18" customHeight="1">
      <c r="A8" s="2491"/>
      <c r="B8" s="3573"/>
      <c r="C8" s="787"/>
      <c r="D8" s="788"/>
      <c r="E8" s="783" t="s">
        <v>1741</v>
      </c>
      <c r="F8" s="784">
        <f ca="1">INDIRECT("'数据-取费表'!ai"&amp;$G$1)</f>
        <v>365</v>
      </c>
      <c r="G8" s="1591"/>
      <c r="H8" s="2487"/>
      <c r="I8" s="3573"/>
      <c r="J8" s="787"/>
      <c r="K8" s="788"/>
      <c r="L8" s="783" t="s">
        <v>1741</v>
      </c>
      <c r="M8" s="784">
        <f ca="1">INDIRECT("'数据-取费表'!ai"&amp;$G$1)</f>
        <v>365</v>
      </c>
    </row>
    <row r="9" spans="1:33" ht="18" customHeight="1">
      <c r="A9" s="785"/>
      <c r="B9" s="3574"/>
      <c r="C9" s="787"/>
      <c r="D9" s="788"/>
      <c r="E9" s="783" t="s">
        <v>1742</v>
      </c>
      <c r="F9" s="793">
        <f ca="1">INDIRECT("'数据-取费表'!w"&amp;$G$1)</f>
        <v>0.1</v>
      </c>
      <c r="G9" s="1591"/>
      <c r="H9" s="2503"/>
      <c r="I9" s="3573"/>
      <c r="J9" s="787"/>
      <c r="K9" s="788"/>
      <c r="L9" s="794" t="s">
        <v>1742</v>
      </c>
      <c r="M9" s="795">
        <f ca="1">INDIRECT("'数据-取费表'!ab"&amp;$G$1)</f>
        <v>0</v>
      </c>
    </row>
    <row r="10" spans="1:33" ht="18" customHeight="1">
      <c r="A10" s="1828" t="s">
        <v>2464</v>
      </c>
      <c r="B10" s="2492" t="s">
        <v>2457</v>
      </c>
      <c r="C10" s="798">
        <f ca="1">ROUND(IF(F10="押一",C6/12*F11,IF(F10="押二",C6/12*2*F11,IF(F10="押三",C6/12*3*F11,C11*F11))),0)</f>
        <v>3</v>
      </c>
      <c r="D10" s="2499" t="s">
        <v>2962</v>
      </c>
      <c r="E10" s="2496" t="s">
        <v>2462</v>
      </c>
      <c r="F10" s="2619" t="s">
        <v>3234</v>
      </c>
      <c r="G10" s="1591"/>
      <c r="H10" s="2559" t="s">
        <v>2467</v>
      </c>
      <c r="I10" s="2564" t="s">
        <v>2457</v>
      </c>
      <c r="J10" s="782">
        <f ca="1">ROUND(IF(M10="押一",J6/12*M11,IF(M10="押二",J6/12*2*M11,IF(M10="押三",J6/12*3*M11,J11*M11))),0)</f>
        <v>0</v>
      </c>
      <c r="K10" s="2499" t="s">
        <v>2962</v>
      </c>
      <c r="L10" s="2496" t="s">
        <v>2462</v>
      </c>
      <c r="M10" s="2619"/>
    </row>
    <row r="11" spans="1:33" ht="18" customHeight="1">
      <c r="A11" s="789"/>
      <c r="B11" s="2493" t="s">
        <v>2571</v>
      </c>
      <c r="C11" s="2497"/>
      <c r="D11" s="788"/>
      <c r="E11" s="2496" t="s">
        <v>2463</v>
      </c>
      <c r="F11" s="795">
        <f ca="1">'数据-取费表'!B39</f>
        <v>1.4999999999999999E-2</v>
      </c>
      <c r="G11" s="1591"/>
      <c r="H11" s="2560"/>
      <c r="I11" s="2493" t="s">
        <v>2571</v>
      </c>
      <c r="J11" s="2497"/>
      <c r="K11" s="2561"/>
      <c r="L11" s="2496" t="s">
        <v>2463</v>
      </c>
      <c r="M11" s="2490">
        <f ca="1">'数据-取费表'!B39</f>
        <v>1.4999999999999999E-2</v>
      </c>
    </row>
    <row r="12" spans="1:33" ht="18" customHeight="1" thickBot="1">
      <c r="A12" s="2535" t="s">
        <v>2465</v>
      </c>
      <c r="B12" s="2536" t="s">
        <v>2458</v>
      </c>
      <c r="C12" s="2537"/>
      <c r="D12" s="2538"/>
      <c r="E12" s="2539"/>
      <c r="F12" s="2540"/>
      <c r="G12" s="1591"/>
      <c r="H12" s="2549" t="s">
        <v>2468</v>
      </c>
      <c r="I12" s="2562" t="s">
        <v>2458</v>
      </c>
      <c r="J12" s="2563"/>
      <c r="K12" s="2538"/>
      <c r="L12" s="2539"/>
      <c r="M12" s="2552"/>
    </row>
    <row r="13" spans="1:33" ht="18" customHeight="1" thickTop="1">
      <c r="A13" s="1827">
        <v>2</v>
      </c>
      <c r="B13" s="1825" t="s">
        <v>1743</v>
      </c>
      <c r="C13" s="791">
        <f ca="1">ROUND(C29*F13,0)</f>
        <v>13573</v>
      </c>
      <c r="D13" s="1832" t="s">
        <v>2297</v>
      </c>
      <c r="E13" s="1832" t="s">
        <v>1745</v>
      </c>
      <c r="F13" s="2534">
        <f ca="1">INDIRECT("'数据-取费表'!y"&amp;$G$1)</f>
        <v>1</v>
      </c>
      <c r="G13" s="1591"/>
      <c r="H13" s="1827">
        <v>2</v>
      </c>
      <c r="I13" s="1825" t="s">
        <v>1743</v>
      </c>
      <c r="J13" s="1817">
        <f ca="1">ROUND(J14*J15,0)</f>
        <v>0</v>
      </c>
      <c r="K13" s="1819" t="s">
        <v>1744</v>
      </c>
      <c r="L13" s="2550"/>
      <c r="M13" s="2551"/>
    </row>
    <row r="14" spans="1:33" ht="18" customHeight="1">
      <c r="A14" s="1647" t="s">
        <v>1885</v>
      </c>
      <c r="B14" s="783" t="s">
        <v>645</v>
      </c>
      <c r="C14" s="803">
        <f ca="1">INDIRECT("'数据-取费表'!m"&amp;$G$1)+INDIRECT("'数据-取费表'!t"&amp;$G$1)</f>
        <v>9975</v>
      </c>
      <c r="D14" s="3242" t="s">
        <v>1746</v>
      </c>
      <c r="E14" s="3241"/>
      <c r="F14" s="804"/>
      <c r="G14" s="1591"/>
      <c r="H14" s="1648" t="s">
        <v>1831</v>
      </c>
      <c r="I14" s="2229" t="s">
        <v>2822</v>
      </c>
      <c r="J14" s="53">
        <f ca="1">C29</f>
        <v>13573</v>
      </c>
      <c r="K14" s="26"/>
      <c r="L14" s="800"/>
      <c r="M14" s="801"/>
    </row>
    <row r="15" spans="1:33" s="2062" customFormat="1" ht="18" customHeight="1" thickBot="1">
      <c r="A15" s="1647" t="s">
        <v>1886</v>
      </c>
      <c r="B15" s="783" t="s">
        <v>647</v>
      </c>
      <c r="C15" s="53">
        <f ca="1">ROUND(C14*F15,0)</f>
        <v>299</v>
      </c>
      <c r="D15" s="805" t="s">
        <v>1747</v>
      </c>
      <c r="E15" s="805" t="s">
        <v>1748</v>
      </c>
      <c r="F15" s="806">
        <f>'数据-取费表'!B33</f>
        <v>0.03</v>
      </c>
      <c r="G15" s="1592"/>
      <c r="H15" s="2549" t="s">
        <v>1890</v>
      </c>
      <c r="I15" s="2544" t="s">
        <v>1745</v>
      </c>
      <c r="J15" s="2553">
        <f ca="1">INDIRECT("'数据-取费表'!ad"&amp;$G$1)</f>
        <v>0</v>
      </c>
      <c r="K15" s="2554"/>
      <c r="L15" s="2555"/>
      <c r="M15" s="2556"/>
      <c r="N15" s="2061"/>
      <c r="O15" s="2061"/>
      <c r="P15" s="2061"/>
      <c r="Q15" s="2391"/>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1887</v>
      </c>
      <c r="B16" s="783" t="s">
        <v>650</v>
      </c>
      <c r="C16" s="53">
        <f ca="1">ROUND(INDIRECT("'数据-取费表'!m"&amp;$G$1)*F16,0)</f>
        <v>285</v>
      </c>
      <c r="D16" s="783" t="s">
        <v>1747</v>
      </c>
      <c r="E16" s="783" t="s">
        <v>1748</v>
      </c>
      <c r="F16" s="808">
        <f ca="1">IF(INDIRECT("'数据-取费表'!c"&amp;$G$1)="住宅",'数据-取费表'!B34,0)</f>
        <v>0.03</v>
      </c>
      <c r="G16" s="1591"/>
      <c r="H16" s="1827" t="s">
        <v>1749</v>
      </c>
      <c r="I16" s="1825" t="s">
        <v>1750</v>
      </c>
      <c r="J16" s="791">
        <f ca="1">ROUND(J17+J22+J23+J24,0)</f>
        <v>1345</v>
      </c>
      <c r="K16" s="1819" t="s">
        <v>1751</v>
      </c>
      <c r="L16" s="3244"/>
      <c r="M16" s="2489"/>
    </row>
    <row r="17" spans="1:33" s="2062" customFormat="1" ht="18" customHeight="1">
      <c r="A17" s="1647" t="s">
        <v>1888</v>
      </c>
      <c r="B17" s="783" t="s">
        <v>653</v>
      </c>
      <c r="C17" s="53">
        <f ca="1">ROUND(F17*(F43+INDIRECT("'数据-取费表'!S"&amp;$G$1))/10000,0)</f>
        <v>514</v>
      </c>
      <c r="D17" s="783" t="s">
        <v>1752</v>
      </c>
      <c r="E17" s="783" t="s">
        <v>1753</v>
      </c>
      <c r="F17" s="56">
        <f>'数据-取费表'!B35</f>
        <v>200</v>
      </c>
      <c r="G17" s="1592"/>
      <c r="H17" s="1648" t="s">
        <v>1831</v>
      </c>
      <c r="I17" s="783" t="s">
        <v>656</v>
      </c>
      <c r="J17" s="53">
        <f ca="1">ROUND(IF(项目基本情况!B11="自然人",J5*M17,J18+J19+J20),0)</f>
        <v>1141</v>
      </c>
      <c r="K17" s="3242" t="s">
        <v>1754</v>
      </c>
      <c r="L17" s="3243" t="s">
        <v>1755</v>
      </c>
      <c r="M17" s="809" t="str">
        <f ca="1">IF(项目基本情况!B11="企业","",IF(INDIRECT("'数据-取费表'!c"&amp;$G$1)="住宅",5%,IF(M6*M7*M8/12/(1+'数据-取费表'!C42)&gt;20000,12%,7%)))</f>
        <v/>
      </c>
      <c r="N17" s="2061"/>
      <c r="O17" s="2061"/>
      <c r="P17" s="2061"/>
      <c r="Q17" s="2391"/>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1889</v>
      </c>
      <c r="B18" s="783" t="s">
        <v>659</v>
      </c>
      <c r="C18" s="53">
        <f ca="1">ROUND(C14*F18,0)</f>
        <v>150</v>
      </c>
      <c r="D18" s="783" t="s">
        <v>1747</v>
      </c>
      <c r="E18" s="783" t="s">
        <v>1748</v>
      </c>
      <c r="F18" s="808">
        <f>'数据-取费表'!B36</f>
        <v>1.4999999999999999E-2</v>
      </c>
      <c r="G18" s="1592"/>
      <c r="H18" s="1647" t="s">
        <v>1885</v>
      </c>
      <c r="I18" s="783" t="s">
        <v>1756</v>
      </c>
      <c r="J18" s="53">
        <f ca="1">ROUND(J5*M18/1.05,1)</f>
        <v>0</v>
      </c>
      <c r="K18" s="3243" t="s">
        <v>1757</v>
      </c>
      <c r="L18" s="783" t="s">
        <v>1748</v>
      </c>
      <c r="M18" s="808">
        <f>'数据-取费表'!B41</f>
        <v>5.5000000000000007E-2</v>
      </c>
      <c r="N18" s="2061"/>
      <c r="O18" s="2061"/>
      <c r="P18" s="2061"/>
      <c r="Q18" s="2391"/>
      <c r="R18" s="2061"/>
      <c r="S18" s="2061"/>
      <c r="T18" s="2061"/>
      <c r="U18" s="2061"/>
      <c r="V18" s="2061"/>
      <c r="W18" s="2061"/>
      <c r="X18" s="2061"/>
      <c r="Y18" s="2061"/>
      <c r="Z18" s="2061"/>
      <c r="AA18" s="2061"/>
      <c r="AB18" s="2061"/>
      <c r="AC18" s="2061"/>
      <c r="AD18" s="2061"/>
      <c r="AE18" s="2061"/>
      <c r="AF18" s="2061"/>
      <c r="AG18" s="2061"/>
    </row>
    <row r="19" spans="1:33" ht="18" customHeight="1">
      <c r="A19" s="1648" t="s">
        <v>1831</v>
      </c>
      <c r="B19" s="783" t="s">
        <v>662</v>
      </c>
      <c r="C19" s="53">
        <f ca="1">SUM(C14:C18)</f>
        <v>11223</v>
      </c>
      <c r="D19" s="260" t="s">
        <v>1758</v>
      </c>
      <c r="E19" s="3245"/>
      <c r="F19" s="56"/>
      <c r="G19" s="1591"/>
      <c r="H19" s="1647" t="s">
        <v>1886</v>
      </c>
      <c r="I19" s="783" t="s">
        <v>1759</v>
      </c>
      <c r="J19" s="53">
        <f ca="1">IF(K19="按租金收入计税",ROUND(J5*M19,1),ROUND(C29*F33*0.7,1))</f>
        <v>1140.0999999999999</v>
      </c>
      <c r="K19" s="810" t="s">
        <v>665</v>
      </c>
      <c r="L19" s="783" t="s">
        <v>1748</v>
      </c>
      <c r="M19" s="808">
        <f>IF(K19="按租金收入计税",'数据-取费表'!B51,'数据-取费表'!B50)</f>
        <v>1.2E-2</v>
      </c>
    </row>
    <row r="20" spans="1:33" s="2062" customFormat="1" ht="18" customHeight="1">
      <c r="A20" s="1648" t="s">
        <v>1890</v>
      </c>
      <c r="B20" s="783" t="s">
        <v>666</v>
      </c>
      <c r="C20" s="53">
        <f ca="1">ROUND(C19*F20,0)</f>
        <v>224</v>
      </c>
      <c r="D20" s="811" t="s">
        <v>1760</v>
      </c>
      <c r="E20" s="783" t="s">
        <v>1748</v>
      </c>
      <c r="F20" s="808">
        <f>'数据-取费表'!B37</f>
        <v>0.02</v>
      </c>
      <c r="G20" s="1592"/>
      <c r="H20" s="1650" t="s">
        <v>1881</v>
      </c>
      <c r="I20" s="340" t="s">
        <v>1761</v>
      </c>
      <c r="J20" s="54">
        <f ca="1">ROUND(M20*M21/10000,0)</f>
        <v>1</v>
      </c>
      <c r="K20" s="813" t="s">
        <v>1762</v>
      </c>
      <c r="L20" s="783" t="s">
        <v>1763</v>
      </c>
      <c r="M20" s="639">
        <f>'数据-取费表'!B52</f>
        <v>1.5</v>
      </c>
      <c r="N20" s="2061"/>
      <c r="O20" s="2061"/>
      <c r="P20" s="2061"/>
      <c r="Q20" s="2391"/>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1891</v>
      </c>
      <c r="B21" s="783" t="s">
        <v>1764</v>
      </c>
      <c r="C21" s="53" t="s">
        <v>1765</v>
      </c>
      <c r="D21" s="811" t="s">
        <v>2298</v>
      </c>
      <c r="E21" s="783" t="s">
        <v>1766</v>
      </c>
      <c r="F21" s="808">
        <f>'数据-取费表'!B38</f>
        <v>0.02</v>
      </c>
      <c r="G21" s="1592"/>
      <c r="H21" s="2504"/>
      <c r="I21" s="792"/>
      <c r="J21" s="69"/>
      <c r="K21" s="815"/>
      <c r="L21" s="783" t="s">
        <v>1767</v>
      </c>
      <c r="M21" s="784">
        <f ca="1">INDIRECT("'数据-取费表'!r"&amp;$G$1)</f>
        <v>9842.2800000000007</v>
      </c>
      <c r="N21" s="2061"/>
      <c r="O21" s="2061"/>
      <c r="P21" s="2061"/>
      <c r="Q21" s="2391"/>
      <c r="R21" s="2061"/>
      <c r="S21" s="2061"/>
      <c r="T21" s="2061"/>
      <c r="U21" s="2061"/>
      <c r="V21" s="2061"/>
      <c r="W21" s="2061"/>
      <c r="X21" s="2061"/>
      <c r="Y21" s="2061"/>
      <c r="Z21" s="2061"/>
      <c r="AA21" s="2061"/>
      <c r="AB21" s="2061"/>
      <c r="AC21" s="2061"/>
      <c r="AD21" s="2061"/>
      <c r="AE21" s="2061"/>
      <c r="AF21" s="2061"/>
      <c r="AG21" s="2061"/>
    </row>
    <row r="22" spans="1:33" ht="18" customHeight="1">
      <c r="A22" s="1648" t="s">
        <v>1892</v>
      </c>
      <c r="B22" s="783" t="s">
        <v>1768</v>
      </c>
      <c r="C22" s="53"/>
      <c r="D22" s="2570" t="str">
        <f>IF(F23&lt;=1,"单利计息。","复利计息。")&amp;"建造成本、管理费用、销售费用产生的利息。"</f>
        <v>复利计息。建造成本、管理费用、销售费用产生的利息。</v>
      </c>
      <c r="E22" s="3245"/>
      <c r="F22" s="56"/>
      <c r="G22" s="1591"/>
      <c r="H22" s="1648" t="s">
        <v>1890</v>
      </c>
      <c r="I22" s="783" t="s">
        <v>1769</v>
      </c>
      <c r="J22" s="53">
        <f ca="1">ROUND(J14*M22,0)</f>
        <v>204</v>
      </c>
      <c r="K22" s="3243" t="s">
        <v>1770</v>
      </c>
      <c r="L22" s="783" t="s">
        <v>1748</v>
      </c>
      <c r="M22" s="816">
        <f ca="1">INDIRECT("'数据-取费表'!Ak"&amp;$G$1)</f>
        <v>1.4999999999999999E-2</v>
      </c>
    </row>
    <row r="23" spans="1:33" s="2062" customFormat="1" ht="18" customHeight="1">
      <c r="A23" s="1647" t="s">
        <v>1832</v>
      </c>
      <c r="B23" s="783" t="s">
        <v>2533</v>
      </c>
      <c r="C23" s="53">
        <f ca="1">ROUND(IF('数据-取费表'!B22&lt;=1,(C19+C20)*F24*F23/2,(C19+C20)*(POWER((1+F24),F23/2)-1)),0)</f>
        <v>544</v>
      </c>
      <c r="D23" s="2569" t="str">
        <f>IF(F23&lt;=1,"(建造成本+管理费用)×利率×(建设周期÷2)","(建造成本+管理费用)×((1+利率)^(建设周期÷2)-1)")</f>
        <v>(建造成本+管理费用)×((1+利率)^(建设周期÷2)-1)</v>
      </c>
      <c r="E23" s="783" t="s">
        <v>1771</v>
      </c>
      <c r="F23" s="639">
        <f>'数据-取费表'!B20</f>
        <v>2</v>
      </c>
      <c r="G23" s="1592"/>
      <c r="H23" s="1648" t="s">
        <v>1891</v>
      </c>
      <c r="I23" s="783" t="s">
        <v>679</v>
      </c>
      <c r="J23" s="53">
        <f ca="1">ROUND(J13*M23,0)</f>
        <v>0</v>
      </c>
      <c r="K23" s="3243" t="s">
        <v>1772</v>
      </c>
      <c r="L23" s="783" t="s">
        <v>1748</v>
      </c>
      <c r="M23" s="817">
        <f ca="1">INDIRECT("'数据-取费表'!Al"&amp;$G$1)</f>
        <v>1.5E-3</v>
      </c>
      <c r="N23" s="2061"/>
      <c r="O23" s="2061"/>
      <c r="P23" s="2061"/>
      <c r="Q23" s="2391"/>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1833</v>
      </c>
      <c r="B24" s="783" t="s">
        <v>1773</v>
      </c>
      <c r="C24" s="53">
        <f ca="1">ROUND(IF('数据-取费表'!B22&lt;=1,F21*F24*F23/2,F21*(POWER((1+F24),F23/2)-1)),4)</f>
        <v>1E-3</v>
      </c>
      <c r="D24" s="2569" t="str">
        <f>IF(F23&lt;=1,"销售费用×利率×(建设周期÷2)","销售费用×((1+利率)^(建设周期÷2)-1)")</f>
        <v>销售费用×((1+利率)^(建设周期÷2)-1)</v>
      </c>
      <c r="E24" s="783" t="s">
        <v>1774</v>
      </c>
      <c r="F24" s="818">
        <f ca="1">'数据-取费表'!B40</f>
        <v>4.7500000000000001E-2</v>
      </c>
      <c r="G24" s="1592"/>
      <c r="H24" s="2549" t="s">
        <v>1892</v>
      </c>
      <c r="I24" s="2544" t="s">
        <v>666</v>
      </c>
      <c r="J24" s="2542">
        <f ca="1">ROUND(J5*M24,0)</f>
        <v>0</v>
      </c>
      <c r="K24" s="2543" t="s">
        <v>1775</v>
      </c>
      <c r="L24" s="2544" t="s">
        <v>1748</v>
      </c>
      <c r="M24" s="2540">
        <f ca="1">INDIRECT("'数据-取费表'!Am"&amp;$G$1)</f>
        <v>1.4999999999999999E-2</v>
      </c>
      <c r="N24" s="2061"/>
      <c r="O24" s="2061"/>
      <c r="P24" s="2061"/>
      <c r="Q24" s="2391"/>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1841</v>
      </c>
      <c r="B25" s="783" t="s">
        <v>684</v>
      </c>
      <c r="C25" s="53"/>
      <c r="D25" s="260" t="s">
        <v>1776</v>
      </c>
      <c r="E25" s="3245"/>
      <c r="F25" s="56"/>
      <c r="G25" s="1591"/>
      <c r="H25" s="1827" t="s">
        <v>1777</v>
      </c>
      <c r="I25" s="3007" t="s">
        <v>2819</v>
      </c>
      <c r="J25" s="791">
        <f ca="1">J5-J16</f>
        <v>-1345</v>
      </c>
      <c r="K25" s="2546" t="s">
        <v>1778</v>
      </c>
      <c r="L25" s="2547"/>
      <c r="M25" s="2548"/>
    </row>
    <row r="26" spans="1:33" ht="18" customHeight="1">
      <c r="A26" s="1647" t="s">
        <v>1832</v>
      </c>
      <c r="B26" s="783" t="s">
        <v>2436</v>
      </c>
      <c r="C26" s="53">
        <f ca="1">ROUND((C19+C20)*F26,0)</f>
        <v>572</v>
      </c>
      <c r="D26" s="811" t="s">
        <v>1779</v>
      </c>
      <c r="E26" s="794" t="s">
        <v>1780</v>
      </c>
      <c r="F26" s="793">
        <f ca="1">INDIRECT("'数据-取费表'!q"&amp;$G$1)</f>
        <v>0.05</v>
      </c>
      <c r="G26" s="1591"/>
      <c r="H26" s="2500" t="s">
        <v>1781</v>
      </c>
      <c r="I26" s="2230" t="s">
        <v>2824</v>
      </c>
      <c r="J26" s="782">
        <f ca="1">IF(J5&lt;&gt;0,ROUND(J25*(1-((1+M28)/(1+M26))^M27)/(M26-M28),0),0)</f>
        <v>0</v>
      </c>
      <c r="K26" s="813" t="s">
        <v>1782</v>
      </c>
      <c r="L26" s="783" t="s">
        <v>2417</v>
      </c>
      <c r="M26" s="793">
        <f ca="1">INDIRECT("'数据-取费表'!I"&amp;$G$1)</f>
        <v>0.05</v>
      </c>
    </row>
    <row r="27" spans="1:33" ht="18" customHeight="1">
      <c r="A27" s="1647" t="s">
        <v>1833</v>
      </c>
      <c r="B27" s="783" t="s">
        <v>686</v>
      </c>
      <c r="C27" s="53">
        <f ca="1">ROUND(F21*F26,4)</f>
        <v>1E-3</v>
      </c>
      <c r="D27" s="811" t="s">
        <v>1783</v>
      </c>
      <c r="E27" s="805"/>
      <c r="F27" s="806"/>
      <c r="G27" s="1591"/>
      <c r="H27" s="2501"/>
      <c r="I27" s="786"/>
      <c r="J27" s="787"/>
      <c r="K27" s="820" t="s">
        <v>1784</v>
      </c>
      <c r="L27" s="783" t="s">
        <v>1785</v>
      </c>
      <c r="M27" s="821">
        <f ca="1">INDIRECT("'数据-取费表'!ag"&amp;$G$1)</f>
        <v>0</v>
      </c>
    </row>
    <row r="28" spans="1:33" s="2062" customFormat="1" ht="18" customHeight="1">
      <c r="A28" s="1649" t="s">
        <v>1842</v>
      </c>
      <c r="B28" s="783" t="s">
        <v>687</v>
      </c>
      <c r="C28" s="53">
        <f>ROUND(F28/(1+'数据-取费表'!C42),4)</f>
        <v>5.2400000000000002E-2</v>
      </c>
      <c r="D28" s="811" t="s">
        <v>2299</v>
      </c>
      <c r="E28" s="783" t="s">
        <v>1786</v>
      </c>
      <c r="F28" s="808">
        <f>'数据-取费表'!B41</f>
        <v>5.5000000000000007E-2</v>
      </c>
      <c r="G28" s="1592"/>
      <c r="H28" s="1827"/>
      <c r="I28" s="790"/>
      <c r="J28" s="791"/>
      <c r="K28" s="815"/>
      <c r="L28" s="783" t="s">
        <v>1787</v>
      </c>
      <c r="M28" s="793">
        <f ca="1">INDIRECT("'数据-取费表'!aa"&amp;$G$1)</f>
        <v>0</v>
      </c>
      <c r="N28" s="2061"/>
      <c r="O28" s="2061"/>
      <c r="P28" s="2061"/>
      <c r="Q28" s="2391"/>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41" t="s">
        <v>1893</v>
      </c>
      <c r="B29" s="2539" t="s">
        <v>2300</v>
      </c>
      <c r="C29" s="2542">
        <f ca="1">ROUND((C19+C20+C23+C26)/(1-F21-C24-C27-C28),0)</f>
        <v>13573</v>
      </c>
      <c r="D29" s="2543"/>
      <c r="E29" s="2544"/>
      <c r="F29" s="2545"/>
      <c r="G29" s="1592"/>
      <c r="H29" s="822" t="s">
        <v>1788</v>
      </c>
      <c r="I29" s="823" t="s">
        <v>1789</v>
      </c>
      <c r="J29" s="824">
        <f ca="1">ROUND(J26/(1+F40)^F41,0)</f>
        <v>0</v>
      </c>
      <c r="K29" s="825" t="s">
        <v>1790</v>
      </c>
      <c r="L29" s="826"/>
      <c r="M29" s="827">
        <f ca="1">INDIRECT("'数据-取费表'!k"&amp;$G$1)</f>
        <v>23770.38</v>
      </c>
      <c r="N29" s="2061"/>
      <c r="O29" s="2061"/>
      <c r="P29" s="2061"/>
      <c r="Q29" s="2391"/>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1894</v>
      </c>
      <c r="B30" s="1825" t="s">
        <v>1791</v>
      </c>
      <c r="C30" s="791">
        <f ca="1">ROUND(C31+C36+C37+C38,0)</f>
        <v>665</v>
      </c>
      <c r="D30" s="1819" t="s">
        <v>1792</v>
      </c>
      <c r="E30" s="3244"/>
      <c r="F30" s="2489"/>
      <c r="G30" s="2060"/>
      <c r="H30" s="2063"/>
      <c r="I30" s="2064"/>
      <c r="J30" s="2065"/>
      <c r="K30" s="2066"/>
      <c r="L30" s="2067"/>
      <c r="M30" s="2068"/>
    </row>
    <row r="31" spans="1:33" ht="18" customHeight="1">
      <c r="A31" s="1648" t="s">
        <v>1831</v>
      </c>
      <c r="B31" s="783" t="s">
        <v>656</v>
      </c>
      <c r="C31" s="53">
        <f ca="1">ROUND(IF(项目基本情况!B11="自然人",C5*F31,C32+C33+C34),1)</f>
        <v>405.9</v>
      </c>
      <c r="D31" s="3242" t="s">
        <v>1793</v>
      </c>
      <c r="E31" s="3243" t="s">
        <v>1794</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7" t="s">
        <v>1832</v>
      </c>
      <c r="B32" s="783" t="s">
        <v>1795</v>
      </c>
      <c r="C32" s="53">
        <f ca="1">ROUND(C5*F32/1.05,1)</f>
        <v>122.9</v>
      </c>
      <c r="D32" s="3243" t="s">
        <v>1796</v>
      </c>
      <c r="E32" s="783" t="s">
        <v>1797</v>
      </c>
      <c r="F32" s="808">
        <f>'数据-取费表'!B41</f>
        <v>5.5000000000000007E-2</v>
      </c>
      <c r="G32" s="2060"/>
      <c r="H32" s="2069"/>
      <c r="I32" s="2070"/>
      <c r="J32" s="2071"/>
      <c r="K32" s="2072"/>
      <c r="L32" s="2073"/>
      <c r="M32" s="2074"/>
    </row>
    <row r="33" spans="1:18" ht="18" customHeight="1">
      <c r="A33" s="1647" t="s">
        <v>1833</v>
      </c>
      <c r="B33" s="783" t="s">
        <v>1798</v>
      </c>
      <c r="C33" s="53">
        <f ca="1">IF(D33="按租金收入计税",ROUND(C5*F33,1),IF(D33="按房产原值计税",ROUND(C29*F33*0.7,1),INDIRECT("'数据-取费表'!Aj"&amp;$G$1)))</f>
        <v>281.5</v>
      </c>
      <c r="D33" s="810" t="s">
        <v>3235</v>
      </c>
      <c r="E33" s="783" t="s">
        <v>1797</v>
      </c>
      <c r="F33" s="808">
        <f>IF(D33="按租金收入计税",'数据-取费表'!B51,'数据-取费表'!B50)</f>
        <v>0.12</v>
      </c>
      <c r="G33" s="2060"/>
      <c r="H33" s="2075"/>
      <c r="I33" s="2075"/>
      <c r="J33" s="2075"/>
      <c r="K33" s="2076"/>
      <c r="L33" s="2075"/>
      <c r="M33" s="2075"/>
    </row>
    <row r="34" spans="1:18" ht="18" customHeight="1">
      <c r="A34" s="1650" t="s">
        <v>1834</v>
      </c>
      <c r="B34" s="340" t="s">
        <v>1799</v>
      </c>
      <c r="C34" s="54">
        <f ca="1">ROUND(F34*F35/10000,1)</f>
        <v>1.5</v>
      </c>
      <c r="D34" s="813" t="s">
        <v>1800</v>
      </c>
      <c r="E34" s="783" t="s">
        <v>1801</v>
      </c>
      <c r="F34" s="639">
        <f>'数据-取费表'!B52</f>
        <v>1.5</v>
      </c>
      <c r="G34" s="2060"/>
      <c r="H34" s="2063"/>
      <c r="I34" s="834" t="s">
        <v>1814</v>
      </c>
      <c r="J34" s="835"/>
      <c r="K34" s="2078"/>
      <c r="L34" s="2077"/>
      <c r="M34" s="2077"/>
    </row>
    <row r="35" spans="1:18" ht="18" customHeight="1">
      <c r="A35" s="814"/>
      <c r="B35" s="792"/>
      <c r="C35" s="69"/>
      <c r="D35" s="815"/>
      <c r="E35" s="783" t="s">
        <v>1802</v>
      </c>
      <c r="F35" s="784">
        <f ca="1">INDIRECT("'数据-取费表'!r"&amp;$G$1)</f>
        <v>9842.2800000000007</v>
      </c>
      <c r="G35" s="2060"/>
      <c r="H35" s="2063"/>
      <c r="I35" s="836" t="s">
        <v>1815</v>
      </c>
      <c r="J35" s="837">
        <f ca="1">ROUND(C13*J36,0)</f>
        <v>1154</v>
      </c>
      <c r="K35" s="2076"/>
      <c r="L35" s="2075"/>
      <c r="M35" s="2075"/>
    </row>
    <row r="36" spans="1:18" ht="18" customHeight="1">
      <c r="A36" s="1648" t="s">
        <v>1890</v>
      </c>
      <c r="B36" s="783" t="s">
        <v>1803</v>
      </c>
      <c r="C36" s="53">
        <f ca="1">ROUND(C29*F36,1)</f>
        <v>203.6</v>
      </c>
      <c r="D36" s="3243" t="s">
        <v>1804</v>
      </c>
      <c r="E36" s="783" t="s">
        <v>1797</v>
      </c>
      <c r="F36" s="816">
        <f ca="1">INDIRECT("'数据-取费表'!Ak"&amp;$G$1)</f>
        <v>1.4999999999999999E-2</v>
      </c>
      <c r="G36" s="2060"/>
      <c r="H36" s="2075"/>
      <c r="I36" s="838" t="s">
        <v>1816</v>
      </c>
      <c r="J36" s="839">
        <f ca="1">INDIRECT("'数据-取费表'!j"&amp;$G$1)</f>
        <v>8.5000000000000006E-2</v>
      </c>
      <c r="K36" s="2080"/>
      <c r="L36" s="2075"/>
      <c r="M36" s="2075"/>
    </row>
    <row r="37" spans="1:18" ht="18" customHeight="1">
      <c r="A37" s="1648" t="s">
        <v>1891</v>
      </c>
      <c r="B37" s="783" t="s">
        <v>679</v>
      </c>
      <c r="C37" s="53">
        <f ca="1">ROUND(C13*F37,1)</f>
        <v>20.399999999999999</v>
      </c>
      <c r="D37" s="3243" t="s">
        <v>1805</v>
      </c>
      <c r="E37" s="783" t="s">
        <v>1797</v>
      </c>
      <c r="F37" s="817">
        <f ca="1">INDIRECT("'数据-取费表'!Al"&amp;$G$1)</f>
        <v>1.5E-3</v>
      </c>
      <c r="G37" s="2060"/>
      <c r="H37" s="2075"/>
      <c r="I37" s="840" t="s">
        <v>1817</v>
      </c>
      <c r="J37" s="841"/>
      <c r="K37" s="2080"/>
      <c r="L37" s="2075"/>
      <c r="M37" s="2075"/>
    </row>
    <row r="38" spans="1:18" ht="18" customHeight="1" thickBot="1">
      <c r="A38" s="2549" t="s">
        <v>1892</v>
      </c>
      <c r="B38" s="2544" t="s">
        <v>666</v>
      </c>
      <c r="C38" s="2542">
        <f ca="1">ROUND(C5*F38,1)</f>
        <v>35.200000000000003</v>
      </c>
      <c r="D38" s="2543" t="s">
        <v>1806</v>
      </c>
      <c r="E38" s="2544" t="s">
        <v>1797</v>
      </c>
      <c r="F38" s="2540">
        <f ca="1">INDIRECT("'数据-取费表'!Am"&amp;$G$1)</f>
        <v>1.4999999999999999E-2</v>
      </c>
      <c r="G38" s="2060"/>
      <c r="H38" s="2075"/>
      <c r="I38" s="842" t="s">
        <v>1818</v>
      </c>
      <c r="J38" s="843"/>
      <c r="K38" s="2081"/>
      <c r="L38" s="2075"/>
      <c r="M38" s="2075"/>
    </row>
    <row r="39" spans="1:18" ht="24.6" customHeight="1" thickTop="1">
      <c r="A39" s="1827" t="s">
        <v>1895</v>
      </c>
      <c r="B39" s="3007" t="s">
        <v>2819</v>
      </c>
      <c r="C39" s="791">
        <f ca="1">C5-C30</f>
        <v>1681</v>
      </c>
      <c r="D39" s="2546" t="s">
        <v>1807</v>
      </c>
      <c r="E39" s="2547"/>
      <c r="F39" s="2548"/>
      <c r="G39" s="2060"/>
      <c r="H39" s="2075"/>
      <c r="I39" s="836" t="s">
        <v>1819</v>
      </c>
      <c r="J39" s="844">
        <f ca="1">ROUND(J35/C39,3)</f>
        <v>0.68600000000000005</v>
      </c>
      <c r="K39" s="2081"/>
      <c r="L39" s="2075"/>
      <c r="M39" s="2075"/>
    </row>
    <row r="40" spans="1:18" ht="18" customHeight="1">
      <c r="A40" s="780" t="s">
        <v>1896</v>
      </c>
      <c r="B40" s="2230" t="s">
        <v>2301</v>
      </c>
      <c r="C40" s="782">
        <f ca="1">ROUND(C39*(1-((1+F42)/(1+F40))^F41)/(F40-F42),0)</f>
        <v>60731</v>
      </c>
      <c r="D40" s="813" t="s">
        <v>1808</v>
      </c>
      <c r="E40" s="783" t="s">
        <v>2417</v>
      </c>
      <c r="F40" s="793">
        <f ca="1">INDIRECT("'数据-取费表'!I"&amp;$G$1)</f>
        <v>0.05</v>
      </c>
      <c r="G40" s="2060"/>
      <c r="H40" s="2060"/>
      <c r="I40" s="836" t="s">
        <v>1820</v>
      </c>
      <c r="J40" s="844">
        <f ca="1">1-J39</f>
        <v>0.31399999999999995</v>
      </c>
      <c r="K40" s="2081"/>
      <c r="L40" s="2060"/>
      <c r="M40" s="2060"/>
    </row>
    <row r="41" spans="1:18" ht="18" customHeight="1">
      <c r="A41" s="785"/>
      <c r="B41" s="786"/>
      <c r="C41" s="787"/>
      <c r="D41" s="820" t="s">
        <v>1809</v>
      </c>
      <c r="E41" s="783" t="s">
        <v>2952</v>
      </c>
      <c r="F41" s="821">
        <f ca="1">IF(INDIRECT("'数据-取费表'!af"&amp;$G$1)=0,INDIRECT("'数据-取费表'!ae"&amp;$G$1),INDIRECT("'数据-取费表'!af"&amp;$G$1))</f>
        <v>66.67</v>
      </c>
      <c r="G41" s="2060"/>
      <c r="H41" s="1986"/>
      <c r="I41" s="842" t="s">
        <v>1821</v>
      </c>
      <c r="J41" s="845"/>
      <c r="K41" s="2080"/>
      <c r="L41" s="1986"/>
      <c r="M41" s="1986"/>
    </row>
    <row r="42" spans="1:18" ht="18" customHeight="1">
      <c r="A42" s="789"/>
      <c r="B42" s="790"/>
      <c r="C42" s="791"/>
      <c r="D42" s="815"/>
      <c r="E42" s="783" t="s">
        <v>1810</v>
      </c>
      <c r="F42" s="793">
        <f ca="1">INDIRECT("'数据-取费表'!v"&amp;$G$1)</f>
        <v>0.03</v>
      </c>
      <c r="G42" s="2060"/>
      <c r="H42" s="1986"/>
      <c r="I42" s="846" t="s">
        <v>1822</v>
      </c>
      <c r="J42" s="844">
        <f ca="1">ROUND(C13/C40,3)</f>
        <v>0.223</v>
      </c>
      <c r="K42" s="2080"/>
      <c r="L42" s="1986"/>
      <c r="M42" s="1986"/>
    </row>
    <row r="43" spans="1:18" ht="18" customHeight="1" thickBot="1">
      <c r="A43" s="822" t="s">
        <v>1788</v>
      </c>
      <c r="B43" s="823" t="s">
        <v>1811</v>
      </c>
      <c r="C43" s="824">
        <f ca="1">ROUND(C40*10000/F43,0)</f>
        <v>25549</v>
      </c>
      <c r="D43" s="825" t="s">
        <v>1812</v>
      </c>
      <c r="E43" s="826" t="s">
        <v>1813</v>
      </c>
      <c r="F43" s="827">
        <f ca="1">INDIRECT("'数据-取费表'!k"&amp;$G$1)</f>
        <v>23770.38</v>
      </c>
      <c r="G43" s="2060"/>
      <c r="H43" s="1986"/>
      <c r="I43" s="846" t="s">
        <v>1823</v>
      </c>
      <c r="J43" s="847">
        <f ca="1">1-J42</f>
        <v>0.77700000000000002</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2295</v>
      </c>
      <c r="B46" s="2083"/>
      <c r="C46" s="2572">
        <f ca="1">C67-C40</f>
        <v>-65076</v>
      </c>
      <c r="D46" s="2083"/>
      <c r="E46" s="2083"/>
      <c r="F46" s="2083"/>
      <c r="I46" s="2376" t="s">
        <v>2341</v>
      </c>
      <c r="J46" s="2377"/>
      <c r="K46" s="2378"/>
      <c r="L46" s="3155">
        <f>IF(OR(M47="住宅",D1="土地（套用方法）"),0,IF(L48&gt;J51,L60,J60))</f>
        <v>0</v>
      </c>
      <c r="O46" s="2392" t="s">
        <v>2408</v>
      </c>
      <c r="P46" s="1591"/>
      <c r="Q46" s="1603"/>
      <c r="R46" s="1591"/>
    </row>
    <row r="47" spans="1:18" s="2057" customFormat="1" ht="18" customHeight="1" thickBot="1">
      <c r="A47" s="2370">
        <v>1</v>
      </c>
      <c r="B47" s="2371" t="s">
        <v>635</v>
      </c>
      <c r="C47" s="2572">
        <f ca="1">C48+C52+C54</f>
        <v>0</v>
      </c>
      <c r="D47" s="2083"/>
      <c r="E47" s="2083"/>
      <c r="F47" s="2083"/>
      <c r="I47" s="3145" t="s">
        <v>2342</v>
      </c>
      <c r="J47" s="2379" t="s">
        <v>3261</v>
      </c>
      <c r="K47" s="3152" t="s">
        <v>2347</v>
      </c>
      <c r="L47" s="3156">
        <f ca="1">INDIRECT("'数据-取费表'!d"&amp;$G$1)</f>
        <v>70</v>
      </c>
      <c r="M47" s="1603" t="str">
        <f>IF(ISNUMBER(FIND("住宅",C1)),"住宅","非住宅")</f>
        <v>住宅</v>
      </c>
      <c r="O47" s="2393" t="s">
        <v>2373</v>
      </c>
      <c r="P47" s="2394" t="s">
        <v>2374</v>
      </c>
      <c r="Q47" s="2395" t="s">
        <v>2375</v>
      </c>
      <c r="R47" s="2394" t="s">
        <v>2376</v>
      </c>
    </row>
    <row r="48" spans="1:18" s="2057" customFormat="1" ht="18" customHeight="1" thickBot="1">
      <c r="A48" s="2640" t="s">
        <v>2535</v>
      </c>
      <c r="B48" s="2641" t="s">
        <v>2536</v>
      </c>
      <c r="C48" s="2372">
        <f ca="1">ROUND(F48*F50*F49*(1-F51)/10000,0)</f>
        <v>0</v>
      </c>
      <c r="D48" s="2373" t="s">
        <v>636</v>
      </c>
      <c r="E48" s="2374" t="s">
        <v>2296</v>
      </c>
      <c r="F48" s="2375"/>
      <c r="G48" s="2088"/>
      <c r="I48" s="3121" t="s">
        <v>2343</v>
      </c>
      <c r="J48" s="2380" t="s">
        <v>2348</v>
      </c>
      <c r="K48" s="3153" t="s">
        <v>2349</v>
      </c>
      <c r="L48" s="1906">
        <f ca="1">INDIRECT("'数据-取费表'!f"&amp;$G$1)</f>
        <v>68.67</v>
      </c>
      <c r="O48" s="2396" t="s">
        <v>2377</v>
      </c>
      <c r="P48" s="2397" t="s">
        <v>2403</v>
      </c>
      <c r="Q48" s="2398">
        <f ca="1">C40+J29</f>
        <v>60731</v>
      </c>
      <c r="R48" s="2397" t="s">
        <v>2378</v>
      </c>
    </row>
    <row r="49" spans="1:18" s="2057" customFormat="1" ht="18" customHeight="1" thickBot="1">
      <c r="A49" s="785"/>
      <c r="B49" s="786"/>
      <c r="C49" s="787"/>
      <c r="D49" s="788"/>
      <c r="E49" s="783" t="s">
        <v>1740</v>
      </c>
      <c r="F49" s="784">
        <f ca="1">F7</f>
        <v>23770.38</v>
      </c>
      <c r="G49" s="2088"/>
      <c r="H49" s="2091"/>
      <c r="I49" s="3121" t="s">
        <v>2344</v>
      </c>
      <c r="J49" s="2381">
        <v>2020</v>
      </c>
      <c r="K49" s="3154" t="s">
        <v>2350</v>
      </c>
      <c r="L49" s="2382"/>
      <c r="O49" s="2396" t="s">
        <v>2379</v>
      </c>
      <c r="P49" s="2397" t="s">
        <v>2404</v>
      </c>
      <c r="Q49" s="2398" t="str">
        <f ca="1">J60</f>
        <v>0</v>
      </c>
      <c r="R49" s="2397" t="s">
        <v>2380</v>
      </c>
    </row>
    <row r="50" spans="1:18" s="2057" customFormat="1" ht="18" customHeight="1" thickBot="1">
      <c r="A50" s="785"/>
      <c r="B50" s="786"/>
      <c r="C50" s="787"/>
      <c r="D50" s="788"/>
      <c r="E50" s="783" t="s">
        <v>1741</v>
      </c>
      <c r="F50" s="784">
        <f ca="1">F8</f>
        <v>365</v>
      </c>
      <c r="G50" s="2093"/>
      <c r="H50" s="2091"/>
      <c r="I50" s="3121" t="s">
        <v>2345</v>
      </c>
      <c r="J50" s="3149">
        <f>SUMPRODUCT((I63:I65=J47)*(J62:L62=J48)*(J63:L65))</f>
        <v>60</v>
      </c>
      <c r="K50" s="3154" t="s">
        <v>2351</v>
      </c>
      <c r="L50" s="2382"/>
      <c r="O50" s="2399" t="s">
        <v>2381</v>
      </c>
      <c r="P50" s="2397" t="s">
        <v>2405</v>
      </c>
      <c r="Q50" s="2398">
        <f ca="1">C29</f>
        <v>13573</v>
      </c>
      <c r="R50" s="2397" t="s">
        <v>2378</v>
      </c>
    </row>
    <row r="51" spans="1:18" s="2057" customFormat="1" ht="18" customHeight="1" thickBot="1">
      <c r="A51" s="785"/>
      <c r="B51" s="786"/>
      <c r="C51" s="787"/>
      <c r="D51" s="788"/>
      <c r="E51" s="783" t="s">
        <v>640</v>
      </c>
      <c r="F51" s="2369"/>
      <c r="H51" s="2091"/>
      <c r="I51" s="3146" t="s">
        <v>2346</v>
      </c>
      <c r="J51" s="3150">
        <f>IF(J49="",J50,J49+J50-YEAR('数据-取费表'!B2))</f>
        <v>62</v>
      </c>
      <c r="K51" s="3121" t="s">
        <v>2352</v>
      </c>
      <c r="L51" s="3157">
        <f ca="1">ROUND(-PV(INDIRECT("'数据-取费表'!h"&amp;$G$1),L48,(C39-C13*J36),0),0)</f>
        <v>11147</v>
      </c>
      <c r="O51" s="2399" t="s">
        <v>2382</v>
      </c>
      <c r="P51" s="2397" t="s">
        <v>2383</v>
      </c>
      <c r="Q51" s="2400" t="e">
        <f ca="1">J58</f>
        <v>#VALUE!</v>
      </c>
      <c r="R51" s="2401"/>
    </row>
    <row r="52" spans="1:18" s="2057" customFormat="1" ht="18" customHeight="1" thickBot="1">
      <c r="A52" s="780" t="s">
        <v>2534</v>
      </c>
      <c r="B52" s="2492" t="s">
        <v>2457</v>
      </c>
      <c r="C52" s="798">
        <f ca="1">ROUND(IF(F52="押一",C48/12*F11,IF(F52="押二",C48/12*2*F11,IF(F52="押三",C48/12*3*F11,C53*F11))),0)</f>
        <v>0</v>
      </c>
      <c r="D52" s="2499" t="s">
        <v>2963</v>
      </c>
      <c r="E52" s="2496" t="s">
        <v>2462</v>
      </c>
      <c r="F52" s="2619"/>
      <c r="I52" s="3147" t="s">
        <v>2419</v>
      </c>
      <c r="J52" s="2383">
        <v>0.09</v>
      </c>
      <c r="K52" s="3147" t="s">
        <v>2418</v>
      </c>
      <c r="L52" s="2383"/>
      <c r="O52" s="2399" t="s">
        <v>2384</v>
      </c>
      <c r="P52" s="2397" t="s">
        <v>2385</v>
      </c>
      <c r="Q52" s="2400">
        <f>J52</f>
        <v>0.09</v>
      </c>
      <c r="R52" s="2401"/>
    </row>
    <row r="53" spans="1:18" s="2057" customFormat="1" ht="39.75" customHeight="1" thickBot="1">
      <c r="A53" s="785"/>
      <c r="B53" s="2493" t="s">
        <v>2571</v>
      </c>
      <c r="C53" s="2497"/>
      <c r="D53" s="2499"/>
      <c r="E53" s="2496"/>
      <c r="F53" s="799"/>
      <c r="I53" s="3148" t="s">
        <v>2967</v>
      </c>
      <c r="J53" s="3151">
        <f ca="1">IF(M47="住宅",IF(D1="——",MAX(J51,L48),MAX(J51,L48-'数据-取费表'!B20)),IF(D1="——",MIN(J51,L48),MIN(J51,L48-'数据-取费表'!B20)))</f>
        <v>66.67</v>
      </c>
      <c r="K53" s="3587" t="s">
        <v>2954</v>
      </c>
      <c r="L53" s="3588"/>
      <c r="O53" s="2399" t="s">
        <v>2386</v>
      </c>
      <c r="P53" s="2397" t="s">
        <v>2387</v>
      </c>
      <c r="Q53" s="2398">
        <f ca="1">J53</f>
        <v>66.67</v>
      </c>
      <c r="R53" s="2397" t="s">
        <v>2388</v>
      </c>
    </row>
    <row r="54" spans="1:18" s="2057" customFormat="1" ht="18" customHeight="1" thickBot="1">
      <c r="A54" s="2535" t="s">
        <v>2465</v>
      </c>
      <c r="B54" s="2536" t="s">
        <v>2458</v>
      </c>
      <c r="C54" s="2537"/>
      <c r="D54" s="2499"/>
      <c r="E54" s="2496"/>
      <c r="F54" s="799"/>
      <c r="I54" s="205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84"/>
      <c r="O54" s="2396" t="s">
        <v>2389</v>
      </c>
      <c r="P54" s="2397" t="s">
        <v>2406</v>
      </c>
      <c r="Q54" s="2398">
        <f ca="1">Q48+Q49</f>
        <v>60731</v>
      </c>
      <c r="R54" s="2401" t="s">
        <v>2390</v>
      </c>
    </row>
    <row r="55" spans="1:18" s="2057" customFormat="1" ht="18" customHeight="1" thickTop="1" thickBot="1">
      <c r="A55" s="796">
        <v>2</v>
      </c>
      <c r="B55" s="797" t="s">
        <v>644</v>
      </c>
      <c r="C55" s="798">
        <f ca="1">C13</f>
        <v>13573</v>
      </c>
      <c r="D55" s="794"/>
      <c r="E55" s="794"/>
      <c r="F55" s="799"/>
      <c r="I55" s="3160" t="s">
        <v>2353</v>
      </c>
      <c r="J55" s="3096" t="e">
        <f ca="1">ROUND(IF(J47="钢混",J57/J50,1-(1-2%)*(J50-J57)/J50),3)</f>
        <v>#VALUE!</v>
      </c>
      <c r="K55" s="3161" t="s">
        <v>2354</v>
      </c>
      <c r="L55" s="2384"/>
      <c r="O55" s="2402" t="s">
        <v>2409</v>
      </c>
      <c r="P55" s="1591"/>
      <c r="Q55" s="1603"/>
      <c r="R55" s="1591"/>
    </row>
    <row r="56" spans="1:18" s="2057" customFormat="1" ht="42.75" customHeight="1" thickBot="1">
      <c r="A56" s="1649"/>
      <c r="B56" s="2229" t="s">
        <v>2302</v>
      </c>
      <c r="C56" s="53">
        <f ca="1">C29</f>
        <v>13573</v>
      </c>
      <c r="D56" s="3243"/>
      <c r="E56" s="783"/>
      <c r="F56" s="808"/>
      <c r="I56" s="3162" t="s">
        <v>2355</v>
      </c>
      <c r="J56" s="3172" t="s">
        <v>1679</v>
      </c>
      <c r="K56" s="3121" t="s">
        <v>2360</v>
      </c>
      <c r="L56" s="1906">
        <f ca="1">IF(L48&lt;J51,"——",L48-J51)</f>
        <v>6.6700000000000017</v>
      </c>
      <c r="O56" s="2393" t="s">
        <v>2373</v>
      </c>
      <c r="P56" s="2394" t="s">
        <v>2374</v>
      </c>
      <c r="Q56" s="2395" t="s">
        <v>2375</v>
      </c>
      <c r="R56" s="2394" t="s">
        <v>2376</v>
      </c>
    </row>
    <row r="57" spans="1:18" s="2057" customFormat="1" ht="28.5" customHeight="1" thickBot="1">
      <c r="A57" s="796" t="s">
        <v>1749</v>
      </c>
      <c r="B57" s="797" t="s">
        <v>651</v>
      </c>
      <c r="C57" s="798">
        <f ca="1">ROUND(C58+C63+C64+C65,0)</f>
        <v>226</v>
      </c>
      <c r="D57" s="26" t="s">
        <v>1751</v>
      </c>
      <c r="E57" s="3245"/>
      <c r="F57" s="56"/>
      <c r="I57" s="3163" t="s">
        <v>2356</v>
      </c>
      <c r="J57" s="3164" t="str">
        <f ca="1">IF(OR(M47="住宅",J51&lt;L48,J56="是"),"——",J51-L48)</f>
        <v>——</v>
      </c>
      <c r="K57" s="3121" t="s">
        <v>2361</v>
      </c>
      <c r="L57" s="1906">
        <f ca="1">IF(L48&lt;J51,"——",IF(L55="比较法",L49,IF(L55="基准地价",L50,L51)))</f>
        <v>11147</v>
      </c>
      <c r="O57" s="2396" t="s">
        <v>2377</v>
      </c>
      <c r="P57" s="2397" t="s">
        <v>2407</v>
      </c>
      <c r="Q57" s="2398">
        <f ca="1">C40+J29</f>
        <v>60731</v>
      </c>
      <c r="R57" s="2397" t="s">
        <v>2378</v>
      </c>
    </row>
    <row r="58" spans="1:18" s="2057" customFormat="1" ht="28.5" customHeight="1" thickBot="1">
      <c r="A58" s="1648" t="s">
        <v>1825</v>
      </c>
      <c r="B58" s="783" t="s">
        <v>656</v>
      </c>
      <c r="C58" s="53">
        <f ca="1">ROUND(IF(项目基本情况!B11="自然人",C47*F58,C59+C60+C61),1)</f>
        <v>1.5</v>
      </c>
      <c r="D58" s="3242" t="s">
        <v>657</v>
      </c>
      <c r="E58" s="3243" t="s">
        <v>690</v>
      </c>
      <c r="F58" s="809" t="str">
        <f ca="1">IF(项目基本情况!B11="企业","",IF(INDIRECT("'数据-取费表'!c"&amp;$G$1)="住宅",5%,IF(F48*F49*F50/12/(1+'数据-取费表'!C42)&gt;20000,12%,7%)))</f>
        <v/>
      </c>
      <c r="I58" s="3163" t="s">
        <v>2357</v>
      </c>
      <c r="J58" s="3097" t="e">
        <f ca="1">IF(J55&lt;0.4,0.4,J55)</f>
        <v>#VALUE!</v>
      </c>
      <c r="K58" s="3121" t="s">
        <v>2362</v>
      </c>
      <c r="L58" s="1906" t="e">
        <f ca="1">ROUND(POWER(1+L52,L47-L48)*(POWER(1+L52,L48)-1)/(POWER(1+L52,L47)-1),4)</f>
        <v>#DIV/0!</v>
      </c>
      <c r="O58" s="2396" t="s">
        <v>2379</v>
      </c>
      <c r="P58" s="2397" t="s">
        <v>2410</v>
      </c>
      <c r="Q58" s="2398">
        <f ca="1">L60</f>
        <v>0</v>
      </c>
      <c r="R58" s="2401" t="s">
        <v>2412</v>
      </c>
    </row>
    <row r="59" spans="1:18" s="2057" customFormat="1" ht="28.5" customHeight="1" thickBot="1">
      <c r="A59" s="1647" t="s">
        <v>1832</v>
      </c>
      <c r="B59" s="783" t="s">
        <v>660</v>
      </c>
      <c r="C59" s="53">
        <f ca="1">ROUND(C47*F59/1.05,1)</f>
        <v>0</v>
      </c>
      <c r="D59" s="3243" t="s">
        <v>1757</v>
      </c>
      <c r="E59" s="783" t="s">
        <v>1748</v>
      </c>
      <c r="F59" s="808">
        <f t="shared" ref="F59:F65" si="0">F32</f>
        <v>5.5000000000000007E-2</v>
      </c>
      <c r="I59" s="3163" t="s">
        <v>2358</v>
      </c>
      <c r="J59" s="3164" t="str">
        <f ca="1">IF(OR(M47="住宅",J51&lt;L48,J56="是"),"——",ROUND(C29*J58,0))</f>
        <v>——</v>
      </c>
      <c r="K59" s="3121"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99" t="s">
        <v>2381</v>
      </c>
      <c r="P59" s="2397" t="s">
        <v>2411</v>
      </c>
      <c r="Q59" s="2398">
        <f>IF(L55="比较法",L49,IF(L55="基准地价",L50,0))</f>
        <v>0</v>
      </c>
      <c r="R59" s="2397" t="s">
        <v>2378</v>
      </c>
    </row>
    <row r="60" spans="1:18" s="2057" customFormat="1" ht="18" customHeight="1" thickBot="1">
      <c r="A60" s="1647" t="s">
        <v>1833</v>
      </c>
      <c r="B60" s="783" t="s">
        <v>1759</v>
      </c>
      <c r="C60" s="53">
        <f ca="1">IF(D60="按租金收入计税",ROUND(C47*F60,1),IF(D60="按房产原值计税",ROUND(C56*F60*0.7,1),INDIRECT("'数据-取费表'!Aj"&amp;$G$1)))</f>
        <v>0</v>
      </c>
      <c r="D60" s="3243" t="str">
        <f>D33</f>
        <v>按租金收入计税</v>
      </c>
      <c r="E60" s="783" t="s">
        <v>1748</v>
      </c>
      <c r="F60" s="808">
        <f t="shared" si="0"/>
        <v>0.12</v>
      </c>
      <c r="I60" s="3165" t="s">
        <v>2359</v>
      </c>
      <c r="J60" s="3166" t="str">
        <f ca="1">IF(OR(M47="住宅",J51&lt;L48,J56="是"),"0",ROUND(J59/(1+J52)^J53,0))</f>
        <v>0</v>
      </c>
      <c r="K60" s="3167" t="s">
        <v>2364</v>
      </c>
      <c r="L60" s="3166">
        <f ca="1">IF(OR(M47="住宅",L48&lt;J51),0,ROUND(L57*(L58/L59-1),0))</f>
        <v>0</v>
      </c>
      <c r="O60" s="2399" t="s">
        <v>2382</v>
      </c>
      <c r="P60" s="2397" t="s">
        <v>2391</v>
      </c>
      <c r="Q60" s="2400">
        <f>L52</f>
        <v>0</v>
      </c>
      <c r="R60" s="2401"/>
    </row>
    <row r="61" spans="1:18" s="2057" customFormat="1" ht="18" customHeight="1" thickBot="1">
      <c r="A61" s="1650" t="s">
        <v>1834</v>
      </c>
      <c r="B61" s="340" t="s">
        <v>668</v>
      </c>
      <c r="C61" s="54">
        <f ca="1">ROUND(F61*F62/10000,1)</f>
        <v>1.5</v>
      </c>
      <c r="D61" s="813" t="s">
        <v>669</v>
      </c>
      <c r="E61" s="783" t="s">
        <v>670</v>
      </c>
      <c r="F61" s="639">
        <f t="shared" si="0"/>
        <v>1.5</v>
      </c>
      <c r="K61" s="2084"/>
      <c r="O61" s="2399" t="s">
        <v>2384</v>
      </c>
      <c r="P61" s="2397" t="s">
        <v>2392</v>
      </c>
      <c r="Q61" s="2398" t="e">
        <f ca="1">L58</f>
        <v>#DIV/0!</v>
      </c>
      <c r="R61" s="2401" t="s">
        <v>2393</v>
      </c>
    </row>
    <row r="62" spans="1:18" s="2057" customFormat="1" ht="15.75" thickBot="1">
      <c r="A62" s="814"/>
      <c r="B62" s="792"/>
      <c r="C62" s="69"/>
      <c r="D62" s="815"/>
      <c r="E62" s="783" t="s">
        <v>674</v>
      </c>
      <c r="F62" s="784">
        <f t="shared" ca="1" si="0"/>
        <v>9842.2800000000007</v>
      </c>
      <c r="I62" s="3168" t="s">
        <v>2365</v>
      </c>
      <c r="J62" s="3169" t="s">
        <v>2366</v>
      </c>
      <c r="K62" s="3169" t="s">
        <v>2367</v>
      </c>
      <c r="L62" s="3169" t="s">
        <v>2348</v>
      </c>
      <c r="M62" s="3170" t="s">
        <v>2930</v>
      </c>
      <c r="O62" s="2399" t="s">
        <v>2386</v>
      </c>
      <c r="P62" s="2397" t="str">
        <f>K59</f>
        <v>建设期及建筑物耐用年限下的土地年期修正系数Kn</v>
      </c>
      <c r="Q62" s="2398" t="e">
        <f ca="1">L59</f>
        <v>#DIV/0!</v>
      </c>
      <c r="R62" s="2401" t="s">
        <v>2395</v>
      </c>
    </row>
    <row r="63" spans="1:18" s="2057" customFormat="1" ht="15.75" thickBot="1">
      <c r="A63" s="1648" t="s">
        <v>1890</v>
      </c>
      <c r="B63" s="783" t="s">
        <v>676</v>
      </c>
      <c r="C63" s="53">
        <f ca="1">ROUND(C56*F63,1)</f>
        <v>203.6</v>
      </c>
      <c r="D63" s="3243" t="s">
        <v>1804</v>
      </c>
      <c r="E63" s="783" t="s">
        <v>1748</v>
      </c>
      <c r="F63" s="816">
        <f t="shared" ca="1" si="0"/>
        <v>1.4999999999999999E-2</v>
      </c>
      <c r="I63" s="3168" t="s">
        <v>2368</v>
      </c>
      <c r="J63" s="3169">
        <v>70</v>
      </c>
      <c r="K63" s="3169">
        <v>50</v>
      </c>
      <c r="L63" s="3169">
        <v>80</v>
      </c>
      <c r="M63" s="3171">
        <v>0.02</v>
      </c>
      <c r="O63" s="2396" t="s">
        <v>2389</v>
      </c>
      <c r="P63" s="2397" t="s">
        <v>2406</v>
      </c>
      <c r="Q63" s="2398">
        <f ca="1">Q57+Q58</f>
        <v>60731</v>
      </c>
      <c r="R63" s="2401" t="s">
        <v>2390</v>
      </c>
    </row>
    <row r="64" spans="1:18" s="2057" customFormat="1" ht="16.5" thickBot="1">
      <c r="A64" s="1648" t="s">
        <v>1891</v>
      </c>
      <c r="B64" s="783" t="s">
        <v>679</v>
      </c>
      <c r="C64" s="53">
        <f ca="1">ROUND(C55*F64,1)</f>
        <v>20.399999999999999</v>
      </c>
      <c r="D64" s="3243" t="s">
        <v>680</v>
      </c>
      <c r="E64" s="783" t="s">
        <v>1748</v>
      </c>
      <c r="F64" s="817">
        <f t="shared" ca="1" si="0"/>
        <v>1.5E-3</v>
      </c>
      <c r="I64" s="3168" t="s">
        <v>2369</v>
      </c>
      <c r="J64" s="3169">
        <v>50</v>
      </c>
      <c r="K64" s="3169">
        <v>35</v>
      </c>
      <c r="L64" s="3169">
        <v>60</v>
      </c>
      <c r="M64" s="845">
        <v>0</v>
      </c>
      <c r="O64" s="2402" t="s">
        <v>2413</v>
      </c>
      <c r="P64" s="1591"/>
      <c r="Q64" s="1603"/>
      <c r="R64" s="1591"/>
    </row>
    <row r="65" spans="1:18" s="2057" customFormat="1" ht="15.75" thickBot="1">
      <c r="A65" s="1648" t="s">
        <v>1892</v>
      </c>
      <c r="B65" s="783" t="s">
        <v>666</v>
      </c>
      <c r="C65" s="53">
        <f ca="1">ROUND(C47*F65,1)</f>
        <v>0</v>
      </c>
      <c r="D65" s="3243" t="s">
        <v>683</v>
      </c>
      <c r="E65" s="783" t="s">
        <v>1748</v>
      </c>
      <c r="F65" s="793">
        <f t="shared" ca="1" si="0"/>
        <v>1.4999999999999999E-2</v>
      </c>
      <c r="I65" s="3168" t="s">
        <v>2370</v>
      </c>
      <c r="J65" s="3169">
        <v>40</v>
      </c>
      <c r="K65" s="3169">
        <v>30</v>
      </c>
      <c r="L65" s="3169">
        <v>50</v>
      </c>
      <c r="M65" s="3171">
        <v>0.02</v>
      </c>
      <c r="O65" s="2393" t="s">
        <v>2373</v>
      </c>
      <c r="P65" s="2394" t="s">
        <v>2374</v>
      </c>
      <c r="Q65" s="2395" t="s">
        <v>2375</v>
      </c>
      <c r="R65" s="2394" t="s">
        <v>2376</v>
      </c>
    </row>
    <row r="66" spans="1:18" s="2057" customFormat="1" ht="24.75" thickBot="1">
      <c r="A66" s="796" t="s">
        <v>1777</v>
      </c>
      <c r="B66" s="3008" t="s">
        <v>2819</v>
      </c>
      <c r="C66" s="798">
        <f ca="1">C47-C57</f>
        <v>-226</v>
      </c>
      <c r="D66" s="3242" t="s">
        <v>700</v>
      </c>
      <c r="E66" s="3240"/>
      <c r="F66" s="819"/>
      <c r="K66" s="2084"/>
      <c r="O66" s="2396" t="s">
        <v>2377</v>
      </c>
      <c r="P66" s="2397" t="s">
        <v>2407</v>
      </c>
      <c r="Q66" s="2398">
        <f ca="1">C40+J29</f>
        <v>60731</v>
      </c>
      <c r="R66" s="2397" t="s">
        <v>2378</v>
      </c>
    </row>
    <row r="67" spans="1:18" s="2057" customFormat="1" ht="20.25" thickBot="1">
      <c r="A67" s="780" t="s">
        <v>1781</v>
      </c>
      <c r="B67" s="2230" t="s">
        <v>2301</v>
      </c>
      <c r="C67" s="782">
        <f ca="1">ROUND(C66*(1-((1+F69)/(1+F67))^F68)/(F67-F69),0)</f>
        <v>-4345</v>
      </c>
      <c r="D67" s="813" t="s">
        <v>704</v>
      </c>
      <c r="E67" s="783" t="s">
        <v>705</v>
      </c>
      <c r="F67" s="793">
        <f ca="1">F40</f>
        <v>0.05</v>
      </c>
      <c r="K67" s="2084"/>
      <c r="O67" s="2396" t="s">
        <v>2379</v>
      </c>
      <c r="P67" s="2397" t="s">
        <v>2410</v>
      </c>
      <c r="Q67" s="2398">
        <f ca="1">L60</f>
        <v>0</v>
      </c>
      <c r="R67" s="2401" t="s">
        <v>2412</v>
      </c>
    </row>
    <row r="68" spans="1:18" ht="21.75" thickBot="1">
      <c r="A68" s="785"/>
      <c r="B68" s="786"/>
      <c r="C68" s="787"/>
      <c r="D68" s="820" t="s">
        <v>1809</v>
      </c>
      <c r="E68" s="783" t="s">
        <v>1785</v>
      </c>
      <c r="F68" s="821">
        <f ca="1">F41</f>
        <v>66.67</v>
      </c>
      <c r="O68" s="2399" t="s">
        <v>2381</v>
      </c>
      <c r="P68" s="2397" t="s">
        <v>2411</v>
      </c>
      <c r="Q68" s="2403">
        <f ca="1">L51</f>
        <v>11147</v>
      </c>
      <c r="R68" s="2404" t="s">
        <v>2414</v>
      </c>
    </row>
    <row r="69" spans="1:18" ht="20.25" thickBot="1">
      <c r="A69" s="789"/>
      <c r="B69" s="790"/>
      <c r="C69" s="791"/>
      <c r="D69" s="815"/>
      <c r="E69" s="783" t="s">
        <v>710</v>
      </c>
      <c r="F69" s="2369"/>
      <c r="O69" s="2399" t="s">
        <v>2382</v>
      </c>
      <c r="P69" s="2405" t="s">
        <v>2396</v>
      </c>
      <c r="Q69" s="2398">
        <f ca="1">ROUND(Q70-Q71*Q72,0)</f>
        <v>527</v>
      </c>
      <c r="R69" s="2401"/>
    </row>
    <row r="70" spans="1:18" ht="15.75" thickBot="1">
      <c r="A70" s="822" t="s">
        <v>1788</v>
      </c>
      <c r="B70" s="823" t="s">
        <v>1811</v>
      </c>
      <c r="C70" s="824">
        <f ca="1">ROUND(C67*10000/F70,0)</f>
        <v>-1828</v>
      </c>
      <c r="D70" s="825" t="s">
        <v>1812</v>
      </c>
      <c r="E70" s="826" t="s">
        <v>1813</v>
      </c>
      <c r="F70" s="827">
        <f ca="1">F43</f>
        <v>23770.38</v>
      </c>
      <c r="O70" s="2399" t="s">
        <v>2397</v>
      </c>
      <c r="P70" s="2405" t="s">
        <v>2398</v>
      </c>
      <c r="Q70" s="2398">
        <f ca="1">C39</f>
        <v>1681</v>
      </c>
      <c r="R70" s="2397" t="s">
        <v>2378</v>
      </c>
    </row>
    <row r="71" spans="1:18" ht="15.75" thickBot="1">
      <c r="O71" s="2399" t="s">
        <v>2399</v>
      </c>
      <c r="P71" s="2405" t="s">
        <v>2400</v>
      </c>
      <c r="Q71" s="2398">
        <f ca="1">C13</f>
        <v>13573</v>
      </c>
      <c r="R71" s="2397" t="s">
        <v>2378</v>
      </c>
    </row>
    <row r="72" spans="1:18" ht="15.75" thickBot="1">
      <c r="O72" s="2399" t="s">
        <v>2401</v>
      </c>
      <c r="P72" s="2405" t="s">
        <v>2402</v>
      </c>
      <c r="Q72" s="2400">
        <f ca="1">J36</f>
        <v>8.5000000000000006E-2</v>
      </c>
      <c r="R72" s="2401"/>
    </row>
    <row r="73" spans="1:18" ht="15.75" thickBot="1">
      <c r="O73" s="2399" t="s">
        <v>2384</v>
      </c>
      <c r="P73" s="2397" t="s">
        <v>2391</v>
      </c>
      <c r="Q73" s="2400">
        <f>L52</f>
        <v>0</v>
      </c>
      <c r="R73" s="2401"/>
    </row>
    <row r="74" spans="1:18" ht="20.25" thickBot="1">
      <c r="O74" s="2399" t="s">
        <v>2386</v>
      </c>
      <c r="P74" s="2397" t="s">
        <v>2392</v>
      </c>
      <c r="Q74" s="2398" t="e">
        <f ca="1">L58</f>
        <v>#DIV/0!</v>
      </c>
      <c r="R74" s="2401" t="s">
        <v>2393</v>
      </c>
    </row>
    <row r="75" spans="1:18" ht="15.75" thickBot="1">
      <c r="O75" s="2399" t="s">
        <v>2415</v>
      </c>
      <c r="P75" s="2397" t="str">
        <f>K59</f>
        <v>建设期及建筑物耐用年限下的土地年期修正系数Kn</v>
      </c>
      <c r="Q75" s="2398" t="e">
        <f ca="1">L59</f>
        <v>#DIV/0!</v>
      </c>
      <c r="R75" s="2401" t="s">
        <v>2395</v>
      </c>
    </row>
    <row r="76" spans="1:18" ht="15.75" thickBot="1">
      <c r="O76" s="2396" t="s">
        <v>2389</v>
      </c>
      <c r="P76" s="2397" t="s">
        <v>2406</v>
      </c>
      <c r="Q76" s="2398">
        <f ca="1">Q66+Q67</f>
        <v>60731</v>
      </c>
      <c r="R76" s="2401" t="s">
        <v>2390</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109" priority="6">
      <formula>$L$48&gt;$J$51</formula>
    </cfRule>
  </conditionalFormatting>
  <conditionalFormatting sqref="I55">
    <cfRule type="expression" dxfId="108" priority="7">
      <formula>$J$51&gt;$L$48</formula>
    </cfRule>
  </conditionalFormatting>
  <conditionalFormatting sqref="I60">
    <cfRule type="expression" dxfId="107" priority="5">
      <formula>$J$51&gt;$L$48</formula>
    </cfRule>
  </conditionalFormatting>
  <conditionalFormatting sqref="K60">
    <cfRule type="expression" dxfId="106"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RowHeight="14.25"/>
  <cols>
    <col min="1" max="1" width="10.375" style="1184" customWidth="1"/>
    <col min="2" max="2" width="22"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1" t="s">
        <v>2543</v>
      </c>
      <c r="R1" s="2580" t="s">
        <v>2537</v>
      </c>
      <c r="S1" s="6" t="s">
        <v>146</v>
      </c>
      <c r="T1" s="7" t="s">
        <v>147</v>
      </c>
      <c r="U1" s="6" t="s">
        <v>148</v>
      </c>
      <c r="V1" s="6" t="s">
        <v>149</v>
      </c>
      <c r="W1" s="1003"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2538</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2539</v>
      </c>
      <c r="S3" s="9" t="s">
        <v>84</v>
      </c>
      <c r="T3" s="9" t="s">
        <v>85</v>
      </c>
      <c r="U3" s="9" t="s">
        <v>84</v>
      </c>
      <c r="V3" s="9" t="s">
        <v>86</v>
      </c>
      <c r="W3" s="9" t="s">
        <v>876</v>
      </c>
    </row>
    <row r="4" spans="1:23">
      <c r="A4" s="8" t="s">
        <v>87</v>
      </c>
      <c r="B4" s="8" t="s">
        <v>152</v>
      </c>
      <c r="C4" s="1550" t="s">
        <v>1712</v>
      </c>
      <c r="D4" s="9" t="s">
        <v>1995</v>
      </c>
      <c r="E4" s="9" t="s">
        <v>88</v>
      </c>
      <c r="F4" s="9" t="s">
        <v>89</v>
      </c>
      <c r="G4" s="9">
        <v>70</v>
      </c>
      <c r="H4" s="9" t="s">
        <v>90</v>
      </c>
      <c r="I4" s="9" t="s">
        <v>91</v>
      </c>
      <c r="K4" s="9" t="s">
        <v>92</v>
      </c>
      <c r="L4" s="9" t="s">
        <v>92</v>
      </c>
      <c r="M4" s="9" t="s">
        <v>92</v>
      </c>
      <c r="N4" s="9" t="s">
        <v>92</v>
      </c>
      <c r="O4" s="9" t="s">
        <v>92</v>
      </c>
      <c r="P4" s="1005" t="s">
        <v>760</v>
      </c>
      <c r="Q4" s="9" t="s">
        <v>92</v>
      </c>
      <c r="R4" s="1005" t="s">
        <v>2540</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5" t="s">
        <v>546</v>
      </c>
      <c r="Q5" s="9" t="s">
        <v>97</v>
      </c>
      <c r="R5" s="1005" t="s">
        <v>2541</v>
      </c>
      <c r="S5" s="9" t="s">
        <v>97</v>
      </c>
      <c r="T5" s="9" t="s">
        <v>98</v>
      </c>
      <c r="U5" s="9" t="s">
        <v>97</v>
      </c>
      <c r="W5" s="9" t="s">
        <v>878</v>
      </c>
    </row>
    <row r="6" spans="1:23">
      <c r="A6" s="8" t="s">
        <v>99</v>
      </c>
      <c r="B6" s="1148" t="s">
        <v>1641</v>
      </c>
      <c r="C6" s="1552" t="s">
        <v>1714</v>
      </c>
      <c r="F6" s="9" t="s">
        <v>71</v>
      </c>
      <c r="H6" s="9" t="s">
        <v>72</v>
      </c>
      <c r="I6" s="9" t="s">
        <v>100</v>
      </c>
      <c r="K6" s="9" t="s">
        <v>101</v>
      </c>
      <c r="L6" s="9" t="s">
        <v>101</v>
      </c>
      <c r="M6" s="9" t="s">
        <v>101</v>
      </c>
      <c r="N6" s="9" t="s">
        <v>101</v>
      </c>
      <c r="O6" s="9" t="s">
        <v>101</v>
      </c>
      <c r="P6" s="1005" t="s">
        <v>881</v>
      </c>
      <c r="Q6" s="9" t="s">
        <v>101</v>
      </c>
      <c r="R6" s="1005" t="s">
        <v>2542</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07" t="s">
        <v>2943</v>
      </c>
      <c r="C18" s="1553"/>
    </row>
    <row r="19" spans="1:3">
      <c r="A19" s="8" t="s">
        <v>120</v>
      </c>
      <c r="B19" s="3107" t="s">
        <v>2951</v>
      </c>
      <c r="C19" s="1553"/>
    </row>
    <row r="20" spans="1:3">
      <c r="A20" s="8" t="s">
        <v>121</v>
      </c>
      <c r="B20" s="8" t="s">
        <v>1642</v>
      </c>
      <c r="C20" s="1553"/>
    </row>
    <row r="21" spans="1:3">
      <c r="A21" s="8" t="s">
        <v>122</v>
      </c>
      <c r="B21" s="8" t="s">
        <v>1642</v>
      </c>
      <c r="C21" s="1553"/>
    </row>
    <row r="22" spans="1:3">
      <c r="A22" s="8" t="s">
        <v>123</v>
      </c>
      <c r="B22" s="3107" t="s">
        <v>3257</v>
      </c>
      <c r="C22" s="1553"/>
    </row>
    <row r="23" spans="1:3">
      <c r="A23" s="8" t="s">
        <v>124</v>
      </c>
      <c r="B23" s="3107" t="s">
        <v>3300</v>
      </c>
      <c r="C23" s="1553"/>
    </row>
    <row r="24" spans="1:3">
      <c r="A24" s="8" t="s">
        <v>12</v>
      </c>
      <c r="B24" s="3107" t="s">
        <v>3260</v>
      </c>
      <c r="C24" s="1553"/>
    </row>
    <row r="25" spans="1:3">
      <c r="A25" s="8" t="s">
        <v>125</v>
      </c>
      <c r="B25" s="8" t="s">
        <v>1642</v>
      </c>
      <c r="C25" s="1553"/>
    </row>
    <row r="26" spans="1:3">
      <c r="A26" s="8" t="s">
        <v>126</v>
      </c>
      <c r="B26" s="8" t="s">
        <v>1642</v>
      </c>
      <c r="C26" s="1553"/>
    </row>
    <row r="27" spans="1:3">
      <c r="A27" s="8" t="s">
        <v>1642</v>
      </c>
      <c r="B27" s="8" t="s">
        <v>1642</v>
      </c>
      <c r="C27" s="1553"/>
    </row>
    <row r="28" spans="1:3">
      <c r="A28" s="3107" t="s">
        <v>3189</v>
      </c>
      <c r="B28" s="8" t="s">
        <v>1642</v>
      </c>
      <c r="C28" s="1553"/>
    </row>
    <row r="29" spans="1:3">
      <c r="A29" s="3107" t="s">
        <v>3191</v>
      </c>
      <c r="B29" s="8" t="s">
        <v>1642</v>
      </c>
      <c r="C29" s="1553"/>
    </row>
    <row r="30" spans="1:3">
      <c r="A30" s="3107" t="s">
        <v>3278</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4" t="s">
        <v>1945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建行城建、中行北京分行丰台支行、农行北分崇文门）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北京万龙华房地产开发有限公司 拟使用北京市顺义区高丽营镇于庄03-21地块出让国有建设用地使用权作为抵押担保物，向建行城建、中行北京分行丰台支行、农行北分崇文门办理贷款手续。建行城建、中行北京分行丰台支行、农行北分崇文门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1987</v>
      </c>
      <c r="B52" s="1767" t="s">
        <v>1988</v>
      </c>
      <c r="C52" s="1765" t="s">
        <v>1989</v>
      </c>
      <c r="D52" s="1765" t="s">
        <v>1990</v>
      </c>
      <c r="E52" s="1766"/>
    </row>
    <row r="53" spans="1:5">
      <c r="A53" s="3589" t="s">
        <v>1991</v>
      </c>
      <c r="B53" s="1765" t="s">
        <v>1997</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12月10日，在规划利用条件下、设定土地开发程度为红线外“三通”、宗地内场地平整，设定用途为住宅、商业、地下仓储、地下车库，剩余土地使用年限为住宅68.8年、商业38.8年、地下车库48.8年、仓储48.8的出让国有建设用地使用权价格。</v>
      </c>
      <c r="D53" s="1766"/>
      <c r="E53" s="1766"/>
    </row>
    <row r="54" spans="1:5">
      <c r="A54" s="3589"/>
      <c r="B54" s="1765" t="s">
        <v>1998</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589"/>
      <c r="B55" s="1765" t="s">
        <v>1992</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589"/>
      <c r="B56" s="1765" t="s">
        <v>1993</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589"/>
      <c r="B57" s="1765" t="s">
        <v>1994</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2049</v>
      </c>
      <c r="B58" s="1765" t="s">
        <v>2050</v>
      </c>
      <c r="C58" s="11" t="s">
        <v>2051</v>
      </c>
      <c r="D58" s="1318" t="s">
        <v>2052</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4" zoomScale="80" zoomScaleNormal="80" workbookViewId="0">
      <selection activeCell="D41" sqref="D41"/>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1726</v>
      </c>
      <c r="B1" s="737"/>
      <c r="C1" s="772" t="s">
        <v>3201</v>
      </c>
      <c r="D1" s="3120" t="s">
        <v>3233</v>
      </c>
      <c r="E1" s="2385" t="s">
        <v>2372</v>
      </c>
      <c r="F1" s="2386">
        <f ca="1">J53</f>
        <v>66.67</v>
      </c>
      <c r="G1" s="773">
        <f>MATCH(C1,'数据-取费表'!A6:A16,0)+5</f>
        <v>8</v>
      </c>
      <c r="H1" s="2048"/>
      <c r="I1" s="2049"/>
      <c r="J1" s="2049"/>
      <c r="K1" s="2050"/>
      <c r="L1" s="2049"/>
      <c r="M1" s="2049"/>
      <c r="N1" s="2051"/>
      <c r="O1" s="2051"/>
      <c r="P1" s="2051"/>
      <c r="Q1" s="2390"/>
      <c r="R1" s="2051"/>
      <c r="S1" s="2051"/>
      <c r="T1" s="2051"/>
      <c r="U1" s="2051"/>
      <c r="V1" s="2051"/>
      <c r="W1" s="2051"/>
      <c r="X1" s="2051"/>
      <c r="Y1" s="2051"/>
      <c r="Z1" s="2051"/>
      <c r="AA1" s="2051"/>
      <c r="AB1" s="2051"/>
      <c r="AC1" s="2051"/>
      <c r="AD1" s="2051"/>
      <c r="AE1" s="2051"/>
      <c r="AF1" s="2051"/>
      <c r="AG1" s="2051"/>
    </row>
    <row r="2" spans="1:33" ht="18" customHeight="1">
      <c r="A2" s="422" t="s">
        <v>1727</v>
      </c>
      <c r="B2" s="774">
        <f ca="1">C40+J29+L46</f>
        <v>60731</v>
      </c>
      <c r="C2" s="2055"/>
      <c r="D2" s="2053"/>
      <c r="E2" s="2054"/>
      <c r="F2" s="2054"/>
      <c r="G2" s="1589"/>
      <c r="H2" s="2055"/>
      <c r="I2" s="2055"/>
      <c r="J2" s="2055"/>
      <c r="K2" s="2056"/>
      <c r="L2" s="2055"/>
      <c r="M2" s="2055"/>
    </row>
    <row r="3" spans="1:33" ht="18" customHeight="1" thickBot="1">
      <c r="A3" s="832" t="s">
        <v>1728</v>
      </c>
      <c r="B3" s="833">
        <f ca="1">IF(ISERROR(B2*10000/F43),0,ROUND(B2*10000/F43,0))</f>
        <v>25549</v>
      </c>
      <c r="C3" s="2055"/>
      <c r="D3" s="2053"/>
      <c r="E3" s="2054"/>
      <c r="F3" s="2054"/>
      <c r="G3" s="1589"/>
      <c r="H3" s="775" t="s">
        <v>695</v>
      </c>
      <c r="I3" s="1362"/>
      <c r="J3" s="1362"/>
      <c r="K3" s="1590"/>
      <c r="L3" s="1362"/>
      <c r="M3" s="1362"/>
    </row>
    <row r="4" spans="1:33" ht="18" customHeight="1">
      <c r="A4" s="776" t="s">
        <v>1729</v>
      </c>
      <c r="B4" s="777" t="s">
        <v>1730</v>
      </c>
      <c r="C4" s="777" t="s">
        <v>1731</v>
      </c>
      <c r="D4" s="777" t="s">
        <v>633</v>
      </c>
      <c r="E4" s="778" t="s">
        <v>1732</v>
      </c>
      <c r="F4" s="779"/>
      <c r="G4" s="1591"/>
      <c r="H4" s="776" t="s">
        <v>1733</v>
      </c>
      <c r="I4" s="777" t="s">
        <v>1734</v>
      </c>
      <c r="J4" s="777" t="s">
        <v>1735</v>
      </c>
      <c r="K4" s="777" t="s">
        <v>1736</v>
      </c>
      <c r="L4" s="778" t="s">
        <v>1737</v>
      </c>
      <c r="M4" s="779"/>
    </row>
    <row r="5" spans="1:33" ht="18" customHeight="1">
      <c r="A5" s="780">
        <v>1</v>
      </c>
      <c r="B5" s="781" t="s">
        <v>2456</v>
      </c>
      <c r="C5" s="55">
        <f ca="1">C6+C10+C12</f>
        <v>2346</v>
      </c>
      <c r="D5" s="2494" t="s">
        <v>2459</v>
      </c>
      <c r="E5" s="2488"/>
      <c r="F5" s="2489"/>
      <c r="G5" s="1591"/>
      <c r="H5" s="780">
        <v>1</v>
      </c>
      <c r="I5" s="781" t="s">
        <v>2456</v>
      </c>
      <c r="J5" s="55">
        <f ca="1">J6+J10+J12</f>
        <v>0</v>
      </c>
      <c r="K5" s="2494" t="s">
        <v>2459</v>
      </c>
      <c r="L5" s="2488"/>
      <c r="M5" s="2489"/>
    </row>
    <row r="6" spans="1:33" ht="18" customHeight="1">
      <c r="A6" s="1828" t="s">
        <v>1825</v>
      </c>
      <c r="B6" s="3571" t="s">
        <v>2461</v>
      </c>
      <c r="C6" s="782">
        <f ca="1">ROUND(F6*F8*F7*(1-F9)/10000,0)</f>
        <v>2343</v>
      </c>
      <c r="D6" s="2495" t="s">
        <v>2460</v>
      </c>
      <c r="E6" s="783" t="s">
        <v>1739</v>
      </c>
      <c r="F6" s="784">
        <f ca="1">INDIRECT("'数据-取费表'!u"&amp;$G$1)</f>
        <v>3</v>
      </c>
      <c r="G6" s="1591"/>
      <c r="H6" s="2502" t="s">
        <v>2466</v>
      </c>
      <c r="I6" s="3571" t="s">
        <v>2461</v>
      </c>
      <c r="J6" s="782">
        <f ca="1">ROUND(M6*M8*M7*(1-M9)/10000,0)</f>
        <v>0</v>
      </c>
      <c r="K6" s="340" t="s">
        <v>1738</v>
      </c>
      <c r="L6" s="783" t="s">
        <v>1739</v>
      </c>
      <c r="M6" s="784">
        <f ca="1">INDIRECT("'数据-取费表'!z"&amp;$G$1)</f>
        <v>0</v>
      </c>
    </row>
    <row r="7" spans="1:33" ht="18" customHeight="1">
      <c r="A7" s="2498"/>
      <c r="B7" s="3572"/>
      <c r="C7" s="787"/>
      <c r="D7" s="788"/>
      <c r="E7" s="783" t="s">
        <v>1740</v>
      </c>
      <c r="F7" s="784">
        <f ca="1">IF(INDIRECT("'数据-取费表'!ah"&amp;$G$1)="",INDIRECT("'数据-取费表'!k"&amp;$G$1),INDIRECT("'数据-取费表'!ah"&amp;$G$1))</f>
        <v>23770.38</v>
      </c>
      <c r="G7" s="1591"/>
      <c r="H7" s="2487"/>
      <c r="I7" s="3572"/>
      <c r="J7" s="787"/>
      <c r="K7" s="788"/>
      <c r="L7" s="783" t="s">
        <v>1740</v>
      </c>
      <c r="M7" s="784">
        <f ca="1">F7</f>
        <v>23770.38</v>
      </c>
    </row>
    <row r="8" spans="1:33" ht="18" customHeight="1">
      <c r="A8" s="2491"/>
      <c r="B8" s="3573"/>
      <c r="C8" s="787"/>
      <c r="D8" s="788"/>
      <c r="E8" s="783" t="s">
        <v>1741</v>
      </c>
      <c r="F8" s="784">
        <f ca="1">INDIRECT("'数据-取费表'!ai"&amp;$G$1)</f>
        <v>365</v>
      </c>
      <c r="G8" s="1591"/>
      <c r="H8" s="2487"/>
      <c r="I8" s="3573"/>
      <c r="J8" s="787"/>
      <c r="K8" s="788"/>
      <c r="L8" s="783" t="s">
        <v>1741</v>
      </c>
      <c r="M8" s="784">
        <f ca="1">INDIRECT("'数据-取费表'!ai"&amp;$G$1)</f>
        <v>365</v>
      </c>
    </row>
    <row r="9" spans="1:33" ht="18" customHeight="1">
      <c r="A9" s="785"/>
      <c r="B9" s="3574"/>
      <c r="C9" s="787"/>
      <c r="D9" s="788"/>
      <c r="E9" s="783" t="s">
        <v>1742</v>
      </c>
      <c r="F9" s="793">
        <f ca="1">INDIRECT("'数据-取费表'!w"&amp;$G$1)</f>
        <v>0.1</v>
      </c>
      <c r="G9" s="1591"/>
      <c r="H9" s="2503"/>
      <c r="I9" s="3573"/>
      <c r="J9" s="787"/>
      <c r="K9" s="788"/>
      <c r="L9" s="794" t="s">
        <v>1742</v>
      </c>
      <c r="M9" s="795">
        <f ca="1">INDIRECT("'数据-取费表'!ab"&amp;$G$1)</f>
        <v>0</v>
      </c>
    </row>
    <row r="10" spans="1:33" ht="18" customHeight="1">
      <c r="A10" s="1828" t="s">
        <v>2464</v>
      </c>
      <c r="B10" s="2492" t="s">
        <v>2457</v>
      </c>
      <c r="C10" s="798">
        <f ca="1">ROUND(IF(F10="押一",C6/12*F11,IF(F10="押二",C6/12*2*F11,IF(F10="押三",C6/12*3*F11,C11*F11))),0)</f>
        <v>3</v>
      </c>
      <c r="D10" s="2499" t="s">
        <v>2962</v>
      </c>
      <c r="E10" s="2496" t="s">
        <v>2462</v>
      </c>
      <c r="F10" s="2619" t="s">
        <v>3234</v>
      </c>
      <c r="G10" s="1591"/>
      <c r="H10" s="2559" t="s">
        <v>2467</v>
      </c>
      <c r="I10" s="2564" t="s">
        <v>2457</v>
      </c>
      <c r="J10" s="782">
        <f ca="1">ROUND(IF(M10="押一",J6/12*M11,IF(M10="押二",J6/12*2*M11,IF(M10="押三",J6/12*3*M11,J11*M11))),0)</f>
        <v>0</v>
      </c>
      <c r="K10" s="2499" t="s">
        <v>2962</v>
      </c>
      <c r="L10" s="2496" t="s">
        <v>2462</v>
      </c>
      <c r="M10" s="2619"/>
    </row>
    <row r="11" spans="1:33" ht="18" customHeight="1">
      <c r="A11" s="789"/>
      <c r="B11" s="2493" t="s">
        <v>2571</v>
      </c>
      <c r="C11" s="2497"/>
      <c r="D11" s="788"/>
      <c r="E11" s="2496" t="s">
        <v>2463</v>
      </c>
      <c r="F11" s="795">
        <f ca="1">'数据-取费表'!B39</f>
        <v>1.4999999999999999E-2</v>
      </c>
      <c r="G11" s="1591"/>
      <c r="H11" s="2560"/>
      <c r="I11" s="2493" t="s">
        <v>2571</v>
      </c>
      <c r="J11" s="2497"/>
      <c r="K11" s="2561"/>
      <c r="L11" s="2496" t="s">
        <v>2463</v>
      </c>
      <c r="M11" s="2490">
        <f ca="1">'数据-取费表'!B39</f>
        <v>1.4999999999999999E-2</v>
      </c>
    </row>
    <row r="12" spans="1:33" ht="18" customHeight="1" thickBot="1">
      <c r="A12" s="2535" t="s">
        <v>2465</v>
      </c>
      <c r="B12" s="2536" t="s">
        <v>2458</v>
      </c>
      <c r="C12" s="2537"/>
      <c r="D12" s="2538"/>
      <c r="E12" s="2539"/>
      <c r="F12" s="2540"/>
      <c r="G12" s="1591"/>
      <c r="H12" s="2549" t="s">
        <v>2468</v>
      </c>
      <c r="I12" s="2562" t="s">
        <v>2458</v>
      </c>
      <c r="J12" s="2563"/>
      <c r="K12" s="2538"/>
      <c r="L12" s="2539"/>
      <c r="M12" s="2552"/>
    </row>
    <row r="13" spans="1:33" ht="18" customHeight="1" thickTop="1">
      <c r="A13" s="1827">
        <v>2</v>
      </c>
      <c r="B13" s="1825" t="s">
        <v>1743</v>
      </c>
      <c r="C13" s="791">
        <f ca="1">ROUND(C29*F13,0)</f>
        <v>13573</v>
      </c>
      <c r="D13" s="1832" t="s">
        <v>2297</v>
      </c>
      <c r="E13" s="1832" t="s">
        <v>1745</v>
      </c>
      <c r="F13" s="2534">
        <f ca="1">INDIRECT("'数据-取费表'!y"&amp;$G$1)</f>
        <v>1</v>
      </c>
      <c r="G13" s="1591"/>
      <c r="H13" s="1827">
        <v>2</v>
      </c>
      <c r="I13" s="1825" t="s">
        <v>1743</v>
      </c>
      <c r="J13" s="1817">
        <f ca="1">ROUND(J14*J15,0)</f>
        <v>0</v>
      </c>
      <c r="K13" s="1819" t="s">
        <v>1744</v>
      </c>
      <c r="L13" s="2550"/>
      <c r="M13" s="2551"/>
    </row>
    <row r="14" spans="1:33" ht="18" customHeight="1">
      <c r="A14" s="1647" t="s">
        <v>1885</v>
      </c>
      <c r="B14" s="783" t="s">
        <v>645</v>
      </c>
      <c r="C14" s="803">
        <f ca="1">INDIRECT("'数据-取费表'!m"&amp;$G$1)+INDIRECT("'数据-取费表'!t"&amp;$G$1)</f>
        <v>9975</v>
      </c>
      <c r="D14" s="1977" t="s">
        <v>1746</v>
      </c>
      <c r="E14" s="1978"/>
      <c r="F14" s="804"/>
      <c r="G14" s="1591"/>
      <c r="H14" s="1648" t="s">
        <v>1831</v>
      </c>
      <c r="I14" s="2229" t="s">
        <v>2823</v>
      </c>
      <c r="J14" s="53">
        <f ca="1">C29</f>
        <v>13573</v>
      </c>
      <c r="K14" s="26"/>
      <c r="L14" s="800"/>
      <c r="M14" s="801"/>
    </row>
    <row r="15" spans="1:33" s="2062" customFormat="1" ht="18" customHeight="1" thickBot="1">
      <c r="A15" s="1647" t="s">
        <v>1886</v>
      </c>
      <c r="B15" s="783" t="s">
        <v>647</v>
      </c>
      <c r="C15" s="53">
        <f ca="1">ROUND(C14*F15,0)</f>
        <v>299</v>
      </c>
      <c r="D15" s="805" t="s">
        <v>1747</v>
      </c>
      <c r="E15" s="805" t="s">
        <v>1748</v>
      </c>
      <c r="F15" s="806">
        <f>'数据-取费表'!B33</f>
        <v>0.03</v>
      </c>
      <c r="G15" s="1592"/>
      <c r="H15" s="2549" t="s">
        <v>1890</v>
      </c>
      <c r="I15" s="2544" t="s">
        <v>1745</v>
      </c>
      <c r="J15" s="2553">
        <f ca="1">INDIRECT("'数据-取费表'!ad"&amp;$G$1)</f>
        <v>0</v>
      </c>
      <c r="K15" s="2554"/>
      <c r="L15" s="2555"/>
      <c r="M15" s="2556"/>
      <c r="N15" s="2061"/>
      <c r="O15" s="2061"/>
      <c r="P15" s="2061"/>
      <c r="Q15" s="2391"/>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1887</v>
      </c>
      <c r="B16" s="783" t="s">
        <v>650</v>
      </c>
      <c r="C16" s="53">
        <f ca="1">ROUND(INDIRECT("'数据-取费表'!m"&amp;$G$1)*F16,0)</f>
        <v>285</v>
      </c>
      <c r="D16" s="783" t="s">
        <v>1747</v>
      </c>
      <c r="E16" s="783" t="s">
        <v>1748</v>
      </c>
      <c r="F16" s="808">
        <f ca="1">IF(INDIRECT("'数据-取费表'!c"&amp;$G$1)="住宅",'数据-取费表'!B34,0)</f>
        <v>0.03</v>
      </c>
      <c r="G16" s="1591"/>
      <c r="H16" s="1827" t="s">
        <v>1749</v>
      </c>
      <c r="I16" s="1825" t="s">
        <v>1750</v>
      </c>
      <c r="J16" s="791">
        <f ca="1">ROUND(J17+J22+J23+J24,0)</f>
        <v>1345</v>
      </c>
      <c r="K16" s="1819" t="s">
        <v>1751</v>
      </c>
      <c r="L16" s="2484"/>
      <c r="M16" s="2489"/>
    </row>
    <row r="17" spans="1:33" s="2062" customFormat="1" ht="18" customHeight="1">
      <c r="A17" s="1647" t="s">
        <v>1888</v>
      </c>
      <c r="B17" s="783" t="s">
        <v>653</v>
      </c>
      <c r="C17" s="53">
        <f ca="1">ROUND(F17*(F43+INDIRECT("'数据-取费表'!S"&amp;$G$1))/10000,0)</f>
        <v>514</v>
      </c>
      <c r="D17" s="783" t="s">
        <v>1752</v>
      </c>
      <c r="E17" s="783" t="s">
        <v>1753</v>
      </c>
      <c r="F17" s="56">
        <f>'数据-取费表'!B35</f>
        <v>200</v>
      </c>
      <c r="G17" s="1592"/>
      <c r="H17" s="1648" t="s">
        <v>1831</v>
      </c>
      <c r="I17" s="783" t="s">
        <v>656</v>
      </c>
      <c r="J17" s="53">
        <f ca="1">ROUND(IF(项目基本情况!B11="自然人",J5*M17,J18+J19+J20),0)</f>
        <v>1141</v>
      </c>
      <c r="K17" s="2483" t="s">
        <v>1754</v>
      </c>
      <c r="L17" s="2482" t="s">
        <v>1755</v>
      </c>
      <c r="M17" s="809" t="str">
        <f ca="1">IF(项目基本情况!B11="企业","",IF(INDIRECT("'数据-取费表'!c"&amp;$G$1)="住宅",5%,IF(M6*M7*M8/12/(1+'数据-取费表'!C42)&gt;20000,12%,7%)))</f>
        <v/>
      </c>
      <c r="N17" s="2061"/>
      <c r="O17" s="2061"/>
      <c r="P17" s="2061"/>
      <c r="Q17" s="2391"/>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1889</v>
      </c>
      <c r="B18" s="783" t="s">
        <v>659</v>
      </c>
      <c r="C18" s="53">
        <f ca="1">ROUND(C14*F18,0)</f>
        <v>150</v>
      </c>
      <c r="D18" s="783" t="s">
        <v>1747</v>
      </c>
      <c r="E18" s="783" t="s">
        <v>1748</v>
      </c>
      <c r="F18" s="808">
        <f>'数据-取费表'!B36</f>
        <v>1.4999999999999999E-2</v>
      </c>
      <c r="G18" s="1592"/>
      <c r="H18" s="1647" t="s">
        <v>1885</v>
      </c>
      <c r="I18" s="783" t="s">
        <v>1756</v>
      </c>
      <c r="J18" s="53">
        <f ca="1">ROUND(J5*M18/1.05,1)</f>
        <v>0</v>
      </c>
      <c r="K18" s="2482" t="s">
        <v>1757</v>
      </c>
      <c r="L18" s="783" t="s">
        <v>1748</v>
      </c>
      <c r="M18" s="808">
        <f>'数据-取费表'!B41</f>
        <v>5.5000000000000007E-2</v>
      </c>
      <c r="N18" s="2061"/>
      <c r="O18" s="2061"/>
      <c r="P18" s="2061"/>
      <c r="Q18" s="2391"/>
      <c r="R18" s="2061"/>
      <c r="S18" s="2061"/>
      <c r="T18" s="2061"/>
      <c r="U18" s="2061"/>
      <c r="V18" s="2061"/>
      <c r="W18" s="2061"/>
      <c r="X18" s="2061"/>
      <c r="Y18" s="2061"/>
      <c r="Z18" s="2061"/>
      <c r="AA18" s="2061"/>
      <c r="AB18" s="2061"/>
      <c r="AC18" s="2061"/>
      <c r="AD18" s="2061"/>
      <c r="AE18" s="2061"/>
      <c r="AF18" s="2061"/>
      <c r="AG18" s="2061"/>
    </row>
    <row r="19" spans="1:33" ht="18" customHeight="1">
      <c r="A19" s="1648" t="s">
        <v>1831</v>
      </c>
      <c r="B19" s="783" t="s">
        <v>662</v>
      </c>
      <c r="C19" s="53">
        <f ca="1">SUM(C14:C18)</f>
        <v>11223</v>
      </c>
      <c r="D19" s="260" t="s">
        <v>1758</v>
      </c>
      <c r="E19" s="1980"/>
      <c r="F19" s="56"/>
      <c r="G19" s="1591"/>
      <c r="H19" s="1647" t="s">
        <v>1886</v>
      </c>
      <c r="I19" s="783" t="s">
        <v>1759</v>
      </c>
      <c r="J19" s="53">
        <f ca="1">IF(K19="按租金收入计税",ROUND(J5*M19,1),ROUND(C29*F33*0.7,1))</f>
        <v>1140.0999999999999</v>
      </c>
      <c r="K19" s="810" t="s">
        <v>665</v>
      </c>
      <c r="L19" s="783" t="s">
        <v>1748</v>
      </c>
      <c r="M19" s="808">
        <f>IF(K19="按租金收入计税",'数据-取费表'!B51,'数据-取费表'!B50)</f>
        <v>1.2E-2</v>
      </c>
    </row>
    <row r="20" spans="1:33" s="2062" customFormat="1" ht="18" customHeight="1">
      <c r="A20" s="1648" t="s">
        <v>1890</v>
      </c>
      <c r="B20" s="783" t="s">
        <v>666</v>
      </c>
      <c r="C20" s="53">
        <f ca="1">ROUND(C19*F20,0)</f>
        <v>224</v>
      </c>
      <c r="D20" s="811" t="s">
        <v>1760</v>
      </c>
      <c r="E20" s="783" t="s">
        <v>1748</v>
      </c>
      <c r="F20" s="808">
        <f>'数据-取费表'!B37</f>
        <v>0.02</v>
      </c>
      <c r="G20" s="1592"/>
      <c r="H20" s="1650" t="s">
        <v>1881</v>
      </c>
      <c r="I20" s="340" t="s">
        <v>1761</v>
      </c>
      <c r="J20" s="54">
        <f ca="1">ROUND(M20*M21/10000,0)</f>
        <v>1</v>
      </c>
      <c r="K20" s="813" t="s">
        <v>1762</v>
      </c>
      <c r="L20" s="783" t="s">
        <v>1763</v>
      </c>
      <c r="M20" s="639">
        <f>'数据-取费表'!B52</f>
        <v>1.5</v>
      </c>
      <c r="N20" s="2061"/>
      <c r="O20" s="2061"/>
      <c r="P20" s="2061"/>
      <c r="Q20" s="2391"/>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1891</v>
      </c>
      <c r="B21" s="783" t="s">
        <v>1764</v>
      </c>
      <c r="C21" s="53" t="s">
        <v>1765</v>
      </c>
      <c r="D21" s="811" t="s">
        <v>2298</v>
      </c>
      <c r="E21" s="783" t="s">
        <v>1766</v>
      </c>
      <c r="F21" s="808">
        <f>'数据-取费表'!B38</f>
        <v>0.02</v>
      </c>
      <c r="G21" s="1592"/>
      <c r="H21" s="2504"/>
      <c r="I21" s="792"/>
      <c r="J21" s="69"/>
      <c r="K21" s="815"/>
      <c r="L21" s="783" t="s">
        <v>1767</v>
      </c>
      <c r="M21" s="784">
        <f ca="1">INDIRECT("'数据-取费表'!r"&amp;$G$1)</f>
        <v>9842.2800000000007</v>
      </c>
      <c r="N21" s="2061"/>
      <c r="O21" s="2061"/>
      <c r="P21" s="2061"/>
      <c r="Q21" s="2391"/>
      <c r="R21" s="2061"/>
      <c r="S21" s="2061"/>
      <c r="T21" s="2061"/>
      <c r="U21" s="2061"/>
      <c r="V21" s="2061"/>
      <c r="W21" s="2061"/>
      <c r="X21" s="2061"/>
      <c r="Y21" s="2061"/>
      <c r="Z21" s="2061"/>
      <c r="AA21" s="2061"/>
      <c r="AB21" s="2061"/>
      <c r="AC21" s="2061"/>
      <c r="AD21" s="2061"/>
      <c r="AE21" s="2061"/>
      <c r="AF21" s="2061"/>
      <c r="AG21" s="2061"/>
    </row>
    <row r="22" spans="1:33" ht="18" customHeight="1">
      <c r="A22" s="1648" t="s">
        <v>1892</v>
      </c>
      <c r="B22" s="783" t="s">
        <v>1768</v>
      </c>
      <c r="C22" s="53"/>
      <c r="D22" s="2570" t="str">
        <f>IF(F23&lt;=1,"单利计息。","复利计息。")&amp;"建造成本、管理费用、销售费用产生的利息。"</f>
        <v>复利计息。建造成本、管理费用、销售费用产生的利息。</v>
      </c>
      <c r="E22" s="1980"/>
      <c r="F22" s="56"/>
      <c r="G22" s="1591"/>
      <c r="H22" s="1648" t="s">
        <v>1890</v>
      </c>
      <c r="I22" s="783" t="s">
        <v>1769</v>
      </c>
      <c r="J22" s="53">
        <f ca="1">ROUND(J14*M22,0)</f>
        <v>204</v>
      </c>
      <c r="K22" s="2482" t="s">
        <v>1770</v>
      </c>
      <c r="L22" s="783" t="s">
        <v>1748</v>
      </c>
      <c r="M22" s="816">
        <f ca="1">INDIRECT("'数据-取费表'!Ak"&amp;$G$1)</f>
        <v>1.4999999999999999E-2</v>
      </c>
    </row>
    <row r="23" spans="1:33" s="2062" customFormat="1" ht="18" customHeight="1">
      <c r="A23" s="1647" t="s">
        <v>1832</v>
      </c>
      <c r="B23" s="783" t="s">
        <v>2533</v>
      </c>
      <c r="C23" s="53">
        <f ca="1">ROUND(IF('数据-取费表'!B22&lt;=1,(C19+C20)*F24*F23/2,(C19+C20)*(POWER((1+F24),F23/2)-1)),0)</f>
        <v>544</v>
      </c>
      <c r="D23" s="2569" t="str">
        <f>IF(F23&lt;=1,"(建造成本+管理费用)×利率×(建设周期÷2)","(建造成本+管理费用)×((1+利率)^(建设周期÷2)-1)")</f>
        <v>(建造成本+管理费用)×((1+利率)^(建设周期÷2)-1)</v>
      </c>
      <c r="E23" s="783" t="s">
        <v>1771</v>
      </c>
      <c r="F23" s="639">
        <f>'数据-取费表'!B20</f>
        <v>2</v>
      </c>
      <c r="G23" s="1592"/>
      <c r="H23" s="1648" t="s">
        <v>1891</v>
      </c>
      <c r="I23" s="783" t="s">
        <v>679</v>
      </c>
      <c r="J23" s="53">
        <f ca="1">ROUND(J13*M23,0)</f>
        <v>0</v>
      </c>
      <c r="K23" s="2482" t="s">
        <v>1772</v>
      </c>
      <c r="L23" s="783" t="s">
        <v>1748</v>
      </c>
      <c r="M23" s="817">
        <f ca="1">INDIRECT("'数据-取费表'!Al"&amp;$G$1)</f>
        <v>1.5E-3</v>
      </c>
      <c r="N23" s="2061"/>
      <c r="O23" s="2061"/>
      <c r="P23" s="2061"/>
      <c r="Q23" s="2391"/>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1833</v>
      </c>
      <c r="B24" s="783" t="s">
        <v>1773</v>
      </c>
      <c r="C24" s="53">
        <f ca="1">ROUND(IF('数据-取费表'!B22&lt;=1,F21*F24*F23/2,F21*(POWER((1+F24),F23/2)-1)),4)</f>
        <v>1E-3</v>
      </c>
      <c r="D24" s="2569" t="str">
        <f>IF(F23&lt;=1,"销售费用×利率×(建设周期÷2)","销售费用×((1+利率)^(建设周期÷2)-1)")</f>
        <v>销售费用×((1+利率)^(建设周期÷2)-1)</v>
      </c>
      <c r="E24" s="783" t="s">
        <v>1774</v>
      </c>
      <c r="F24" s="818">
        <f ca="1">'数据-取费表'!B40</f>
        <v>4.7500000000000001E-2</v>
      </c>
      <c r="G24" s="1592"/>
      <c r="H24" s="2549" t="s">
        <v>1892</v>
      </c>
      <c r="I24" s="2544" t="s">
        <v>666</v>
      </c>
      <c r="J24" s="2542">
        <f ca="1">ROUND(J5*M24,0)</f>
        <v>0</v>
      </c>
      <c r="K24" s="2543" t="s">
        <v>1775</v>
      </c>
      <c r="L24" s="2544" t="s">
        <v>1748</v>
      </c>
      <c r="M24" s="2540">
        <f ca="1">INDIRECT("'数据-取费表'!Am"&amp;$G$1)</f>
        <v>1.4999999999999999E-2</v>
      </c>
      <c r="N24" s="2061"/>
      <c r="O24" s="2061"/>
      <c r="P24" s="2061"/>
      <c r="Q24" s="2391"/>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1841</v>
      </c>
      <c r="B25" s="783" t="s">
        <v>684</v>
      </c>
      <c r="C25" s="53"/>
      <c r="D25" s="260" t="s">
        <v>1776</v>
      </c>
      <c r="E25" s="1980"/>
      <c r="F25" s="56"/>
      <c r="G25" s="1591"/>
      <c r="H25" s="1827" t="s">
        <v>1777</v>
      </c>
      <c r="I25" s="3007" t="s">
        <v>2819</v>
      </c>
      <c r="J25" s="791">
        <f ca="1">J5-J16</f>
        <v>-1345</v>
      </c>
      <c r="K25" s="2546" t="s">
        <v>1778</v>
      </c>
      <c r="L25" s="2547"/>
      <c r="M25" s="2548"/>
    </row>
    <row r="26" spans="1:33" ht="18" customHeight="1">
      <c r="A26" s="1647" t="s">
        <v>1832</v>
      </c>
      <c r="B26" s="783" t="s">
        <v>2436</v>
      </c>
      <c r="C26" s="53">
        <f ca="1">ROUND((C19+C20)*F26,0)</f>
        <v>572</v>
      </c>
      <c r="D26" s="811" t="s">
        <v>1779</v>
      </c>
      <c r="E26" s="794" t="s">
        <v>1780</v>
      </c>
      <c r="F26" s="793">
        <f ca="1">INDIRECT("'数据-取费表'!q"&amp;$G$1)</f>
        <v>0.05</v>
      </c>
      <c r="G26" s="1591"/>
      <c r="H26" s="2500" t="s">
        <v>1781</v>
      </c>
      <c r="I26" s="2230" t="s">
        <v>2824</v>
      </c>
      <c r="J26" s="782">
        <f ca="1">IF(J5&lt;&gt;0,ROUND(J25*(1-((1+M28)/(1+M26))^M27)/(M26-M28),0),0)</f>
        <v>0</v>
      </c>
      <c r="K26" s="813" t="s">
        <v>1782</v>
      </c>
      <c r="L26" s="783" t="s">
        <v>2417</v>
      </c>
      <c r="M26" s="793">
        <f ca="1">INDIRECT("'数据-取费表'!I"&amp;$G$1)</f>
        <v>0.05</v>
      </c>
    </row>
    <row r="27" spans="1:33" ht="18" customHeight="1">
      <c r="A27" s="1647" t="s">
        <v>1833</v>
      </c>
      <c r="B27" s="783" t="s">
        <v>686</v>
      </c>
      <c r="C27" s="53">
        <f ca="1">ROUND(F21*F26,4)</f>
        <v>1E-3</v>
      </c>
      <c r="D27" s="811" t="s">
        <v>1783</v>
      </c>
      <c r="E27" s="805"/>
      <c r="F27" s="806"/>
      <c r="G27" s="1591"/>
      <c r="H27" s="2501"/>
      <c r="I27" s="786"/>
      <c r="J27" s="787"/>
      <c r="K27" s="820" t="s">
        <v>1784</v>
      </c>
      <c r="L27" s="783" t="s">
        <v>1785</v>
      </c>
      <c r="M27" s="821">
        <f ca="1">INDIRECT("'数据-取费表'!ag"&amp;$G$1)</f>
        <v>0</v>
      </c>
    </row>
    <row r="28" spans="1:33" s="2062" customFormat="1" ht="18" customHeight="1">
      <c r="A28" s="1649" t="s">
        <v>1842</v>
      </c>
      <c r="B28" s="783" t="s">
        <v>687</v>
      </c>
      <c r="C28" s="53">
        <f>ROUND(F28/(1+'数据-取费表'!C42),4)</f>
        <v>5.2400000000000002E-2</v>
      </c>
      <c r="D28" s="811" t="s">
        <v>2299</v>
      </c>
      <c r="E28" s="783" t="s">
        <v>1786</v>
      </c>
      <c r="F28" s="808">
        <f>'数据-取费表'!B41</f>
        <v>5.5000000000000007E-2</v>
      </c>
      <c r="G28" s="1592"/>
      <c r="H28" s="1827"/>
      <c r="I28" s="790"/>
      <c r="J28" s="791"/>
      <c r="K28" s="815"/>
      <c r="L28" s="783" t="s">
        <v>1787</v>
      </c>
      <c r="M28" s="793">
        <f ca="1">INDIRECT("'数据-取费表'!aa"&amp;$G$1)</f>
        <v>0</v>
      </c>
      <c r="N28" s="2061"/>
      <c r="O28" s="2061"/>
      <c r="P28" s="2061"/>
      <c r="Q28" s="2391"/>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41" t="s">
        <v>1893</v>
      </c>
      <c r="B29" s="2539" t="s">
        <v>2300</v>
      </c>
      <c r="C29" s="2542">
        <f ca="1">ROUND((C19+C20+C23+C26)/(1-F21-C24-C27-C28),0)</f>
        <v>13573</v>
      </c>
      <c r="D29" s="2543"/>
      <c r="E29" s="2544"/>
      <c r="F29" s="2545"/>
      <c r="G29" s="1592"/>
      <c r="H29" s="822" t="s">
        <v>1788</v>
      </c>
      <c r="I29" s="823" t="s">
        <v>1789</v>
      </c>
      <c r="J29" s="824">
        <f ca="1">ROUND(J26/(1+F40)^F41,0)</f>
        <v>0</v>
      </c>
      <c r="K29" s="825" t="s">
        <v>1790</v>
      </c>
      <c r="L29" s="826"/>
      <c r="M29" s="827">
        <f ca="1">INDIRECT("'数据-取费表'!k"&amp;$G$1)</f>
        <v>23770.38</v>
      </c>
      <c r="N29" s="2061"/>
      <c r="O29" s="2061"/>
      <c r="P29" s="2061"/>
      <c r="Q29" s="2391"/>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1894</v>
      </c>
      <c r="B30" s="1825" t="s">
        <v>1791</v>
      </c>
      <c r="C30" s="791">
        <f ca="1">ROUND(C31+C36+C37+C38,0)</f>
        <v>665</v>
      </c>
      <c r="D30" s="1819" t="s">
        <v>1792</v>
      </c>
      <c r="E30" s="2484"/>
      <c r="F30" s="2489"/>
      <c r="G30" s="2060"/>
      <c r="H30" s="2063"/>
      <c r="I30" s="2064"/>
      <c r="J30" s="2065"/>
      <c r="K30" s="2066"/>
      <c r="L30" s="2067"/>
      <c r="M30" s="2068"/>
    </row>
    <row r="31" spans="1:33" ht="18" customHeight="1">
      <c r="A31" s="1648" t="s">
        <v>1831</v>
      </c>
      <c r="B31" s="783" t="s">
        <v>656</v>
      </c>
      <c r="C31" s="53">
        <f ca="1">ROUND(IF(项目基本情况!B11="自然人",C5*F31,C32+C33+C34),1)</f>
        <v>405.9</v>
      </c>
      <c r="D31" s="1977" t="s">
        <v>1793</v>
      </c>
      <c r="E31" s="1975" t="s">
        <v>1794</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7" t="s">
        <v>1832</v>
      </c>
      <c r="B32" s="783" t="s">
        <v>1795</v>
      </c>
      <c r="C32" s="53">
        <f ca="1">ROUND(C5*F32/1.05,1)</f>
        <v>122.9</v>
      </c>
      <c r="D32" s="1975" t="s">
        <v>1796</v>
      </c>
      <c r="E32" s="783" t="s">
        <v>1797</v>
      </c>
      <c r="F32" s="808">
        <f>'数据-取费表'!B41</f>
        <v>5.5000000000000007E-2</v>
      </c>
      <c r="G32" s="2060"/>
      <c r="H32" s="2069"/>
      <c r="I32" s="2070"/>
      <c r="J32" s="2071"/>
      <c r="K32" s="2072"/>
      <c r="L32" s="2073"/>
      <c r="M32" s="2074"/>
    </row>
    <row r="33" spans="1:18" ht="18" customHeight="1">
      <c r="A33" s="1647" t="s">
        <v>1833</v>
      </c>
      <c r="B33" s="783" t="s">
        <v>1798</v>
      </c>
      <c r="C33" s="53">
        <f ca="1">IF(D33="按租金收入计税",ROUND(C5*F33,1),IF(D33="按房产原值计税",ROUND(C29*F33*0.7,1),INDIRECT("'数据-取费表'!Aj"&amp;$G$1)))</f>
        <v>281.5</v>
      </c>
      <c r="D33" s="810" t="s">
        <v>3235</v>
      </c>
      <c r="E33" s="783" t="s">
        <v>1797</v>
      </c>
      <c r="F33" s="808">
        <f>IF(D33="按租金收入计税",'数据-取费表'!B51,'数据-取费表'!B50)</f>
        <v>0.12</v>
      </c>
      <c r="G33" s="2060"/>
      <c r="H33" s="2075"/>
      <c r="I33" s="2075"/>
      <c r="J33" s="2075"/>
      <c r="K33" s="2076"/>
      <c r="L33" s="2075"/>
      <c r="M33" s="2075"/>
    </row>
    <row r="34" spans="1:18" ht="18" customHeight="1">
      <c r="A34" s="1650" t="s">
        <v>1834</v>
      </c>
      <c r="B34" s="340" t="s">
        <v>1799</v>
      </c>
      <c r="C34" s="54">
        <f ca="1">ROUND(F34*F35/10000,1)</f>
        <v>1.5</v>
      </c>
      <c r="D34" s="813" t="s">
        <v>1800</v>
      </c>
      <c r="E34" s="783" t="s">
        <v>1801</v>
      </c>
      <c r="F34" s="639">
        <f>'数据-取费表'!B52</f>
        <v>1.5</v>
      </c>
      <c r="G34" s="2060"/>
      <c r="H34" s="2063"/>
      <c r="I34" s="834" t="s">
        <v>1814</v>
      </c>
      <c r="J34" s="835"/>
      <c r="K34" s="2078"/>
      <c r="L34" s="2077"/>
      <c r="M34" s="2077"/>
    </row>
    <row r="35" spans="1:18" ht="18" customHeight="1">
      <c r="A35" s="814"/>
      <c r="B35" s="792"/>
      <c r="C35" s="69"/>
      <c r="D35" s="815"/>
      <c r="E35" s="783" t="s">
        <v>1802</v>
      </c>
      <c r="F35" s="784">
        <f ca="1">INDIRECT("'数据-取费表'!r"&amp;$G$1)</f>
        <v>9842.2800000000007</v>
      </c>
      <c r="G35" s="2060"/>
      <c r="H35" s="2063"/>
      <c r="I35" s="836" t="s">
        <v>1815</v>
      </c>
      <c r="J35" s="837">
        <f ca="1">ROUND(C13*J36,0)</f>
        <v>1154</v>
      </c>
      <c r="K35" s="2076"/>
      <c r="L35" s="2075"/>
      <c r="M35" s="2075"/>
    </row>
    <row r="36" spans="1:18" ht="18" customHeight="1">
      <c r="A36" s="1648" t="s">
        <v>1890</v>
      </c>
      <c r="B36" s="783" t="s">
        <v>1803</v>
      </c>
      <c r="C36" s="53">
        <f ca="1">ROUND(C29*F36,1)</f>
        <v>203.6</v>
      </c>
      <c r="D36" s="1975" t="s">
        <v>1804</v>
      </c>
      <c r="E36" s="783" t="s">
        <v>1797</v>
      </c>
      <c r="F36" s="816">
        <f ca="1">INDIRECT("'数据-取费表'!Ak"&amp;$G$1)</f>
        <v>1.4999999999999999E-2</v>
      </c>
      <c r="G36" s="2060"/>
      <c r="H36" s="2075"/>
      <c r="I36" s="838" t="s">
        <v>1816</v>
      </c>
      <c r="J36" s="839">
        <f ca="1">INDIRECT("'数据-取费表'!j"&amp;$G$1)</f>
        <v>8.5000000000000006E-2</v>
      </c>
      <c r="K36" s="2080"/>
      <c r="L36" s="2075"/>
      <c r="M36" s="2075"/>
    </row>
    <row r="37" spans="1:18" ht="18" customHeight="1">
      <c r="A37" s="1648" t="s">
        <v>1891</v>
      </c>
      <c r="B37" s="783" t="s">
        <v>679</v>
      </c>
      <c r="C37" s="53">
        <f ca="1">ROUND(C13*F37,1)</f>
        <v>20.399999999999999</v>
      </c>
      <c r="D37" s="1975" t="s">
        <v>1805</v>
      </c>
      <c r="E37" s="783" t="s">
        <v>1797</v>
      </c>
      <c r="F37" s="817">
        <f ca="1">INDIRECT("'数据-取费表'!Al"&amp;$G$1)</f>
        <v>1.5E-3</v>
      </c>
      <c r="G37" s="2060"/>
      <c r="H37" s="2075"/>
      <c r="I37" s="840" t="s">
        <v>1817</v>
      </c>
      <c r="J37" s="841"/>
      <c r="K37" s="2080"/>
      <c r="L37" s="2075"/>
      <c r="M37" s="2075"/>
    </row>
    <row r="38" spans="1:18" ht="18" customHeight="1" thickBot="1">
      <c r="A38" s="2549" t="s">
        <v>1892</v>
      </c>
      <c r="B38" s="2544" t="s">
        <v>666</v>
      </c>
      <c r="C38" s="2542">
        <f ca="1">ROUND(C5*F38,1)</f>
        <v>35.200000000000003</v>
      </c>
      <c r="D38" s="2543" t="s">
        <v>1806</v>
      </c>
      <c r="E38" s="2544" t="s">
        <v>1797</v>
      </c>
      <c r="F38" s="2540">
        <f ca="1">INDIRECT("'数据-取费表'!Am"&amp;$G$1)</f>
        <v>1.4999999999999999E-2</v>
      </c>
      <c r="G38" s="2060"/>
      <c r="H38" s="2075"/>
      <c r="I38" s="842" t="s">
        <v>1818</v>
      </c>
      <c r="J38" s="843"/>
      <c r="K38" s="2081"/>
      <c r="L38" s="2075"/>
      <c r="M38" s="2075"/>
    </row>
    <row r="39" spans="1:18" ht="24.6" customHeight="1" thickTop="1">
      <c r="A39" s="1827" t="s">
        <v>1895</v>
      </c>
      <c r="B39" s="3007" t="s">
        <v>2819</v>
      </c>
      <c r="C39" s="791">
        <f ca="1">C5-C30</f>
        <v>1681</v>
      </c>
      <c r="D39" s="2546" t="s">
        <v>1807</v>
      </c>
      <c r="E39" s="2547"/>
      <c r="F39" s="2548"/>
      <c r="G39" s="2060"/>
      <c r="H39" s="2075"/>
      <c r="I39" s="836" t="s">
        <v>1819</v>
      </c>
      <c r="J39" s="844">
        <f ca="1">ROUND(J35/C39,3)</f>
        <v>0.68600000000000005</v>
      </c>
      <c r="K39" s="2081"/>
      <c r="L39" s="2075"/>
      <c r="M39" s="2075"/>
    </row>
    <row r="40" spans="1:18" ht="18" customHeight="1">
      <c r="A40" s="780" t="s">
        <v>1896</v>
      </c>
      <c r="B40" s="2230" t="s">
        <v>2301</v>
      </c>
      <c r="C40" s="782">
        <f ca="1">ROUND(C39*(1-((1+F42)/(1+F40))^F41)/(F40-F42),0)</f>
        <v>60731</v>
      </c>
      <c r="D40" s="813" t="s">
        <v>1808</v>
      </c>
      <c r="E40" s="783" t="s">
        <v>2417</v>
      </c>
      <c r="F40" s="793">
        <f ca="1">INDIRECT("'数据-取费表'!I"&amp;$G$1)</f>
        <v>0.05</v>
      </c>
      <c r="G40" s="2060"/>
      <c r="H40" s="2060"/>
      <c r="I40" s="836" t="s">
        <v>1820</v>
      </c>
      <c r="J40" s="844">
        <f ca="1">1-J39</f>
        <v>0.31399999999999995</v>
      </c>
      <c r="K40" s="2081"/>
      <c r="L40" s="2060"/>
      <c r="M40" s="2060"/>
    </row>
    <row r="41" spans="1:18" ht="18" customHeight="1">
      <c r="A41" s="785"/>
      <c r="B41" s="786"/>
      <c r="C41" s="787"/>
      <c r="D41" s="820" t="s">
        <v>1809</v>
      </c>
      <c r="E41" s="783" t="s">
        <v>2952</v>
      </c>
      <c r="F41" s="821">
        <f ca="1">IF(INDIRECT("'数据-取费表'!af"&amp;$G$1)=0,INDIRECT("'数据-取费表'!ae"&amp;$G$1),INDIRECT("'数据-取费表'!af"&amp;$G$1))</f>
        <v>66.67</v>
      </c>
      <c r="G41" s="2060"/>
      <c r="H41" s="1986"/>
      <c r="I41" s="842" t="s">
        <v>1821</v>
      </c>
      <c r="J41" s="845"/>
      <c r="K41" s="2080"/>
      <c r="L41" s="1986"/>
      <c r="M41" s="1986"/>
    </row>
    <row r="42" spans="1:18" ht="18" customHeight="1">
      <c r="A42" s="789"/>
      <c r="B42" s="790"/>
      <c r="C42" s="791"/>
      <c r="D42" s="815"/>
      <c r="E42" s="783" t="s">
        <v>1810</v>
      </c>
      <c r="F42" s="793">
        <f ca="1">INDIRECT("'数据-取费表'!v"&amp;$G$1)</f>
        <v>0.03</v>
      </c>
      <c r="G42" s="2060"/>
      <c r="H42" s="1986"/>
      <c r="I42" s="846" t="s">
        <v>1822</v>
      </c>
      <c r="J42" s="844">
        <f ca="1">ROUND(C13/C40,3)</f>
        <v>0.223</v>
      </c>
      <c r="K42" s="2080"/>
      <c r="L42" s="1986"/>
      <c r="M42" s="1986"/>
    </row>
    <row r="43" spans="1:18" ht="18" customHeight="1" thickBot="1">
      <c r="A43" s="822" t="s">
        <v>1788</v>
      </c>
      <c r="B43" s="823" t="s">
        <v>1811</v>
      </c>
      <c r="C43" s="824">
        <f ca="1">ROUND(C40*10000/F43,0)</f>
        <v>25549</v>
      </c>
      <c r="D43" s="825" t="s">
        <v>1812</v>
      </c>
      <c r="E43" s="826" t="s">
        <v>1813</v>
      </c>
      <c r="F43" s="827">
        <f ca="1">INDIRECT("'数据-取费表'!k"&amp;$G$1)</f>
        <v>23770.38</v>
      </c>
      <c r="G43" s="2060"/>
      <c r="H43" s="1986"/>
      <c r="I43" s="846" t="s">
        <v>1823</v>
      </c>
      <c r="J43" s="847">
        <f ca="1">1-J42</f>
        <v>0.77700000000000002</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2295</v>
      </c>
      <c r="B46" s="2083"/>
      <c r="C46" s="2572">
        <f ca="1">C67-C40</f>
        <v>-65076</v>
      </c>
      <c r="D46" s="2083"/>
      <c r="E46" s="2083"/>
      <c r="F46" s="2083"/>
      <c r="I46" s="2376" t="s">
        <v>2341</v>
      </c>
      <c r="J46" s="2377"/>
      <c r="K46" s="2378"/>
      <c r="L46" s="3155">
        <f>IF(OR(M47="住宅",D1="土地（套用方法）"),0,IF(L48&gt;J51,L60,J60))</f>
        <v>0</v>
      </c>
      <c r="O46" s="2392" t="s">
        <v>2408</v>
      </c>
      <c r="P46" s="1591"/>
      <c r="Q46" s="1603"/>
      <c r="R46" s="1591"/>
    </row>
    <row r="47" spans="1:18" s="2057" customFormat="1" ht="18" customHeight="1" thickBot="1">
      <c r="A47" s="2370">
        <v>1</v>
      </c>
      <c r="B47" s="2371" t="s">
        <v>635</v>
      </c>
      <c r="C47" s="2572">
        <f ca="1">C48+C52+C54</f>
        <v>0</v>
      </c>
      <c r="D47" s="2083"/>
      <c r="E47" s="2083"/>
      <c r="F47" s="2083"/>
      <c r="I47" s="3145" t="s">
        <v>2342</v>
      </c>
      <c r="J47" s="2379" t="s">
        <v>3261</v>
      </c>
      <c r="K47" s="3152" t="s">
        <v>2347</v>
      </c>
      <c r="L47" s="3156">
        <f ca="1">INDIRECT("'数据-取费表'!d"&amp;$G$1)</f>
        <v>70</v>
      </c>
      <c r="M47" s="1603" t="str">
        <f>IF(ISNUMBER(FIND("住宅",C1)),"住宅","非住宅")</f>
        <v>住宅</v>
      </c>
      <c r="O47" s="2393" t="s">
        <v>2373</v>
      </c>
      <c r="P47" s="2394" t="s">
        <v>2374</v>
      </c>
      <c r="Q47" s="2395" t="s">
        <v>2375</v>
      </c>
      <c r="R47" s="2394" t="s">
        <v>2376</v>
      </c>
    </row>
    <row r="48" spans="1:18" s="2057" customFormat="1" ht="18" customHeight="1" thickBot="1">
      <c r="A48" s="2640" t="s">
        <v>2535</v>
      </c>
      <c r="B48" s="2641" t="s">
        <v>2536</v>
      </c>
      <c r="C48" s="2372">
        <f ca="1">ROUND(F48*F50*F49*(1-F51)/10000,0)</f>
        <v>0</v>
      </c>
      <c r="D48" s="2373" t="s">
        <v>636</v>
      </c>
      <c r="E48" s="2374" t="s">
        <v>2296</v>
      </c>
      <c r="F48" s="2375"/>
      <c r="G48" s="2088"/>
      <c r="I48" s="3121" t="s">
        <v>2343</v>
      </c>
      <c r="J48" s="2380" t="s">
        <v>2348</v>
      </c>
      <c r="K48" s="3153" t="s">
        <v>2349</v>
      </c>
      <c r="L48" s="1906">
        <f ca="1">INDIRECT("'数据-取费表'!f"&amp;$G$1)</f>
        <v>68.67</v>
      </c>
      <c r="O48" s="2396" t="s">
        <v>2377</v>
      </c>
      <c r="P48" s="2397" t="s">
        <v>2403</v>
      </c>
      <c r="Q48" s="2398">
        <f ca="1">C40+J29</f>
        <v>60731</v>
      </c>
      <c r="R48" s="2397" t="s">
        <v>2378</v>
      </c>
    </row>
    <row r="49" spans="1:18" s="2057" customFormat="1" ht="18" customHeight="1" thickBot="1">
      <c r="A49" s="785"/>
      <c r="B49" s="786"/>
      <c r="C49" s="787"/>
      <c r="D49" s="788"/>
      <c r="E49" s="783" t="s">
        <v>1740</v>
      </c>
      <c r="F49" s="784">
        <f ca="1">F7</f>
        <v>23770.38</v>
      </c>
      <c r="G49" s="2088"/>
      <c r="H49" s="2091"/>
      <c r="I49" s="3121" t="s">
        <v>2344</v>
      </c>
      <c r="J49" s="2381">
        <v>2020</v>
      </c>
      <c r="K49" s="3154" t="s">
        <v>2350</v>
      </c>
      <c r="L49" s="2382"/>
      <c r="O49" s="2396" t="s">
        <v>2379</v>
      </c>
      <c r="P49" s="2397" t="s">
        <v>2404</v>
      </c>
      <c r="Q49" s="2398" t="str">
        <f ca="1">J60</f>
        <v>0</v>
      </c>
      <c r="R49" s="2397" t="s">
        <v>2380</v>
      </c>
    </row>
    <row r="50" spans="1:18" s="2057" customFormat="1" ht="18" customHeight="1" thickBot="1">
      <c r="A50" s="785"/>
      <c r="B50" s="786"/>
      <c r="C50" s="787"/>
      <c r="D50" s="788"/>
      <c r="E50" s="783" t="s">
        <v>1741</v>
      </c>
      <c r="F50" s="784">
        <f ca="1">F8</f>
        <v>365</v>
      </c>
      <c r="G50" s="2093"/>
      <c r="H50" s="2091"/>
      <c r="I50" s="3121" t="s">
        <v>2345</v>
      </c>
      <c r="J50" s="3149">
        <f>SUMPRODUCT((I63:I65=J47)*(J62:L62=J48)*(J63:L65))</f>
        <v>60</v>
      </c>
      <c r="K50" s="3154" t="s">
        <v>2351</v>
      </c>
      <c r="L50" s="2382"/>
      <c r="O50" s="2399" t="s">
        <v>2381</v>
      </c>
      <c r="P50" s="2397" t="s">
        <v>2405</v>
      </c>
      <c r="Q50" s="2398">
        <f ca="1">C29</f>
        <v>13573</v>
      </c>
      <c r="R50" s="2397" t="s">
        <v>2378</v>
      </c>
    </row>
    <row r="51" spans="1:18" s="2057" customFormat="1" ht="18" customHeight="1" thickBot="1">
      <c r="A51" s="785"/>
      <c r="B51" s="786"/>
      <c r="C51" s="787"/>
      <c r="D51" s="788"/>
      <c r="E51" s="783" t="s">
        <v>640</v>
      </c>
      <c r="F51" s="2369"/>
      <c r="H51" s="2091"/>
      <c r="I51" s="3146" t="s">
        <v>2346</v>
      </c>
      <c r="J51" s="3150">
        <f>IF(J49="",J50,J49+J50-YEAR('数据-取费表'!B2))</f>
        <v>62</v>
      </c>
      <c r="K51" s="3121" t="s">
        <v>2352</v>
      </c>
      <c r="L51" s="3157">
        <f ca="1">ROUND(-PV(INDIRECT("'数据-取费表'!h"&amp;$G$1),L48,(C39-C13*J36),0),0)</f>
        <v>11147</v>
      </c>
      <c r="O51" s="2399" t="s">
        <v>2382</v>
      </c>
      <c r="P51" s="2397" t="s">
        <v>2383</v>
      </c>
      <c r="Q51" s="2400" t="e">
        <f ca="1">J58</f>
        <v>#VALUE!</v>
      </c>
      <c r="R51" s="2401"/>
    </row>
    <row r="52" spans="1:18" s="2057" customFormat="1" ht="18" customHeight="1" thickBot="1">
      <c r="A52" s="780" t="s">
        <v>2534</v>
      </c>
      <c r="B52" s="2492" t="s">
        <v>2457</v>
      </c>
      <c r="C52" s="798">
        <f ca="1">ROUND(IF(F52="押一",C48/12*F11,IF(F52="押二",C48/12*2*F11,IF(F52="押三",C48/12*3*F11,C53*F11))),0)</f>
        <v>0</v>
      </c>
      <c r="D52" s="2499" t="s">
        <v>2963</v>
      </c>
      <c r="E52" s="2496" t="s">
        <v>2462</v>
      </c>
      <c r="F52" s="2619"/>
      <c r="I52" s="3147" t="s">
        <v>2419</v>
      </c>
      <c r="J52" s="2383">
        <v>0.09</v>
      </c>
      <c r="K52" s="3147" t="s">
        <v>2418</v>
      </c>
      <c r="L52" s="2383"/>
      <c r="O52" s="2399" t="s">
        <v>2384</v>
      </c>
      <c r="P52" s="2397" t="s">
        <v>2385</v>
      </c>
      <c r="Q52" s="2400">
        <f>J52</f>
        <v>0.09</v>
      </c>
      <c r="R52" s="2401"/>
    </row>
    <row r="53" spans="1:18" s="2057" customFormat="1" ht="39.75" customHeight="1" thickBot="1">
      <c r="A53" s="785"/>
      <c r="B53" s="2493" t="s">
        <v>2571</v>
      </c>
      <c r="C53" s="2497"/>
      <c r="D53" s="2499"/>
      <c r="E53" s="2496"/>
      <c r="F53" s="799"/>
      <c r="I53" s="3148" t="s">
        <v>2967</v>
      </c>
      <c r="J53" s="3151">
        <f ca="1">IF(M47="住宅",IF(D1="——",MAX(J51,L48),MAX(J51,L48-'数据-取费表'!B20)),IF(D1="——",MIN(J51,L48),MIN(J51,L48-'数据-取费表'!B20)))</f>
        <v>66.67</v>
      </c>
      <c r="K53" s="3587" t="s">
        <v>2954</v>
      </c>
      <c r="L53" s="3588"/>
      <c r="O53" s="2399" t="s">
        <v>2386</v>
      </c>
      <c r="P53" s="2397" t="s">
        <v>2387</v>
      </c>
      <c r="Q53" s="2398">
        <f ca="1">J53</f>
        <v>66.67</v>
      </c>
      <c r="R53" s="2397" t="s">
        <v>2388</v>
      </c>
    </row>
    <row r="54" spans="1:18" s="2057" customFormat="1" ht="18" customHeight="1" thickBot="1">
      <c r="A54" s="2535" t="s">
        <v>2465</v>
      </c>
      <c r="B54" s="2536" t="s">
        <v>2458</v>
      </c>
      <c r="C54" s="2537"/>
      <c r="D54" s="2499"/>
      <c r="E54" s="2496"/>
      <c r="F54" s="799"/>
      <c r="I54" s="205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84"/>
      <c r="O54" s="2396" t="s">
        <v>2389</v>
      </c>
      <c r="P54" s="2397" t="s">
        <v>2406</v>
      </c>
      <c r="Q54" s="2398">
        <f ca="1">Q48+Q49</f>
        <v>60731</v>
      </c>
      <c r="R54" s="2401" t="s">
        <v>2390</v>
      </c>
    </row>
    <row r="55" spans="1:18" s="2057" customFormat="1" ht="18" customHeight="1" thickTop="1" thickBot="1">
      <c r="A55" s="796">
        <v>2</v>
      </c>
      <c r="B55" s="797" t="s">
        <v>644</v>
      </c>
      <c r="C55" s="798">
        <f ca="1">C13</f>
        <v>13573</v>
      </c>
      <c r="D55" s="794"/>
      <c r="E55" s="794"/>
      <c r="F55" s="799"/>
      <c r="I55" s="3160" t="s">
        <v>2353</v>
      </c>
      <c r="J55" s="3096" t="e">
        <f ca="1">ROUND(IF(J47="钢混",J57/J50,1-(1-2%)*(J50-J57)/J50),3)</f>
        <v>#VALUE!</v>
      </c>
      <c r="K55" s="3161" t="s">
        <v>2354</v>
      </c>
      <c r="L55" s="2384"/>
      <c r="O55" s="2402" t="s">
        <v>2409</v>
      </c>
      <c r="P55" s="1591"/>
      <c r="Q55" s="1603"/>
      <c r="R55" s="1591"/>
    </row>
    <row r="56" spans="1:18" s="2057" customFormat="1" ht="42.75" customHeight="1" thickBot="1">
      <c r="A56" s="1649"/>
      <c r="B56" s="2229" t="s">
        <v>2302</v>
      </c>
      <c r="C56" s="53">
        <f ca="1">C29</f>
        <v>13573</v>
      </c>
      <c r="D56" s="2637"/>
      <c r="E56" s="783"/>
      <c r="F56" s="808"/>
      <c r="I56" s="3162" t="s">
        <v>2355</v>
      </c>
      <c r="J56" s="3172" t="s">
        <v>1679</v>
      </c>
      <c r="K56" s="3121" t="s">
        <v>2360</v>
      </c>
      <c r="L56" s="1906">
        <f ca="1">IF(L48&lt;J51,"——",L48-J51)</f>
        <v>6.6700000000000017</v>
      </c>
      <c r="O56" s="2393" t="s">
        <v>2373</v>
      </c>
      <c r="P56" s="2394" t="s">
        <v>2374</v>
      </c>
      <c r="Q56" s="2395" t="s">
        <v>2375</v>
      </c>
      <c r="R56" s="2394" t="s">
        <v>2376</v>
      </c>
    </row>
    <row r="57" spans="1:18" s="2057" customFormat="1" ht="28.5" customHeight="1" thickBot="1">
      <c r="A57" s="796" t="s">
        <v>1749</v>
      </c>
      <c r="B57" s="797" t="s">
        <v>651</v>
      </c>
      <c r="C57" s="798">
        <f ca="1">ROUND(C58+C63+C64+C65,0)</f>
        <v>226</v>
      </c>
      <c r="D57" s="26" t="s">
        <v>1751</v>
      </c>
      <c r="E57" s="2638"/>
      <c r="F57" s="56"/>
      <c r="I57" s="3163" t="s">
        <v>2356</v>
      </c>
      <c r="J57" s="3164" t="str">
        <f ca="1">IF(OR(M47="住宅",J51&lt;L48,J56="是"),"——",J51-L48)</f>
        <v>——</v>
      </c>
      <c r="K57" s="3121" t="s">
        <v>2361</v>
      </c>
      <c r="L57" s="1906">
        <f ca="1">IF(L48&lt;J51,"——",IF(L55="比较法",L49,IF(L55="基准地价",L50,L51)))</f>
        <v>11147</v>
      </c>
      <c r="O57" s="2396" t="s">
        <v>2377</v>
      </c>
      <c r="P57" s="2397" t="s">
        <v>2407</v>
      </c>
      <c r="Q57" s="2398">
        <f ca="1">C40+J29</f>
        <v>60731</v>
      </c>
      <c r="R57" s="2397" t="s">
        <v>2378</v>
      </c>
    </row>
    <row r="58" spans="1:18" s="2057" customFormat="1" ht="28.5" customHeight="1" thickBot="1">
      <c r="A58" s="1648" t="s">
        <v>1825</v>
      </c>
      <c r="B58" s="783" t="s">
        <v>656</v>
      </c>
      <c r="C58" s="53">
        <f ca="1">ROUND(IF(项目基本情况!B11="自然人",C47*F58,C59+C60+C61),1)</f>
        <v>1.5</v>
      </c>
      <c r="D58" s="2636" t="s">
        <v>657</v>
      </c>
      <c r="E58" s="2637" t="s">
        <v>690</v>
      </c>
      <c r="F58" s="809" t="str">
        <f ca="1">IF(项目基本情况!B11="企业","",IF(INDIRECT("'数据-取费表'!c"&amp;$G$1)="住宅",5%,IF(F48*F49*F50/12/(1+'数据-取费表'!C42)&gt;20000,12%,7%)))</f>
        <v/>
      </c>
      <c r="I58" s="3163" t="s">
        <v>2357</v>
      </c>
      <c r="J58" s="3097" t="e">
        <f ca="1">IF(J55&lt;0.4,0.4,J55)</f>
        <v>#VALUE!</v>
      </c>
      <c r="K58" s="3121" t="s">
        <v>2362</v>
      </c>
      <c r="L58" s="1906" t="e">
        <f ca="1">ROUND(POWER(1+L52,L47-L48)*(POWER(1+L52,L48)-1)/(POWER(1+L52,L47)-1),4)</f>
        <v>#DIV/0!</v>
      </c>
      <c r="O58" s="2396" t="s">
        <v>2379</v>
      </c>
      <c r="P58" s="2397" t="s">
        <v>2410</v>
      </c>
      <c r="Q58" s="2398">
        <f ca="1">L60</f>
        <v>0</v>
      </c>
      <c r="R58" s="2401" t="s">
        <v>2412</v>
      </c>
    </row>
    <row r="59" spans="1:18" s="2057" customFormat="1" ht="28.5" customHeight="1" thickBot="1">
      <c r="A59" s="1647" t="s">
        <v>1832</v>
      </c>
      <c r="B59" s="783" t="s">
        <v>660</v>
      </c>
      <c r="C59" s="53">
        <f ca="1">ROUND(C47*F59/1.05,1)</f>
        <v>0</v>
      </c>
      <c r="D59" s="2637" t="s">
        <v>1757</v>
      </c>
      <c r="E59" s="783" t="s">
        <v>1748</v>
      </c>
      <c r="F59" s="808">
        <f t="shared" ref="F59:F65" si="0">F32</f>
        <v>5.5000000000000007E-2</v>
      </c>
      <c r="I59" s="3163" t="s">
        <v>2358</v>
      </c>
      <c r="J59" s="3164" t="str">
        <f ca="1">IF(OR(M47="住宅",J51&lt;L48,J56="是"),"——",ROUND(C29*J58,0))</f>
        <v>——</v>
      </c>
      <c r="K59" s="3121"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99" t="s">
        <v>2381</v>
      </c>
      <c r="P59" s="2397" t="s">
        <v>2411</v>
      </c>
      <c r="Q59" s="2398">
        <f>IF(L55="比较法",L49,IF(L55="基准地价",L50,0))</f>
        <v>0</v>
      </c>
      <c r="R59" s="2397" t="s">
        <v>2378</v>
      </c>
    </row>
    <row r="60" spans="1:18" s="2057" customFormat="1" ht="18" customHeight="1" thickBot="1">
      <c r="A60" s="1647" t="s">
        <v>1833</v>
      </c>
      <c r="B60" s="783" t="s">
        <v>1759</v>
      </c>
      <c r="C60" s="53">
        <f ca="1">IF(D60="按租金收入计税",ROUND(C47*F60,1),IF(D60="按房产原值计税",ROUND(C56*F60*0.7,1),INDIRECT("'数据-取费表'!Aj"&amp;$G$1)))</f>
        <v>0</v>
      </c>
      <c r="D60" s="2637" t="str">
        <f>D33</f>
        <v>按租金收入计税</v>
      </c>
      <c r="E60" s="783" t="s">
        <v>1748</v>
      </c>
      <c r="F60" s="808">
        <f t="shared" si="0"/>
        <v>0.12</v>
      </c>
      <c r="I60" s="3165" t="s">
        <v>2359</v>
      </c>
      <c r="J60" s="3166" t="str">
        <f ca="1">IF(OR(M47="住宅",J51&lt;L48,J56="是"),"0",ROUND(J59/(1+J52)^J53,0))</f>
        <v>0</v>
      </c>
      <c r="K60" s="3167" t="s">
        <v>2364</v>
      </c>
      <c r="L60" s="3166">
        <f ca="1">IF(OR(M47="住宅",L48&lt;J51),0,ROUND(L57*(L58/L59-1),0))</f>
        <v>0</v>
      </c>
      <c r="O60" s="2399" t="s">
        <v>2382</v>
      </c>
      <c r="P60" s="2397" t="s">
        <v>2391</v>
      </c>
      <c r="Q60" s="2400">
        <f>L52</f>
        <v>0</v>
      </c>
      <c r="R60" s="2401"/>
    </row>
    <row r="61" spans="1:18" s="2057" customFormat="1" ht="18" customHeight="1" thickBot="1">
      <c r="A61" s="1650" t="s">
        <v>1834</v>
      </c>
      <c r="B61" s="340" t="s">
        <v>668</v>
      </c>
      <c r="C61" s="54">
        <f ca="1">ROUND(F61*F62/10000,1)</f>
        <v>1.5</v>
      </c>
      <c r="D61" s="813" t="s">
        <v>669</v>
      </c>
      <c r="E61" s="783" t="s">
        <v>670</v>
      </c>
      <c r="F61" s="639">
        <f t="shared" si="0"/>
        <v>1.5</v>
      </c>
      <c r="K61" s="2084"/>
      <c r="O61" s="2399" t="s">
        <v>2384</v>
      </c>
      <c r="P61" s="2397" t="s">
        <v>2392</v>
      </c>
      <c r="Q61" s="2398" t="e">
        <f ca="1">L58</f>
        <v>#DIV/0!</v>
      </c>
      <c r="R61" s="2401" t="s">
        <v>2393</v>
      </c>
    </row>
    <row r="62" spans="1:18" s="2057" customFormat="1" ht="15.75" thickBot="1">
      <c r="A62" s="814"/>
      <c r="B62" s="792"/>
      <c r="C62" s="69"/>
      <c r="D62" s="815"/>
      <c r="E62" s="783" t="s">
        <v>674</v>
      </c>
      <c r="F62" s="784">
        <f t="shared" ca="1" si="0"/>
        <v>9842.2800000000007</v>
      </c>
      <c r="I62" s="3168" t="s">
        <v>2365</v>
      </c>
      <c r="J62" s="3169" t="s">
        <v>2366</v>
      </c>
      <c r="K62" s="3169" t="s">
        <v>2367</v>
      </c>
      <c r="L62" s="3169" t="s">
        <v>2348</v>
      </c>
      <c r="M62" s="3170" t="s">
        <v>2930</v>
      </c>
      <c r="O62" s="2399" t="s">
        <v>2386</v>
      </c>
      <c r="P62" s="2397" t="str">
        <f>K59</f>
        <v>建设期及建筑物耐用年限下的土地年期修正系数Kn</v>
      </c>
      <c r="Q62" s="2398" t="e">
        <f ca="1">L59</f>
        <v>#DIV/0!</v>
      </c>
      <c r="R62" s="2401" t="s">
        <v>2395</v>
      </c>
    </row>
    <row r="63" spans="1:18" s="2057" customFormat="1" ht="15.75" thickBot="1">
      <c r="A63" s="1648" t="s">
        <v>1890</v>
      </c>
      <c r="B63" s="783" t="s">
        <v>676</v>
      </c>
      <c r="C63" s="53">
        <f ca="1">ROUND(C56*F63,1)</f>
        <v>203.6</v>
      </c>
      <c r="D63" s="2637" t="s">
        <v>1804</v>
      </c>
      <c r="E63" s="783" t="s">
        <v>1748</v>
      </c>
      <c r="F63" s="816">
        <f t="shared" ca="1" si="0"/>
        <v>1.4999999999999999E-2</v>
      </c>
      <c r="I63" s="3168" t="s">
        <v>2368</v>
      </c>
      <c r="J63" s="3169">
        <v>70</v>
      </c>
      <c r="K63" s="3169">
        <v>50</v>
      </c>
      <c r="L63" s="3169">
        <v>80</v>
      </c>
      <c r="M63" s="3171">
        <v>0.02</v>
      </c>
      <c r="O63" s="2396" t="s">
        <v>2389</v>
      </c>
      <c r="P63" s="2397" t="s">
        <v>2406</v>
      </c>
      <c r="Q63" s="2398">
        <f ca="1">Q57+Q58</f>
        <v>60731</v>
      </c>
      <c r="R63" s="2401" t="s">
        <v>2390</v>
      </c>
    </row>
    <row r="64" spans="1:18" s="2057" customFormat="1" ht="16.5" thickBot="1">
      <c r="A64" s="1648" t="s">
        <v>1891</v>
      </c>
      <c r="B64" s="783" t="s">
        <v>679</v>
      </c>
      <c r="C64" s="53">
        <f ca="1">ROUND(C55*F64,1)</f>
        <v>20.399999999999999</v>
      </c>
      <c r="D64" s="2637" t="s">
        <v>680</v>
      </c>
      <c r="E64" s="783" t="s">
        <v>1748</v>
      </c>
      <c r="F64" s="817">
        <f t="shared" ca="1" si="0"/>
        <v>1.5E-3</v>
      </c>
      <c r="I64" s="3168" t="s">
        <v>2369</v>
      </c>
      <c r="J64" s="3169">
        <v>50</v>
      </c>
      <c r="K64" s="3169">
        <v>35</v>
      </c>
      <c r="L64" s="3169">
        <v>60</v>
      </c>
      <c r="M64" s="845">
        <v>0</v>
      </c>
      <c r="O64" s="2402" t="s">
        <v>2413</v>
      </c>
      <c r="P64" s="1591"/>
      <c r="Q64" s="1603"/>
      <c r="R64" s="1591"/>
    </row>
    <row r="65" spans="1:18" s="2057" customFormat="1" ht="15.75" thickBot="1">
      <c r="A65" s="1648" t="s">
        <v>1892</v>
      </c>
      <c r="B65" s="783" t="s">
        <v>666</v>
      </c>
      <c r="C65" s="53">
        <f ca="1">ROUND(C47*F65,1)</f>
        <v>0</v>
      </c>
      <c r="D65" s="2637" t="s">
        <v>683</v>
      </c>
      <c r="E65" s="783" t="s">
        <v>1748</v>
      </c>
      <c r="F65" s="793">
        <f t="shared" ca="1" si="0"/>
        <v>1.4999999999999999E-2</v>
      </c>
      <c r="I65" s="3168" t="s">
        <v>2370</v>
      </c>
      <c r="J65" s="3169">
        <v>40</v>
      </c>
      <c r="K65" s="3169">
        <v>30</v>
      </c>
      <c r="L65" s="3169">
        <v>50</v>
      </c>
      <c r="M65" s="3171">
        <v>0.02</v>
      </c>
      <c r="O65" s="2393" t="s">
        <v>2373</v>
      </c>
      <c r="P65" s="2394" t="s">
        <v>2374</v>
      </c>
      <c r="Q65" s="2395" t="s">
        <v>2375</v>
      </c>
      <c r="R65" s="2394" t="s">
        <v>2376</v>
      </c>
    </row>
    <row r="66" spans="1:18" s="2057" customFormat="1" ht="24.75" thickBot="1">
      <c r="A66" s="796" t="s">
        <v>1777</v>
      </c>
      <c r="B66" s="3008" t="s">
        <v>2819</v>
      </c>
      <c r="C66" s="798">
        <f ca="1">C47-C57</f>
        <v>-226</v>
      </c>
      <c r="D66" s="2636" t="s">
        <v>700</v>
      </c>
      <c r="E66" s="2635"/>
      <c r="F66" s="819"/>
      <c r="K66" s="2084"/>
      <c r="O66" s="2396" t="s">
        <v>2377</v>
      </c>
      <c r="P66" s="2397" t="s">
        <v>2407</v>
      </c>
      <c r="Q66" s="2398">
        <f ca="1">C40+J29</f>
        <v>60731</v>
      </c>
      <c r="R66" s="2397" t="s">
        <v>2378</v>
      </c>
    </row>
    <row r="67" spans="1:18" s="2057" customFormat="1" ht="20.25" thickBot="1">
      <c r="A67" s="780" t="s">
        <v>1781</v>
      </c>
      <c r="B67" s="2230" t="s">
        <v>2301</v>
      </c>
      <c r="C67" s="782">
        <f ca="1">ROUND(C66*(1-((1+F69)/(1+F67))^F68)/(F67-F69),0)</f>
        <v>-4345</v>
      </c>
      <c r="D67" s="813" t="s">
        <v>704</v>
      </c>
      <c r="E67" s="783" t="s">
        <v>705</v>
      </c>
      <c r="F67" s="793">
        <f ca="1">F40</f>
        <v>0.05</v>
      </c>
      <c r="K67" s="2084"/>
      <c r="O67" s="2396" t="s">
        <v>2379</v>
      </c>
      <c r="P67" s="2397" t="s">
        <v>2410</v>
      </c>
      <c r="Q67" s="2398">
        <f ca="1">L60</f>
        <v>0</v>
      </c>
      <c r="R67" s="2401" t="s">
        <v>2412</v>
      </c>
    </row>
    <row r="68" spans="1:18" ht="21.75" thickBot="1">
      <c r="A68" s="785"/>
      <c r="B68" s="786"/>
      <c r="C68" s="787"/>
      <c r="D68" s="820" t="s">
        <v>1809</v>
      </c>
      <c r="E68" s="783" t="s">
        <v>1785</v>
      </c>
      <c r="F68" s="821">
        <f ca="1">F41</f>
        <v>66.67</v>
      </c>
      <c r="O68" s="2399" t="s">
        <v>2381</v>
      </c>
      <c r="P68" s="2397" t="s">
        <v>2411</v>
      </c>
      <c r="Q68" s="2403">
        <f ca="1">L51</f>
        <v>11147</v>
      </c>
      <c r="R68" s="2404" t="s">
        <v>2414</v>
      </c>
    </row>
    <row r="69" spans="1:18" ht="20.25" thickBot="1">
      <c r="A69" s="789"/>
      <c r="B69" s="790"/>
      <c r="C69" s="791"/>
      <c r="D69" s="815"/>
      <c r="E69" s="783" t="s">
        <v>710</v>
      </c>
      <c r="F69" s="2369"/>
      <c r="O69" s="2399" t="s">
        <v>2382</v>
      </c>
      <c r="P69" s="2405" t="s">
        <v>2396</v>
      </c>
      <c r="Q69" s="2398">
        <f ca="1">ROUND(Q70-Q71*Q72,0)</f>
        <v>527</v>
      </c>
      <c r="R69" s="2401"/>
    </row>
    <row r="70" spans="1:18" ht="15.75" thickBot="1">
      <c r="A70" s="822" t="s">
        <v>1788</v>
      </c>
      <c r="B70" s="823" t="s">
        <v>1811</v>
      </c>
      <c r="C70" s="824">
        <f ca="1">ROUND(C67*10000/F70,0)</f>
        <v>-1828</v>
      </c>
      <c r="D70" s="825" t="s">
        <v>1812</v>
      </c>
      <c r="E70" s="826" t="s">
        <v>1813</v>
      </c>
      <c r="F70" s="827">
        <f ca="1">F43</f>
        <v>23770.38</v>
      </c>
      <c r="O70" s="2399" t="s">
        <v>2397</v>
      </c>
      <c r="P70" s="2405" t="s">
        <v>2398</v>
      </c>
      <c r="Q70" s="2398">
        <f ca="1">C39</f>
        <v>1681</v>
      </c>
      <c r="R70" s="2397" t="s">
        <v>2378</v>
      </c>
    </row>
    <row r="71" spans="1:18" ht="15.75" thickBot="1">
      <c r="O71" s="2399" t="s">
        <v>2399</v>
      </c>
      <c r="P71" s="2405" t="s">
        <v>2400</v>
      </c>
      <c r="Q71" s="2398">
        <f ca="1">C13</f>
        <v>13573</v>
      </c>
      <c r="R71" s="2397" t="s">
        <v>2378</v>
      </c>
    </row>
    <row r="72" spans="1:18" ht="15.75" thickBot="1">
      <c r="O72" s="2399" t="s">
        <v>2401</v>
      </c>
      <c r="P72" s="2405" t="s">
        <v>2402</v>
      </c>
      <c r="Q72" s="2400">
        <f ca="1">J36</f>
        <v>8.5000000000000006E-2</v>
      </c>
      <c r="R72" s="2401"/>
    </row>
    <row r="73" spans="1:18" ht="15.75" thickBot="1">
      <c r="O73" s="2399" t="s">
        <v>2384</v>
      </c>
      <c r="P73" s="2397" t="s">
        <v>2391</v>
      </c>
      <c r="Q73" s="2400">
        <f>L52</f>
        <v>0</v>
      </c>
      <c r="R73" s="2401"/>
    </row>
    <row r="74" spans="1:18" ht="20.25" thickBot="1">
      <c r="O74" s="2399" t="s">
        <v>2386</v>
      </c>
      <c r="P74" s="2397" t="s">
        <v>2392</v>
      </c>
      <c r="Q74" s="2398" t="e">
        <f ca="1">L58</f>
        <v>#DIV/0!</v>
      </c>
      <c r="R74" s="2401" t="s">
        <v>2393</v>
      </c>
    </row>
    <row r="75" spans="1:18" ht="15.75" thickBot="1">
      <c r="O75" s="2399" t="s">
        <v>2415</v>
      </c>
      <c r="P75" s="2397" t="str">
        <f>K59</f>
        <v>建设期及建筑物耐用年限下的土地年期修正系数Kn</v>
      </c>
      <c r="Q75" s="2398" t="e">
        <f ca="1">L59</f>
        <v>#DIV/0!</v>
      </c>
      <c r="R75" s="2401" t="s">
        <v>2395</v>
      </c>
    </row>
    <row r="76" spans="1:18" ht="15.75" thickBot="1">
      <c r="O76" s="2396" t="s">
        <v>2389</v>
      </c>
      <c r="P76" s="2397" t="s">
        <v>2406</v>
      </c>
      <c r="Q76" s="2398">
        <f ca="1">Q66+Q67</f>
        <v>60731</v>
      </c>
      <c r="R76" s="2401" t="s">
        <v>2390</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105" priority="7">
      <formula>$L$48&gt;$J$51</formula>
    </cfRule>
  </conditionalFormatting>
  <conditionalFormatting sqref="I55">
    <cfRule type="expression" dxfId="104" priority="8">
      <formula>$J$51&gt;$L$48</formula>
    </cfRule>
  </conditionalFormatting>
  <conditionalFormatting sqref="I60">
    <cfRule type="expression" dxfId="103" priority="6">
      <formula>$J$51&gt;$L$48</formula>
    </cfRule>
  </conditionalFormatting>
  <conditionalFormatting sqref="K60">
    <cfRule type="expression" dxfId="102"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06" t="s">
        <v>2469</v>
      </c>
      <c r="B1" s="3607"/>
      <c r="C1" s="3608"/>
      <c r="D1" s="3609">
        <f>SUM(I10,I15,I20,I21,I23)</f>
        <v>0</v>
      </c>
      <c r="E1" s="3609"/>
      <c r="F1" s="3609"/>
      <c r="G1" s="3609"/>
      <c r="H1" s="3609"/>
      <c r="I1" s="3610"/>
    </row>
    <row r="2" spans="1:9">
      <c r="A2" s="3596" t="s">
        <v>2470</v>
      </c>
      <c r="B2" s="3597" t="s">
        <v>2471</v>
      </c>
      <c r="C2" s="3597"/>
      <c r="D2" s="2505" t="s">
        <v>2472</v>
      </c>
      <c r="E2" s="2505" t="s">
        <v>2473</v>
      </c>
      <c r="F2" s="2505" t="s">
        <v>2474</v>
      </c>
      <c r="G2" s="2505" t="s">
        <v>2475</v>
      </c>
      <c r="H2" s="2505" t="s">
        <v>2476</v>
      </c>
      <c r="I2" s="2506" t="s">
        <v>2477</v>
      </c>
    </row>
    <row r="3" spans="1:9">
      <c r="A3" s="3596"/>
      <c r="B3" s="3597" t="s">
        <v>2478</v>
      </c>
      <c r="C3" s="3597"/>
      <c r="D3" s="2507"/>
      <c r="E3" s="2505"/>
      <c r="F3" s="2508"/>
      <c r="G3" s="2508"/>
      <c r="H3" s="2509"/>
      <c r="I3" s="2510">
        <f>ROUND(D3*E3*F3*G3*H3/10000,0)</f>
        <v>0</v>
      </c>
    </row>
    <row r="4" spans="1:9">
      <c r="A4" s="3596"/>
      <c r="B4" s="3597" t="s">
        <v>2479</v>
      </c>
      <c r="C4" s="3597"/>
      <c r="D4" s="2507"/>
      <c r="E4" s="2505"/>
      <c r="F4" s="2508"/>
      <c r="G4" s="2508"/>
      <c r="H4" s="2509"/>
      <c r="I4" s="2510">
        <f t="shared" ref="I4:I9" si="0">ROUND(D4*E4*F4*G4*H4/10000,0)</f>
        <v>0</v>
      </c>
    </row>
    <row r="5" spans="1:9">
      <c r="A5" s="3596"/>
      <c r="B5" s="3597" t="s">
        <v>2480</v>
      </c>
      <c r="C5" s="3597"/>
      <c r="D5" s="2507"/>
      <c r="E5" s="2505"/>
      <c r="F5" s="2508"/>
      <c r="G5" s="2508"/>
      <c r="H5" s="2509"/>
      <c r="I5" s="2510">
        <f t="shared" si="0"/>
        <v>0</v>
      </c>
    </row>
    <row r="6" spans="1:9">
      <c r="A6" s="3596"/>
      <c r="B6" s="3597" t="s">
        <v>2481</v>
      </c>
      <c r="C6" s="3597"/>
      <c r="D6" s="2507"/>
      <c r="E6" s="2505"/>
      <c r="F6" s="2508"/>
      <c r="G6" s="2508"/>
      <c r="H6" s="2509"/>
      <c r="I6" s="2510">
        <f t="shared" si="0"/>
        <v>0</v>
      </c>
    </row>
    <row r="7" spans="1:9">
      <c r="A7" s="3596"/>
      <c r="B7" s="3597" t="s">
        <v>2482</v>
      </c>
      <c r="C7" s="3597"/>
      <c r="D7" s="2507"/>
      <c r="E7" s="2505"/>
      <c r="F7" s="2508"/>
      <c r="G7" s="2508"/>
      <c r="H7" s="2509"/>
      <c r="I7" s="2510">
        <f t="shared" si="0"/>
        <v>0</v>
      </c>
    </row>
    <row r="8" spans="1:9">
      <c r="A8" s="3596"/>
      <c r="B8" s="3597" t="s">
        <v>2483</v>
      </c>
      <c r="C8" s="3597"/>
      <c r="D8" s="2507"/>
      <c r="E8" s="2505"/>
      <c r="F8" s="2508"/>
      <c r="G8" s="2508"/>
      <c r="H8" s="2509"/>
      <c r="I8" s="2510">
        <f t="shared" si="0"/>
        <v>0</v>
      </c>
    </row>
    <row r="9" spans="1:9">
      <c r="A9" s="3596"/>
      <c r="B9" s="3597" t="s">
        <v>2484</v>
      </c>
      <c r="C9" s="3597"/>
      <c r="D9" s="2507"/>
      <c r="E9" s="2505"/>
      <c r="F9" s="2508"/>
      <c r="G9" s="2508"/>
      <c r="H9" s="2509"/>
      <c r="I9" s="2510">
        <f t="shared" si="0"/>
        <v>0</v>
      </c>
    </row>
    <row r="10" spans="1:9">
      <c r="A10" s="3596"/>
      <c r="B10" s="3598" t="s">
        <v>2485</v>
      </c>
      <c r="C10" s="3598"/>
      <c r="D10" s="2511">
        <v>527</v>
      </c>
      <c r="E10" s="2511" t="e">
        <f>ROUND(D1*10000/D10/H9,0)</f>
        <v>#DIV/0!</v>
      </c>
      <c r="F10" s="2512"/>
      <c r="G10" s="2512"/>
      <c r="H10" s="2513"/>
      <c r="I10" s="2514">
        <f>SUM(I3:I9)</f>
        <v>0</v>
      </c>
    </row>
    <row r="11" spans="1:9" ht="14.25">
      <c r="A11" s="3596" t="s">
        <v>2486</v>
      </c>
      <c r="B11" s="3597" t="s">
        <v>2487</v>
      </c>
      <c r="C11" s="3597"/>
      <c r="D11" s="2507" t="s">
        <v>2488</v>
      </c>
      <c r="E11" s="2507" t="s">
        <v>2489</v>
      </c>
      <c r="F11" s="2508" t="s">
        <v>2490</v>
      </c>
      <c r="G11" s="2508" t="s">
        <v>2491</v>
      </c>
      <c r="H11" s="2515" t="s">
        <v>2492</v>
      </c>
      <c r="I11" s="2506" t="s">
        <v>2493</v>
      </c>
    </row>
    <row r="12" spans="1:9">
      <c r="A12" s="3596"/>
      <c r="B12" s="3597" t="s">
        <v>2494</v>
      </c>
      <c r="C12" s="3597"/>
      <c r="D12" s="2507"/>
      <c r="E12" s="2507"/>
      <c r="F12" s="2508"/>
      <c r="G12" s="2509"/>
      <c r="H12" s="2516"/>
      <c r="I12" s="2506">
        <f>ROUND(D12*E12*F12*G12/10000,0)</f>
        <v>0</v>
      </c>
    </row>
    <row r="13" spans="1:9">
      <c r="A13" s="3596"/>
      <c r="B13" s="3597" t="s">
        <v>2495</v>
      </c>
      <c r="C13" s="3597"/>
      <c r="D13" s="2507"/>
      <c r="E13" s="2507"/>
      <c r="F13" s="2508"/>
      <c r="G13" s="2509"/>
      <c r="H13" s="2516"/>
      <c r="I13" s="2506">
        <f>ROUND(D13*E13*F13*G13/10000,0)</f>
        <v>0</v>
      </c>
    </row>
    <row r="14" spans="1:9">
      <c r="A14" s="3596"/>
      <c r="B14" s="3597" t="s">
        <v>2496</v>
      </c>
      <c r="C14" s="3597"/>
      <c r="D14" s="2507"/>
      <c r="E14" s="2507"/>
      <c r="F14" s="2508"/>
      <c r="G14" s="2509"/>
      <c r="H14" s="2516"/>
      <c r="I14" s="2506">
        <f>ROUND(D14*E14*F14*G14/10000,0)</f>
        <v>0</v>
      </c>
    </row>
    <row r="15" spans="1:9">
      <c r="A15" s="3596"/>
      <c r="B15" s="3598" t="s">
        <v>2485</v>
      </c>
      <c r="C15" s="3598"/>
      <c r="D15" s="2511"/>
      <c r="E15" s="2511">
        <f>SUM(E12:E14)</f>
        <v>0</v>
      </c>
      <c r="F15" s="2512"/>
      <c r="G15" s="2509"/>
      <c r="H15" s="2516"/>
      <c r="I15" s="2517">
        <f>SUM(I12:I14)</f>
        <v>0</v>
      </c>
    </row>
    <row r="16" spans="1:9" ht="24">
      <c r="A16" s="3596" t="s">
        <v>2497</v>
      </c>
      <c r="B16" s="3597" t="s">
        <v>2498</v>
      </c>
      <c r="C16" s="3597"/>
      <c r="D16" s="2507" t="s">
        <v>2499</v>
      </c>
      <c r="E16" s="2518" t="s">
        <v>2500</v>
      </c>
      <c r="F16" s="2508" t="s">
        <v>2501</v>
      </c>
      <c r="G16" s="2509" t="s">
        <v>2491</v>
      </c>
      <c r="H16" s="2515" t="s">
        <v>2492</v>
      </c>
      <c r="I16" s="2506" t="s">
        <v>2493</v>
      </c>
    </row>
    <row r="17" spans="1:9" ht="14.25">
      <c r="A17" s="3596"/>
      <c r="B17" s="3597" t="s">
        <v>2502</v>
      </c>
      <c r="C17" s="3597"/>
      <c r="D17" s="2507"/>
      <c r="E17" s="2507"/>
      <c r="F17" s="2508"/>
      <c r="G17" s="2509"/>
      <c r="H17" s="2519"/>
      <c r="I17" s="2520">
        <f>ROUND(D17*E17*F17*G17/10000,0)</f>
        <v>0</v>
      </c>
    </row>
    <row r="18" spans="1:9" ht="14.25">
      <c r="A18" s="3596"/>
      <c r="B18" s="3597" t="s">
        <v>2503</v>
      </c>
      <c r="C18" s="3597"/>
      <c r="D18" s="2507"/>
      <c r="E18" s="2507"/>
      <c r="F18" s="2508"/>
      <c r="G18" s="2509"/>
      <c r="H18" s="2519"/>
      <c r="I18" s="2520">
        <f>ROUND(D18*E18*F18*G18/10000,0)</f>
        <v>0</v>
      </c>
    </row>
    <row r="19" spans="1:9" ht="14.25">
      <c r="A19" s="3596"/>
      <c r="B19" s="3597" t="s">
        <v>2504</v>
      </c>
      <c r="C19" s="3597"/>
      <c r="D19" s="2507"/>
      <c r="E19" s="2507"/>
      <c r="F19" s="2508"/>
      <c r="G19" s="2509"/>
      <c r="H19" s="2519"/>
      <c r="I19" s="2520">
        <f>ROUND(D19*E19*F19*G19/10000,0)</f>
        <v>0</v>
      </c>
    </row>
    <row r="20" spans="1:9">
      <c r="A20" s="3596"/>
      <c r="B20" s="3598" t="s">
        <v>2485</v>
      </c>
      <c r="C20" s="3598"/>
      <c r="D20" s="2511">
        <f>SUM(D17:D19)</f>
        <v>0</v>
      </c>
      <c r="E20" s="2511"/>
      <c r="F20" s="2512"/>
      <c r="G20" s="2509"/>
      <c r="H20" s="2516"/>
      <c r="I20" s="2517">
        <f>SUM(I17:I19)</f>
        <v>0</v>
      </c>
    </row>
    <row r="21" spans="1:9">
      <c r="A21" s="3596" t="s">
        <v>2505</v>
      </c>
      <c r="B21" s="3599"/>
      <c r="C21" s="3599"/>
      <c r="D21" s="3599"/>
      <c r="E21" s="3599"/>
      <c r="F21" s="3599"/>
      <c r="G21" s="3599"/>
      <c r="H21" s="2521">
        <v>0.1</v>
      </c>
      <c r="I21" s="2514">
        <f>ROUND(I10*H21,0)</f>
        <v>0</v>
      </c>
    </row>
    <row r="22" spans="1:9" ht="14.25">
      <c r="A22" s="3600" t="s">
        <v>2506</v>
      </c>
      <c r="B22" s="3601"/>
      <c r="C22" s="3602"/>
      <c r="D22" s="2522" t="s">
        <v>2507</v>
      </c>
      <c r="E22" s="2522" t="s">
        <v>2508</v>
      </c>
      <c r="F22" s="2523" t="s">
        <v>2509</v>
      </c>
      <c r="G22" s="2523" t="s">
        <v>2510</v>
      </c>
      <c r="H22" s="2515" t="s">
        <v>2511</v>
      </c>
      <c r="I22" s="2506" t="s">
        <v>2512</v>
      </c>
    </row>
    <row r="23" spans="1:9" ht="14.25" thickBot="1">
      <c r="A23" s="3603"/>
      <c r="B23" s="3604"/>
      <c r="C23" s="3605"/>
      <c r="D23" s="2524"/>
      <c r="E23" s="2524"/>
      <c r="F23" s="2524"/>
      <c r="G23" s="2525"/>
      <c r="H23" s="2526"/>
      <c r="I23" s="2527">
        <f>ROUND(E23*D23*F23*(1-G23)/10000,0)</f>
        <v>0</v>
      </c>
    </row>
    <row r="26" spans="1:9">
      <c r="A26" s="2528" t="s">
        <v>2513</v>
      </c>
      <c r="B26" s="2528"/>
      <c r="C26" s="2528"/>
      <c r="D26" s="2528"/>
      <c r="E26" s="3593">
        <f>C27-C30-C31-C32</f>
        <v>0</v>
      </c>
      <c r="F26" s="3593"/>
      <c r="G26" s="3593"/>
      <c r="H26" s="3041" t="s">
        <v>2840</v>
      </c>
    </row>
    <row r="27" spans="1:9">
      <c r="A27" s="2529">
        <v>1</v>
      </c>
      <c r="B27" s="2530" t="s">
        <v>2514</v>
      </c>
      <c r="C27" s="2530"/>
      <c r="D27" s="2530"/>
      <c r="E27" s="3594"/>
      <c r="F27" s="3594"/>
      <c r="G27" s="3594"/>
    </row>
    <row r="28" spans="1:9">
      <c r="A28" s="2531" t="s">
        <v>2515</v>
      </c>
      <c r="B28" s="2530" t="s">
        <v>2516</v>
      </c>
      <c r="C28" s="2530"/>
      <c r="D28" s="2530"/>
      <c r="E28" s="3594"/>
      <c r="F28" s="3594"/>
      <c r="G28" s="3594"/>
    </row>
    <row r="29" spans="1:9">
      <c r="A29" s="2531" t="s">
        <v>2517</v>
      </c>
      <c r="B29" s="2530" t="s">
        <v>2458</v>
      </c>
      <c r="C29" s="2530"/>
      <c r="D29" s="2530"/>
      <c r="E29" s="2530" t="s">
        <v>2518</v>
      </c>
      <c r="F29" s="2530"/>
      <c r="G29" s="2530"/>
    </row>
    <row r="30" spans="1:9">
      <c r="A30" s="2529">
        <v>2</v>
      </c>
      <c r="B30" s="2530" t="s">
        <v>2519</v>
      </c>
      <c r="C30" s="2530">
        <f>C27*D30</f>
        <v>0</v>
      </c>
      <c r="D30" s="2532">
        <v>0.2</v>
      </c>
      <c r="E30" s="2530" t="s">
        <v>2520</v>
      </c>
      <c r="F30" s="2530"/>
      <c r="G30" s="2530"/>
    </row>
    <row r="31" spans="1:9">
      <c r="A31" s="2529">
        <v>3</v>
      </c>
      <c r="B31" s="2530" t="s">
        <v>2521</v>
      </c>
      <c r="C31" s="2530">
        <f>C25*D31</f>
        <v>0</v>
      </c>
      <c r="D31" s="2532">
        <v>0.15</v>
      </c>
      <c r="E31" s="2530" t="s">
        <v>2522</v>
      </c>
      <c r="F31" s="2530"/>
      <c r="G31" s="2530"/>
    </row>
    <row r="32" spans="1:9">
      <c r="A32" s="2529">
        <v>4</v>
      </c>
      <c r="B32" s="2530" t="s">
        <v>2523</v>
      </c>
      <c r="C32" s="2530">
        <f>C27*D32</f>
        <v>0</v>
      </c>
      <c r="D32" s="2532">
        <v>0.05</v>
      </c>
      <c r="E32" s="3595"/>
      <c r="F32" s="3595"/>
      <c r="G32" s="3595"/>
    </row>
    <row r="33" spans="1:7" hidden="1">
      <c r="A33" s="3590" t="s">
        <v>2524</v>
      </c>
      <c r="B33" s="3591"/>
      <c r="C33" s="3591"/>
      <c r="D33" s="3592"/>
      <c r="E33" s="3593"/>
      <c r="F33" s="3593"/>
      <c r="G33" s="3593"/>
    </row>
    <row r="34" spans="1:7" hidden="1">
      <c r="A34" s="2533">
        <v>1</v>
      </c>
      <c r="B34" s="2530" t="s">
        <v>2525</v>
      </c>
      <c r="C34" s="2530"/>
      <c r="D34" s="2530"/>
      <c r="E34" s="3594"/>
      <c r="F34" s="3594"/>
      <c r="G34" s="3594"/>
    </row>
    <row r="35" spans="1:7" hidden="1">
      <c r="A35" s="2533">
        <v>2</v>
      </c>
      <c r="B35" s="2530" t="s">
        <v>2526</v>
      </c>
      <c r="C35" s="2530"/>
      <c r="D35" s="2530"/>
      <c r="E35" s="3594"/>
      <c r="F35" s="3594"/>
      <c r="G35" s="3594"/>
    </row>
    <row r="36" spans="1:7" hidden="1">
      <c r="A36" s="2533">
        <v>3</v>
      </c>
      <c r="B36" s="2530" t="s">
        <v>2527</v>
      </c>
      <c r="C36" s="2530"/>
      <c r="D36" s="2530"/>
      <c r="E36" s="3594"/>
      <c r="F36" s="3594"/>
      <c r="G36" s="3594"/>
    </row>
    <row r="37" spans="1:7" hidden="1">
      <c r="A37" s="2533">
        <v>4</v>
      </c>
      <c r="B37" s="2530" t="s">
        <v>2528</v>
      </c>
      <c r="C37" s="2530"/>
      <c r="D37" s="2530"/>
      <c r="E37" s="3594"/>
      <c r="F37" s="3594"/>
      <c r="G37" s="3594"/>
    </row>
    <row r="38" spans="1:7" hidden="1">
      <c r="A38" s="3590" t="s">
        <v>2529</v>
      </c>
      <c r="B38" s="3591"/>
      <c r="C38" s="3591"/>
      <c r="D38" s="3592"/>
      <c r="E38" s="3593"/>
      <c r="F38" s="3593"/>
      <c r="G38" s="359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0" t="s">
        <v>603</v>
      </c>
      <c r="B1" s="741"/>
      <c r="C1" s="2180"/>
      <c r="D1" s="2180"/>
      <c r="E1" s="2180"/>
      <c r="F1" s="2180"/>
      <c r="G1" s="2106"/>
    </row>
    <row r="2" spans="1:25" s="2057" customFormat="1" ht="18" customHeight="1">
      <c r="A2" s="422" t="s">
        <v>467</v>
      </c>
      <c r="B2" s="424">
        <f ca="1">C23</f>
        <v>0</v>
      </c>
      <c r="C2" s="2106"/>
      <c r="D2" s="2106"/>
      <c r="E2" s="2106"/>
      <c r="F2" s="2106"/>
      <c r="G2" s="2106"/>
    </row>
    <row r="3" spans="1:25" s="2057" customFormat="1" ht="18" customHeight="1">
      <c r="A3" s="1378" t="s">
        <v>1686</v>
      </c>
      <c r="B3" s="424">
        <f ca="1">ROUND(B2*10000/'数据-汇总表'!E3,0)</f>
        <v>0</v>
      </c>
      <c r="C3" s="2106"/>
      <c r="D3" s="2106"/>
      <c r="E3" s="2106"/>
      <c r="F3" s="2106"/>
      <c r="G3" s="2106"/>
    </row>
    <row r="4" spans="1:25" s="2057" customFormat="1" ht="18" customHeight="1">
      <c r="A4" s="425" t="s">
        <v>468</v>
      </c>
      <c r="B4" s="426">
        <f ca="1">ROUND(B2*10000/'数据-汇总表'!D3,0)</f>
        <v>0</v>
      </c>
      <c r="C4" s="2059"/>
      <c r="D4" s="2106"/>
      <c r="E4" s="2106"/>
      <c r="F4" s="2106"/>
      <c r="G4" s="2106"/>
    </row>
    <row r="5" spans="1:25" s="2057" customFormat="1" ht="18" customHeight="1" thickBot="1">
      <c r="A5" s="428"/>
      <c r="B5" s="429">
        <f ca="1">ROUND(B2/('数据-汇总表'!D3/666.67),0)</f>
        <v>0</v>
      </c>
      <c r="C5" s="430" t="s">
        <v>469</v>
      </c>
      <c r="D5" s="2106"/>
      <c r="E5" s="2106"/>
      <c r="F5" s="2106"/>
      <c r="G5" s="2106"/>
    </row>
    <row r="6" spans="1:25" s="2181" customFormat="1" ht="13.5" customHeight="1">
      <c r="A6" s="742"/>
      <c r="B6" s="743" t="s">
        <v>604</v>
      </c>
      <c r="C6" s="744" t="s">
        <v>605</v>
      </c>
      <c r="D6" s="744" t="s">
        <v>606</v>
      </c>
      <c r="E6" s="745" t="s">
        <v>607</v>
      </c>
      <c r="F6" s="745" t="s">
        <v>608</v>
      </c>
      <c r="G6" s="746"/>
    </row>
    <row r="7" spans="1:25" s="2181" customFormat="1" ht="13.5" customHeight="1">
      <c r="A7" s="2467">
        <v>1</v>
      </c>
      <c r="B7" s="747" t="s">
        <v>609</v>
      </c>
      <c r="C7" s="748">
        <f>C8+C9</f>
        <v>0</v>
      </c>
      <c r="D7" s="748"/>
      <c r="E7" s="749"/>
      <c r="F7" s="749"/>
      <c r="G7" s="2477"/>
    </row>
    <row r="8" spans="1:25" s="2181" customFormat="1" ht="13.5" customHeight="1">
      <c r="A8" s="2467" t="s">
        <v>2438</v>
      </c>
      <c r="B8" s="2470" t="s">
        <v>2440</v>
      </c>
      <c r="C8" s="2471"/>
      <c r="D8" s="748"/>
      <c r="E8" s="749"/>
      <c r="F8" s="749"/>
      <c r="G8" s="750"/>
    </row>
    <row r="9" spans="1:25" s="2181" customFormat="1" ht="13.5" customHeight="1">
      <c r="A9" s="2467" t="s">
        <v>2439</v>
      </c>
      <c r="B9" s="2470" t="s">
        <v>2441</v>
      </c>
      <c r="C9" s="2471"/>
      <c r="D9" s="748"/>
      <c r="E9" s="749"/>
      <c r="F9" s="749"/>
      <c r="G9" s="750"/>
    </row>
    <row r="10" spans="1:25" s="2181" customFormat="1" ht="36">
      <c r="A10" s="2467">
        <v>2</v>
      </c>
      <c r="B10" s="747" t="s">
        <v>613</v>
      </c>
      <c r="C10" s="748">
        <f>C11+C14+C15</f>
        <v>0</v>
      </c>
      <c r="D10" s="759">
        <f>'数据-汇总表'!E3</f>
        <v>169816</v>
      </c>
      <c r="E10" s="748">
        <f>'数据-取费表'!B31</f>
        <v>100</v>
      </c>
      <c r="F10" s="760"/>
      <c r="G10" s="758" t="s">
        <v>614</v>
      </c>
    </row>
    <row r="11" spans="1:25" s="2181" customFormat="1" ht="13.5" customHeight="1">
      <c r="A11" s="2467" t="s">
        <v>2438</v>
      </c>
      <c r="B11" s="751" t="s">
        <v>610</v>
      </c>
      <c r="C11" s="752">
        <f>'数据-取费表'!B29</f>
        <v>0</v>
      </c>
      <c r="D11" s="753"/>
      <c r="E11" s="752"/>
      <c r="F11" s="754"/>
      <c r="G11" s="2476" t="s">
        <v>2449</v>
      </c>
    </row>
    <row r="12" spans="1:25" s="2181" customFormat="1" ht="13.5" customHeight="1">
      <c r="A12" s="2474" t="s">
        <v>2446</v>
      </c>
      <c r="B12" s="755" t="s">
        <v>611</v>
      </c>
      <c r="C12" s="756">
        <f>ROUND(D12*E12/10000,0)</f>
        <v>0</v>
      </c>
      <c r="D12" s="757">
        <f>'数据-汇总表'!E5</f>
        <v>64609.999999999985</v>
      </c>
      <c r="E12" s="756">
        <f>'数据-取费表'!B27</f>
        <v>0</v>
      </c>
      <c r="F12" s="754"/>
      <c r="G12" s="758"/>
    </row>
    <row r="13" spans="1:25" s="2181" customFormat="1" ht="13.5" customHeight="1">
      <c r="A13" s="2474" t="s">
        <v>2445</v>
      </c>
      <c r="B13" s="755" t="s">
        <v>612</v>
      </c>
      <c r="C13" s="756">
        <f>ROUND(D13*E13/10000,0)</f>
        <v>0</v>
      </c>
      <c r="D13" s="757">
        <f>'数据-汇总表'!E6</f>
        <v>105206.00000000001</v>
      </c>
      <c r="E13" s="756">
        <f>'数据-取费表'!B28</f>
        <v>0</v>
      </c>
      <c r="F13" s="754"/>
      <c r="G13" s="758"/>
    </row>
    <row r="14" spans="1:25" s="2181" customFormat="1" ht="13.5" customHeight="1">
      <c r="A14" s="2467" t="s">
        <v>2439</v>
      </c>
      <c r="B14" s="2473" t="s">
        <v>2442</v>
      </c>
      <c r="C14" s="2471"/>
      <c r="D14" s="757"/>
      <c r="E14" s="756"/>
      <c r="F14" s="2472"/>
      <c r="G14" s="2475" t="s">
        <v>2447</v>
      </c>
    </row>
    <row r="15" spans="1:25" s="2181" customFormat="1" ht="13.5" customHeight="1">
      <c r="A15" s="2467" t="s">
        <v>2444</v>
      </c>
      <c r="B15" s="2473" t="s">
        <v>2443</v>
      </c>
      <c r="C15" s="2471"/>
      <c r="D15" s="757"/>
      <c r="E15" s="756"/>
      <c r="F15" s="2472"/>
      <c r="G15" s="2475" t="s">
        <v>2448</v>
      </c>
    </row>
    <row r="16" spans="1:25" s="2182" customFormat="1" ht="48">
      <c r="A16" s="2467">
        <v>3</v>
      </c>
      <c r="B16" s="747" t="s">
        <v>615</v>
      </c>
      <c r="C16" s="2471"/>
      <c r="D16" s="759"/>
      <c r="E16" s="748"/>
      <c r="F16" s="760"/>
      <c r="G16" s="758" t="s">
        <v>2450</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68">
        <v>4</v>
      </c>
      <c r="B17" s="747" t="s">
        <v>616</v>
      </c>
      <c r="C17" s="2571">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79"/>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68">
        <v>5</v>
      </c>
      <c r="B18" s="747" t="s">
        <v>617</v>
      </c>
      <c r="C18" s="748">
        <f>ROUND((C7+C10+C16)*F18,0)</f>
        <v>0</v>
      </c>
      <c r="D18" s="761"/>
      <c r="E18" s="762"/>
      <c r="F18" s="760">
        <f>'数据-取费表'!Q16</f>
        <v>0.08</v>
      </c>
      <c r="G18" s="764"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67">
        <v>6</v>
      </c>
      <c r="B19" s="747" t="s">
        <v>619</v>
      </c>
      <c r="C19" s="748">
        <f ca="1">C7+C10+C16+C17+C18</f>
        <v>0</v>
      </c>
      <c r="D19" s="759"/>
      <c r="E19" s="748"/>
      <c r="F19" s="760"/>
      <c r="G19" s="764"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67">
        <v>7</v>
      </c>
      <c r="B20" s="747" t="s">
        <v>621</v>
      </c>
      <c r="C20" s="748">
        <f ca="1">ROUND(C19*F20,0)</f>
        <v>0</v>
      </c>
      <c r="D20" s="759"/>
      <c r="E20" s="748"/>
      <c r="F20" s="1348"/>
      <c r="G20" s="764"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67">
        <v>8</v>
      </c>
      <c r="B21" s="747" t="s">
        <v>623</v>
      </c>
      <c r="C21" s="748">
        <f ca="1">C19+C20</f>
        <v>0</v>
      </c>
      <c r="D21" s="759"/>
      <c r="E21" s="748"/>
      <c r="F21" s="760"/>
      <c r="G21" s="764"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67">
        <v>9</v>
      </c>
      <c r="B22" s="747" t="s">
        <v>625</v>
      </c>
      <c r="C22" s="748">
        <f ca="1">ROUND(C21*F22,0)</f>
        <v>0</v>
      </c>
      <c r="D22" s="759"/>
      <c r="E22" s="748"/>
      <c r="F22" s="765">
        <f>'数据-取费表'!AP16</f>
        <v>0.91100000000000003</v>
      </c>
      <c r="G22" s="764"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69">
        <v>10</v>
      </c>
      <c r="B23" s="766" t="s">
        <v>627</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21" t="s">
        <v>719</v>
      </c>
      <c r="C1" s="2622" t="s">
        <v>720</v>
      </c>
      <c r="D1" s="2623"/>
      <c r="E1" s="2624"/>
      <c r="F1" s="2805"/>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467</v>
      </c>
      <c r="B2" s="2620" t="e">
        <f>ROUND(B3*D3/10000,0)</f>
        <v>#DIV/0!</v>
      </c>
      <c r="C2" s="2125"/>
      <c r="D2" s="2125"/>
      <c r="E2" s="2125"/>
      <c r="F2" s="2199"/>
      <c r="G2" s="2125"/>
      <c r="H2" s="2125"/>
      <c r="I2" s="2125"/>
      <c r="J2" s="2125"/>
      <c r="K2" s="2200"/>
      <c r="L2" s="2201"/>
      <c r="M2" s="2202"/>
      <c r="N2" s="2202"/>
      <c r="O2" s="2202"/>
      <c r="P2" s="1601"/>
      <c r="Q2" s="1601"/>
      <c r="R2" s="1601"/>
      <c r="S2" s="1601"/>
      <c r="T2" s="1601"/>
      <c r="U2" s="1601"/>
      <c r="V2" s="1601"/>
      <c r="W2" s="1601"/>
      <c r="X2" s="1601"/>
      <c r="Y2" s="1601"/>
      <c r="Z2" s="1601"/>
      <c r="AA2" s="1601"/>
      <c r="AB2" s="1601"/>
      <c r="AC2" s="1602"/>
    </row>
    <row r="3" spans="1:29" s="1361" customFormat="1" ht="28.5" customHeight="1" thickBot="1">
      <c r="A3" s="508" t="s">
        <v>519</v>
      </c>
      <c r="B3" s="850" t="e">
        <f>C49</f>
        <v>#DIV/0!</v>
      </c>
      <c r="C3" s="851" t="s">
        <v>722</v>
      </c>
      <c r="D3" s="850">
        <f>SUMIF('数据-汇总表'!$C19:$C33,D1,'数据-汇总表'!$E19:$E33)</f>
        <v>0</v>
      </c>
      <c r="E3" s="2125"/>
      <c r="F3" s="2199"/>
      <c r="G3" s="2125"/>
      <c r="H3" s="2125"/>
      <c r="I3" s="2125"/>
      <c r="J3" s="2125"/>
      <c r="K3" s="2200"/>
      <c r="L3" s="2201"/>
      <c r="M3" s="2202"/>
      <c r="N3" s="2202"/>
      <c r="O3" s="2202"/>
      <c r="P3" s="1601"/>
      <c r="Q3" s="1601"/>
      <c r="R3" s="1601"/>
      <c r="S3" s="1601"/>
      <c r="T3" s="1601"/>
      <c r="U3" s="1601"/>
      <c r="V3" s="1601"/>
      <c r="W3" s="1601"/>
      <c r="X3" s="1601"/>
      <c r="Y3" s="1601"/>
      <c r="Z3" s="1601"/>
      <c r="AA3" s="1601"/>
      <c r="AB3" s="1601"/>
      <c r="AC3" s="1603"/>
    </row>
    <row r="4" spans="1:29" ht="15">
      <c r="A4" s="511" t="s">
        <v>521</v>
      </c>
      <c r="B4" s="512"/>
      <c r="C4" s="3513" t="s">
        <v>522</v>
      </c>
      <c r="D4" s="3514"/>
      <c r="E4" s="3537" t="s">
        <v>523</v>
      </c>
      <c r="F4" s="3538"/>
      <c r="G4" s="3513" t="s">
        <v>524</v>
      </c>
      <c r="H4" s="3514"/>
      <c r="I4" s="3513" t="s">
        <v>525</v>
      </c>
      <c r="J4" s="3514"/>
      <c r="K4" s="852" t="s">
        <v>526</v>
      </c>
      <c r="L4" s="2131"/>
      <c r="M4" s="2132"/>
      <c r="N4" s="2132"/>
      <c r="O4" s="2132"/>
      <c r="P4" s="3515" t="s">
        <v>527</v>
      </c>
      <c r="Q4" s="3516"/>
      <c r="R4" s="3501" t="s">
        <v>523</v>
      </c>
      <c r="S4" s="3502"/>
      <c r="T4" s="3501" t="s">
        <v>524</v>
      </c>
      <c r="U4" s="3502"/>
      <c r="V4" s="3521" t="s">
        <v>525</v>
      </c>
      <c r="W4" s="3521"/>
      <c r="X4" s="1566"/>
      <c r="Y4" s="3501" t="s">
        <v>527</v>
      </c>
      <c r="Z4" s="3502"/>
      <c r="AA4" s="3496" t="s">
        <v>523</v>
      </c>
      <c r="AB4" s="3496" t="s">
        <v>524</v>
      </c>
      <c r="AC4" s="3496" t="s">
        <v>525</v>
      </c>
    </row>
    <row r="5" spans="1:29" ht="15">
      <c r="A5" s="514"/>
      <c r="B5" s="515"/>
      <c r="C5" s="3541" t="s">
        <v>2915</v>
      </c>
      <c r="D5" s="3542"/>
      <c r="E5" s="3539" t="s">
        <v>2916</v>
      </c>
      <c r="F5" s="3540"/>
      <c r="G5" s="3541" t="s">
        <v>2917</v>
      </c>
      <c r="H5" s="3542"/>
      <c r="I5" s="3541" t="s">
        <v>2918</v>
      </c>
      <c r="J5" s="3542"/>
      <c r="K5" s="853"/>
      <c r="L5" s="2131"/>
      <c r="M5" s="2132"/>
      <c r="N5" s="2132"/>
      <c r="O5" s="2132"/>
      <c r="P5" s="3517"/>
      <c r="Q5" s="3518"/>
      <c r="R5" s="3503"/>
      <c r="S5" s="3504"/>
      <c r="T5" s="3503"/>
      <c r="U5" s="3504"/>
      <c r="V5" s="3521"/>
      <c r="W5" s="3521"/>
      <c r="X5" s="1566"/>
      <c r="Y5" s="3503"/>
      <c r="Z5" s="3504"/>
      <c r="AA5" s="3497"/>
      <c r="AB5" s="3497"/>
      <c r="AC5" s="3497"/>
    </row>
    <row r="6" spans="1:29" ht="15.75" thickBot="1">
      <c r="A6" s="516"/>
      <c r="B6" s="517"/>
      <c r="C6" s="3543" t="s">
        <v>2919</v>
      </c>
      <c r="D6" s="3544"/>
      <c r="E6" s="3545" t="s">
        <v>2919</v>
      </c>
      <c r="F6" s="3546"/>
      <c r="G6" s="3543" t="s">
        <v>2919</v>
      </c>
      <c r="H6" s="3544"/>
      <c r="I6" s="3543" t="s">
        <v>2919</v>
      </c>
      <c r="J6" s="3544"/>
      <c r="K6" s="853" t="s">
        <v>528</v>
      </c>
      <c r="L6" s="2131"/>
      <c r="M6" s="2132"/>
      <c r="N6" s="2132"/>
      <c r="O6" s="2132"/>
      <c r="P6" s="3519"/>
      <c r="Q6" s="3520"/>
      <c r="R6" s="3503"/>
      <c r="S6" s="3504"/>
      <c r="T6" s="3505"/>
      <c r="U6" s="3506"/>
      <c r="V6" s="3521"/>
      <c r="W6" s="3521"/>
      <c r="X6" s="1566"/>
      <c r="Y6" s="3505"/>
      <c r="Z6" s="3506"/>
      <c r="AA6" s="3498"/>
      <c r="AB6" s="3498"/>
      <c r="AC6" s="3498"/>
    </row>
    <row r="7" spans="1:29" s="1219" customFormat="1" ht="15.75" thickBot="1">
      <c r="A7" s="2909"/>
      <c r="B7" s="2916" t="s">
        <v>529</v>
      </c>
      <c r="C7" s="518">
        <f>'数据-取费表'!B2</f>
        <v>43444</v>
      </c>
      <c r="D7" s="519">
        <v>100</v>
      </c>
      <c r="E7" s="520"/>
      <c r="F7" s="521">
        <f>SUMIF(58:58,YEAR(E7)&amp;"-"&amp;MONTH(E7),59:59)</f>
        <v>0</v>
      </c>
      <c r="G7" s="522"/>
      <c r="H7" s="519">
        <f>SUMIF(58:58,YEAR(G7)&amp;"-"&amp;MONTH(G7),59:59)</f>
        <v>0</v>
      </c>
      <c r="I7" s="522"/>
      <c r="J7" s="519">
        <f>SUMIF(58:58,YEAR(I7)&amp;"-"&amp;MONTH(I7),59:59)</f>
        <v>0</v>
      </c>
      <c r="K7" s="854"/>
      <c r="L7" s="2133"/>
      <c r="M7" s="2134"/>
      <c r="N7" s="2134"/>
      <c r="O7" s="2134"/>
      <c r="P7" s="3499" t="s">
        <v>530</v>
      </c>
      <c r="Q7" s="3508"/>
      <c r="R7" s="1567" t="s">
        <v>13</v>
      </c>
      <c r="S7" s="1568">
        <f t="shared" ref="S7:S15" si="0">F7</f>
        <v>0</v>
      </c>
      <c r="T7" s="1567" t="s">
        <v>13</v>
      </c>
      <c r="U7" s="1568">
        <f t="shared" ref="U7:U15" si="1">H7</f>
        <v>0</v>
      </c>
      <c r="V7" s="1567" t="s">
        <v>13</v>
      </c>
      <c r="W7" s="1568">
        <f t="shared" ref="W7:W15" si="2">J7</f>
        <v>0</v>
      </c>
      <c r="X7" s="1569"/>
      <c r="Y7" s="3499" t="s">
        <v>530</v>
      </c>
      <c r="Z7" s="3500"/>
      <c r="AA7" s="1570" t="e">
        <f>D7/F7</f>
        <v>#DIV/0!</v>
      </c>
      <c r="AB7" s="1570" t="e">
        <f>D7/H7</f>
        <v>#DIV/0!</v>
      </c>
      <c r="AC7" s="1570" t="e">
        <f>D7/J7</f>
        <v>#DIV/0!</v>
      </c>
    </row>
    <row r="8" spans="1:29" s="1219" customFormat="1" ht="15.75" thickBot="1">
      <c r="A8" s="2910"/>
      <c r="B8" s="2917" t="s">
        <v>531</v>
      </c>
      <c r="C8" s="524" t="s">
        <v>576</v>
      </c>
      <c r="D8" s="519">
        <v>100</v>
      </c>
      <c r="E8" s="855"/>
      <c r="F8" s="521">
        <f>SUMIF(61:61,E8,62:62)-SUMIF(61:61,C8,62:62)+100</f>
        <v>0</v>
      </c>
      <c r="G8" s="524"/>
      <c r="H8" s="519">
        <f>SUMIF(61:61,G8,62:62)-SUMIF(61:61,C8,62:62)+100</f>
        <v>0</v>
      </c>
      <c r="I8" s="855"/>
      <c r="J8" s="519">
        <f>SUMIF(61:61,I8,62:62)-SUMIF(61:61,C8,62:62)+100</f>
        <v>0</v>
      </c>
      <c r="K8" s="854"/>
      <c r="L8" s="2133"/>
      <c r="M8" s="2134"/>
      <c r="N8" s="2134"/>
      <c r="O8" s="2134"/>
      <c r="P8" s="3499" t="s">
        <v>533</v>
      </c>
      <c r="Q8" s="3500"/>
      <c r="R8" s="1567" t="s">
        <v>13</v>
      </c>
      <c r="S8" s="1568">
        <f t="shared" si="0"/>
        <v>0</v>
      </c>
      <c r="T8" s="1567" t="s">
        <v>13</v>
      </c>
      <c r="U8" s="1568">
        <f t="shared" si="1"/>
        <v>0</v>
      </c>
      <c r="V8" s="1567" t="s">
        <v>13</v>
      </c>
      <c r="W8" s="1568">
        <f t="shared" si="2"/>
        <v>0</v>
      </c>
      <c r="X8" s="1569"/>
      <c r="Y8" s="3499" t="s">
        <v>533</v>
      </c>
      <c r="Z8" s="3500"/>
      <c r="AA8" s="1570" t="e">
        <f t="shared" ref="AA8:AA46" si="3">D8/F8</f>
        <v>#DIV/0!</v>
      </c>
      <c r="AB8" s="1570" t="e">
        <f t="shared" ref="AB8:AB46" si="4">D8/H8</f>
        <v>#DIV/0!</v>
      </c>
      <c r="AC8" s="1570" t="e">
        <f t="shared" ref="AC8:AC46" si="5">D8/J8</f>
        <v>#DIV/0!</v>
      </c>
    </row>
    <row r="9" spans="1:29" s="1219" customFormat="1" ht="15">
      <c r="A9" s="2911"/>
      <c r="B9" s="2918" t="s">
        <v>2753</v>
      </c>
      <c r="C9" s="856"/>
      <c r="D9" s="253">
        <v>100</v>
      </c>
      <c r="E9" s="857"/>
      <c r="F9" s="858">
        <f>SUMIF(63:63,E9,64:64)-SUMIF(63:63,C9,64:64)+100</f>
        <v>100</v>
      </c>
      <c r="G9" s="859"/>
      <c r="H9" s="253">
        <f>SUMIF(63:63,G9,64:64)-SUMIF(63:63,C9,64:64)+100</f>
        <v>100</v>
      </c>
      <c r="I9" s="859"/>
      <c r="J9" s="253">
        <f>SUMIF(63:63,I9,64:64)-SUMIF(63:63,C9,64:64)+100</f>
        <v>100</v>
      </c>
      <c r="K9" s="854"/>
      <c r="L9" s="2133"/>
      <c r="M9" s="2134"/>
      <c r="N9" s="2134"/>
      <c r="O9" s="2135"/>
      <c r="P9" s="3507" t="s">
        <v>535</v>
      </c>
      <c r="Q9" s="1150" t="str">
        <f t="shared" ref="Q9:Q15" si="6">B9</f>
        <v>用途</v>
      </c>
      <c r="R9" s="1567" t="s">
        <v>8</v>
      </c>
      <c r="S9" s="1568">
        <f t="shared" si="0"/>
        <v>100</v>
      </c>
      <c r="T9" s="1567" t="s">
        <v>8</v>
      </c>
      <c r="U9" s="1568">
        <f t="shared" si="1"/>
        <v>100</v>
      </c>
      <c r="V9" s="1567" t="s">
        <v>8</v>
      </c>
      <c r="W9" s="1568">
        <f t="shared" si="2"/>
        <v>100</v>
      </c>
      <c r="X9" s="1569"/>
      <c r="Y9" s="3464" t="s">
        <v>536</v>
      </c>
      <c r="Z9" s="1149" t="str">
        <f t="shared" ref="Z9:Z15" si="7">Q9</f>
        <v>用途</v>
      </c>
      <c r="AA9" s="1570">
        <f t="shared" si="3"/>
        <v>1</v>
      </c>
      <c r="AB9" s="1570">
        <f t="shared" si="4"/>
        <v>1</v>
      </c>
      <c r="AC9" s="1570">
        <f t="shared" si="5"/>
        <v>1</v>
      </c>
    </row>
    <row r="10" spans="1:29" s="1337" customFormat="1" ht="27">
      <c r="A10" s="2912"/>
      <c r="B10" s="2917" t="s">
        <v>2754</v>
      </c>
      <c r="C10" s="860"/>
      <c r="D10" s="254">
        <v>100</v>
      </c>
      <c r="E10" s="861"/>
      <c r="F10" s="862">
        <f>SUMIF(65:65,E10,66:66)-SUMIF(65:65,C10,66:66)+100</f>
        <v>100</v>
      </c>
      <c r="G10" s="860"/>
      <c r="H10" s="254">
        <f>SUMIF(65:65,G10,66:66)-SUMIF(65:65,C10,66:66)+100</f>
        <v>100</v>
      </c>
      <c r="I10" s="860"/>
      <c r="J10" s="254">
        <f>SUMIF(65:65,I10,66:66)-SUMIF(65:65,C10,66:66)+100</f>
        <v>100</v>
      </c>
      <c r="K10" s="863"/>
      <c r="L10" s="2136"/>
      <c r="M10" s="2176"/>
      <c r="N10" s="2176"/>
      <c r="O10" s="2137"/>
      <c r="P10" s="3507"/>
      <c r="Q10" s="1150" t="str">
        <f t="shared" si="6"/>
        <v>土地使用年限（年）</v>
      </c>
      <c r="R10" s="1567" t="s">
        <v>8</v>
      </c>
      <c r="S10" s="1568">
        <f t="shared" si="0"/>
        <v>100</v>
      </c>
      <c r="T10" s="1567" t="s">
        <v>8</v>
      </c>
      <c r="U10" s="1568">
        <f t="shared" si="1"/>
        <v>100</v>
      </c>
      <c r="V10" s="1567" t="s">
        <v>8</v>
      </c>
      <c r="W10" s="1568">
        <f t="shared" si="2"/>
        <v>100</v>
      </c>
      <c r="X10" s="1569"/>
      <c r="Y10" s="3464"/>
      <c r="Z10" s="1149" t="str">
        <f t="shared" si="7"/>
        <v>土地使用年限（年）</v>
      </c>
      <c r="AA10" s="1570">
        <f t="shared" si="3"/>
        <v>1</v>
      </c>
      <c r="AB10" s="1570">
        <f t="shared" si="4"/>
        <v>1</v>
      </c>
      <c r="AC10" s="1570">
        <f t="shared" si="5"/>
        <v>1</v>
      </c>
    </row>
    <row r="11" spans="1:29" ht="15">
      <c r="A11" s="2913"/>
      <c r="B11" s="2917" t="s">
        <v>2755</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38"/>
      <c r="M11" s="2132"/>
      <c r="N11" s="2132"/>
      <c r="O11" s="2139"/>
      <c r="P11" s="3507"/>
      <c r="Q11" s="1150" t="str">
        <f t="shared" si="6"/>
        <v>容积率</v>
      </c>
      <c r="R11" s="1567" t="s">
        <v>11</v>
      </c>
      <c r="S11" s="1568" t="e">
        <f t="shared" si="0"/>
        <v>#N/A</v>
      </c>
      <c r="T11" s="1567" t="s">
        <v>11</v>
      </c>
      <c r="U11" s="1568" t="e">
        <f t="shared" si="1"/>
        <v>#N/A</v>
      </c>
      <c r="V11" s="1567" t="s">
        <v>11</v>
      </c>
      <c r="W11" s="1568" t="e">
        <f t="shared" si="2"/>
        <v>#N/A</v>
      </c>
      <c r="X11" s="1569"/>
      <c r="Y11" s="3464"/>
      <c r="Z11" s="1149" t="str">
        <f t="shared" si="7"/>
        <v>容积率</v>
      </c>
      <c r="AA11" s="1570" t="e">
        <f t="shared" si="3"/>
        <v>#N/A</v>
      </c>
      <c r="AB11" s="1570" t="e">
        <f t="shared" si="4"/>
        <v>#N/A</v>
      </c>
      <c r="AC11" s="1570" t="e">
        <f t="shared" si="5"/>
        <v>#N/A</v>
      </c>
    </row>
    <row r="12" spans="1:29" s="1219" customFormat="1" ht="15">
      <c r="A12" s="2914"/>
      <c r="B12" s="2920">
        <v>111</v>
      </c>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507"/>
      <c r="Q12" s="1150">
        <f t="shared" si="6"/>
        <v>111</v>
      </c>
      <c r="R12" s="1567" t="s">
        <v>11</v>
      </c>
      <c r="S12" s="1568">
        <f t="shared" si="0"/>
        <v>100</v>
      </c>
      <c r="T12" s="1567" t="s">
        <v>11</v>
      </c>
      <c r="U12" s="1568">
        <f t="shared" si="1"/>
        <v>100</v>
      </c>
      <c r="V12" s="1567" t="s">
        <v>11</v>
      </c>
      <c r="W12" s="1568">
        <f t="shared" si="2"/>
        <v>100</v>
      </c>
      <c r="X12" s="1569"/>
      <c r="Y12" s="3464"/>
      <c r="Z12" s="1149">
        <f t="shared" si="7"/>
        <v>111</v>
      </c>
      <c r="AA12" s="1570">
        <f>D12/F12</f>
        <v>1</v>
      </c>
      <c r="AB12" s="1570">
        <f>D12/H12</f>
        <v>1</v>
      </c>
      <c r="AC12" s="1570">
        <f>D12/J12</f>
        <v>1</v>
      </c>
    </row>
    <row r="13" spans="1:29" ht="15">
      <c r="A13" s="2914"/>
      <c r="B13" s="2920">
        <v>111</v>
      </c>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507"/>
      <c r="Q13" s="1150">
        <f t="shared" si="6"/>
        <v>111</v>
      </c>
      <c r="R13" s="1567" t="s">
        <v>11</v>
      </c>
      <c r="S13" s="1568">
        <f t="shared" si="0"/>
        <v>100</v>
      </c>
      <c r="T13" s="1567" t="s">
        <v>11</v>
      </c>
      <c r="U13" s="1568">
        <f t="shared" si="1"/>
        <v>100</v>
      </c>
      <c r="V13" s="1567" t="s">
        <v>11</v>
      </c>
      <c r="W13" s="1568">
        <f t="shared" si="2"/>
        <v>100</v>
      </c>
      <c r="X13" s="1569"/>
      <c r="Y13" s="3464"/>
      <c r="Z13" s="1149">
        <f t="shared" si="7"/>
        <v>111</v>
      </c>
      <c r="AA13" s="1570">
        <f t="shared" si="3"/>
        <v>1</v>
      </c>
      <c r="AB13" s="1570">
        <f t="shared" si="4"/>
        <v>1</v>
      </c>
      <c r="AC13" s="1570">
        <f t="shared" si="5"/>
        <v>1</v>
      </c>
    </row>
    <row r="14" spans="1:29" ht="15.75" thickBot="1">
      <c r="A14" s="2915"/>
      <c r="B14" s="2921">
        <v>111</v>
      </c>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507"/>
      <c r="Q14" s="1150">
        <f t="shared" si="6"/>
        <v>111</v>
      </c>
      <c r="R14" s="1567" t="s">
        <v>11</v>
      </c>
      <c r="S14" s="1568">
        <f t="shared" si="0"/>
        <v>100</v>
      </c>
      <c r="T14" s="1567" t="s">
        <v>11</v>
      </c>
      <c r="U14" s="1568">
        <f t="shared" si="1"/>
        <v>100</v>
      </c>
      <c r="V14" s="1567" t="s">
        <v>11</v>
      </c>
      <c r="W14" s="1568">
        <f t="shared" si="2"/>
        <v>100</v>
      </c>
      <c r="X14" s="1569"/>
      <c r="Y14" s="3464"/>
      <c r="Z14" s="1149">
        <f t="shared" si="7"/>
        <v>111</v>
      </c>
      <c r="AA14" s="1570">
        <f t="shared" si="3"/>
        <v>1</v>
      </c>
      <c r="AB14" s="1570">
        <f t="shared" si="4"/>
        <v>1</v>
      </c>
      <c r="AC14" s="1570">
        <f t="shared" si="5"/>
        <v>1</v>
      </c>
    </row>
    <row r="15" spans="1:29" ht="15">
      <c r="A15" s="2907" t="s">
        <v>2751</v>
      </c>
      <c r="B15" s="165" t="s">
        <v>295</v>
      </c>
      <c r="C15" s="866" t="str">
        <f>估价对象房地状况!C3</f>
        <v>一般</v>
      </c>
      <c r="D15" s="548">
        <v>100</v>
      </c>
      <c r="E15" s="549"/>
      <c r="F15" s="550">
        <f>SUMIF(76:76,E16,77:77)-SUMIF(76:76,C16,77:77)+100</f>
        <v>100</v>
      </c>
      <c r="G15" s="551"/>
      <c r="H15" s="548">
        <f>SUMIF(76:76,G16,77:77)-SUMIF(76:76,C16,77:77)+100</f>
        <v>100</v>
      </c>
      <c r="I15" s="549"/>
      <c r="J15" s="548">
        <f>SUMIF(76:76,I16,77:77)-SUMIF(76:76,C16,77:77)+100</f>
        <v>100</v>
      </c>
      <c r="K15" s="867"/>
      <c r="L15" s="2140"/>
      <c r="M15" s="2132"/>
      <c r="N15" s="2132"/>
      <c r="O15" s="2139"/>
      <c r="P15" s="3509" t="s">
        <v>540</v>
      </c>
      <c r="Q15" s="1571" t="str">
        <f t="shared" si="6"/>
        <v>居住社区成熟度</v>
      </c>
      <c r="R15" s="1572" t="s">
        <v>11</v>
      </c>
      <c r="S15" s="1573">
        <f t="shared" si="0"/>
        <v>100</v>
      </c>
      <c r="T15" s="1572" t="s">
        <v>11</v>
      </c>
      <c r="U15" s="1573">
        <f t="shared" si="1"/>
        <v>100</v>
      </c>
      <c r="V15" s="1572" t="s">
        <v>11</v>
      </c>
      <c r="W15" s="1573">
        <f t="shared" si="2"/>
        <v>100</v>
      </c>
      <c r="X15" s="1566"/>
      <c r="Y15" s="3509" t="s">
        <v>540</v>
      </c>
      <c r="Z15" s="1574" t="str">
        <f t="shared" si="7"/>
        <v>居住社区成熟度</v>
      </c>
      <c r="AA15" s="1575">
        <f t="shared" si="3"/>
        <v>1</v>
      </c>
      <c r="AB15" s="1575">
        <f t="shared" si="4"/>
        <v>1</v>
      </c>
      <c r="AC15" s="1575">
        <f t="shared" si="5"/>
        <v>1</v>
      </c>
    </row>
    <row r="16" spans="1:29" ht="15">
      <c r="A16" s="531"/>
      <c r="B16" s="868"/>
      <c r="C16" s="575"/>
      <c r="D16" s="554"/>
      <c r="E16" s="555"/>
      <c r="F16" s="556"/>
      <c r="G16" s="557"/>
      <c r="H16" s="558"/>
      <c r="I16" s="555"/>
      <c r="J16" s="554"/>
      <c r="K16" s="869"/>
      <c r="L16" s="2140"/>
      <c r="M16" s="2132"/>
      <c r="N16" s="2132"/>
      <c r="O16" s="2139"/>
      <c r="P16" s="3510"/>
      <c r="Q16" s="1571"/>
      <c r="R16" s="1572"/>
      <c r="S16" s="1573"/>
      <c r="T16" s="1572"/>
      <c r="U16" s="1573"/>
      <c r="V16" s="1572"/>
      <c r="W16" s="1573"/>
      <c r="X16" s="1566"/>
      <c r="Y16" s="3510"/>
      <c r="Z16" s="1574"/>
      <c r="AA16" s="1575">
        <v>1</v>
      </c>
      <c r="AB16" s="1575">
        <v>1</v>
      </c>
      <c r="AC16" s="1575">
        <v>1</v>
      </c>
    </row>
    <row r="17" spans="1:29" ht="15">
      <c r="A17" s="531"/>
      <c r="B17" s="870" t="s">
        <v>296</v>
      </c>
      <c r="C17" s="871" t="str">
        <f>估价对象房地状况!C6</f>
        <v>一般</v>
      </c>
      <c r="D17" s="558">
        <v>100</v>
      </c>
      <c r="E17" s="561"/>
      <c r="F17" s="562">
        <f>SUMIF(78:78,E18,79:79)-SUMIF(78:78,C18,79:79)+100</f>
        <v>100</v>
      </c>
      <c r="G17" s="563"/>
      <c r="H17" s="564">
        <f>SUMIF(78:78,G18,79:79)-SUMIF(78:78,C18,79:79)+100</f>
        <v>100</v>
      </c>
      <c r="I17" s="561"/>
      <c r="J17" s="564">
        <f>SUMIF(78:78,I18,79:79)-SUMIF(78:78,C18,79:79)+100</f>
        <v>100</v>
      </c>
      <c r="K17" s="867"/>
      <c r="L17" s="2140"/>
      <c r="M17" s="2132"/>
      <c r="N17" s="2132"/>
      <c r="O17" s="2139"/>
      <c r="P17" s="3510"/>
      <c r="Q17" s="1571" t="str">
        <f>B17</f>
        <v>交通便捷度</v>
      </c>
      <c r="R17" s="1572" t="s">
        <v>11</v>
      </c>
      <c r="S17" s="1573">
        <f>F17</f>
        <v>100</v>
      </c>
      <c r="T17" s="1572" t="s">
        <v>11</v>
      </c>
      <c r="U17" s="1573">
        <f>H17</f>
        <v>100</v>
      </c>
      <c r="V17" s="1572" t="s">
        <v>11</v>
      </c>
      <c r="W17" s="1573">
        <f>J17</f>
        <v>100</v>
      </c>
      <c r="X17" s="1566"/>
      <c r="Y17" s="3510"/>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69"/>
      <c r="L18" s="2140"/>
      <c r="M18" s="2132"/>
      <c r="N18" s="2132"/>
      <c r="O18" s="2139"/>
      <c r="P18" s="3510"/>
      <c r="Q18" s="1571"/>
      <c r="R18" s="1572"/>
      <c r="S18" s="1573"/>
      <c r="T18" s="1572"/>
      <c r="U18" s="1573"/>
      <c r="V18" s="1572"/>
      <c r="W18" s="1573"/>
      <c r="X18" s="1566"/>
      <c r="Y18" s="3510"/>
      <c r="Z18" s="1574"/>
      <c r="AA18" s="1575">
        <v>1</v>
      </c>
      <c r="AB18" s="1575">
        <v>1</v>
      </c>
      <c r="AC18" s="1575">
        <v>1</v>
      </c>
    </row>
    <row r="19" spans="1:29" ht="15">
      <c r="A19" s="531"/>
      <c r="B19" s="2598" t="s">
        <v>2544</v>
      </c>
      <c r="C19" s="871" t="str">
        <f>估价对象房地状况!C7</f>
        <v>一般</v>
      </c>
      <c r="D19" s="564">
        <v>100</v>
      </c>
      <c r="E19" s="569"/>
      <c r="F19" s="570">
        <f>SUMIF(80:80,E20,81:81)-SUMIF(80:80,C20,81:81)+100</f>
        <v>100</v>
      </c>
      <c r="G19" s="571"/>
      <c r="H19" s="558">
        <f>SUMIF(80:80,G20,81:81)-SUMIF(80:80,C20,81:81)+100</f>
        <v>100</v>
      </c>
      <c r="I19" s="569"/>
      <c r="J19" s="558">
        <f>SUMIF(80:80,I20,81:81)-SUMIF(80:80,C20,81:81)+100</f>
        <v>100</v>
      </c>
      <c r="K19" s="867"/>
      <c r="L19" s="2140"/>
      <c r="M19" s="2132"/>
      <c r="N19" s="2132"/>
      <c r="O19" s="2139"/>
      <c r="P19" s="3510"/>
      <c r="Q19" s="1571" t="str">
        <f>B19</f>
        <v>公共配套设施</v>
      </c>
      <c r="R19" s="1572" t="s">
        <v>11</v>
      </c>
      <c r="S19" s="1573">
        <f>F19</f>
        <v>100</v>
      </c>
      <c r="T19" s="1572" t="s">
        <v>11</v>
      </c>
      <c r="U19" s="1573">
        <f>H19</f>
        <v>100</v>
      </c>
      <c r="V19" s="1572" t="s">
        <v>11</v>
      </c>
      <c r="W19" s="1573">
        <f>J19</f>
        <v>100</v>
      </c>
      <c r="X19" s="1566"/>
      <c r="Y19" s="3510"/>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69"/>
      <c r="L20" s="2140"/>
      <c r="M20" s="2132"/>
      <c r="N20" s="2132"/>
      <c r="O20" s="2139"/>
      <c r="P20" s="3510"/>
      <c r="Q20" s="1571"/>
      <c r="R20" s="1572"/>
      <c r="S20" s="1573"/>
      <c r="T20" s="1572"/>
      <c r="U20" s="1573"/>
      <c r="V20" s="1572"/>
      <c r="W20" s="1573"/>
      <c r="X20" s="1566"/>
      <c r="Y20" s="3510"/>
      <c r="Z20" s="1574"/>
      <c r="AA20" s="1575">
        <v>1</v>
      </c>
      <c r="AB20" s="1575">
        <v>1</v>
      </c>
      <c r="AC20" s="1575">
        <v>1</v>
      </c>
    </row>
    <row r="21" spans="1:29" ht="15">
      <c r="A21" s="531"/>
      <c r="B21" s="2591" t="s">
        <v>2556</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67"/>
      <c r="L21" s="2140"/>
      <c r="M21" s="2132"/>
      <c r="N21" s="2132"/>
      <c r="O21" s="2139"/>
      <c r="P21" s="3510"/>
      <c r="Q21" s="2577" t="str">
        <f>B21</f>
        <v>基础设施水平</v>
      </c>
      <c r="R21" s="1572" t="s">
        <v>11</v>
      </c>
      <c r="S21" s="1573">
        <f>F21</f>
        <v>100</v>
      </c>
      <c r="T21" s="1572" t="s">
        <v>11</v>
      </c>
      <c r="U21" s="1573">
        <f>H21</f>
        <v>100</v>
      </c>
      <c r="V21" s="1572" t="s">
        <v>11</v>
      </c>
      <c r="W21" s="1573">
        <f>J21</f>
        <v>100</v>
      </c>
      <c r="X21" s="2579"/>
      <c r="Y21" s="3510"/>
      <c r="Z21" s="2578" t="str">
        <f>Q21</f>
        <v>基础设施水平</v>
      </c>
      <c r="AA21" s="1575">
        <f>D21/F21</f>
        <v>1</v>
      </c>
      <c r="AB21" s="1575">
        <f>D21/H21</f>
        <v>1</v>
      </c>
      <c r="AC21" s="1575">
        <f>D21/J21</f>
        <v>1</v>
      </c>
    </row>
    <row r="22" spans="1:29" ht="15">
      <c r="A22" s="531"/>
      <c r="B22" s="921"/>
      <c r="C22" s="872"/>
      <c r="D22" s="554"/>
      <c r="E22" s="575"/>
      <c r="F22" s="556"/>
      <c r="G22" s="575"/>
      <c r="H22" s="554"/>
      <c r="I22" s="575"/>
      <c r="J22" s="554"/>
      <c r="K22" s="2597"/>
      <c r="L22" s="2140"/>
      <c r="M22" s="2132"/>
      <c r="N22" s="2132"/>
      <c r="O22" s="2139"/>
      <c r="P22" s="3510"/>
      <c r="Q22" s="2577"/>
      <c r="R22" s="1572"/>
      <c r="S22" s="1573"/>
      <c r="T22" s="1572"/>
      <c r="U22" s="1573"/>
      <c r="V22" s="1572"/>
      <c r="W22" s="1573"/>
      <c r="X22" s="2579"/>
      <c r="Y22" s="3510"/>
      <c r="Z22" s="2578"/>
      <c r="AA22" s="1575">
        <v>1</v>
      </c>
      <c r="AB22" s="1575">
        <v>1</v>
      </c>
      <c r="AC22" s="1575">
        <v>1</v>
      </c>
    </row>
    <row r="23" spans="1:29" ht="15">
      <c r="A23" s="531"/>
      <c r="B23" s="870" t="s">
        <v>297</v>
      </c>
      <c r="C23" s="871" t="str">
        <f>估价对象房地状况!C9</f>
        <v>一般</v>
      </c>
      <c r="D23" s="558">
        <v>100</v>
      </c>
      <c r="E23" s="561"/>
      <c r="F23" s="562">
        <f>SUMIF(84:84,E24,85:85)-SUMIF(84:84,C24,85:85)+100</f>
        <v>100</v>
      </c>
      <c r="G23" s="563"/>
      <c r="H23" s="558">
        <f>SUMIF(84:84,G24,85:85)-SUMIF(84:84,C24,85:85)+100</f>
        <v>100</v>
      </c>
      <c r="I23" s="561"/>
      <c r="J23" s="558">
        <f>SUMIF(84:84,I24,85:85)-SUMIF(84:84,C24,85:85)+100</f>
        <v>100</v>
      </c>
      <c r="K23" s="867"/>
      <c r="L23" s="2140"/>
      <c r="M23" s="2132"/>
      <c r="N23" s="2132"/>
      <c r="O23" s="2139"/>
      <c r="P23" s="3510"/>
      <c r="Q23" s="1571" t="str">
        <f>B23</f>
        <v>自然及人文环境</v>
      </c>
      <c r="R23" s="1572" t="s">
        <v>11</v>
      </c>
      <c r="S23" s="1573">
        <f>F23</f>
        <v>100</v>
      </c>
      <c r="T23" s="1572" t="s">
        <v>11</v>
      </c>
      <c r="U23" s="1573">
        <f>H23</f>
        <v>100</v>
      </c>
      <c r="V23" s="1572" t="s">
        <v>11</v>
      </c>
      <c r="W23" s="1573">
        <f>J23</f>
        <v>100</v>
      </c>
      <c r="X23" s="1566"/>
      <c r="Y23" s="3510"/>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69"/>
      <c r="L24" s="2140"/>
      <c r="M24" s="2132"/>
      <c r="N24" s="2132"/>
      <c r="O24" s="2139"/>
      <c r="P24" s="3510"/>
      <c r="Q24" s="1571"/>
      <c r="R24" s="1572"/>
      <c r="S24" s="1573"/>
      <c r="T24" s="1572"/>
      <c r="U24" s="1573"/>
      <c r="V24" s="1572"/>
      <c r="W24" s="1573"/>
      <c r="X24" s="1566"/>
      <c r="Y24" s="3510"/>
      <c r="Z24" s="1574"/>
      <c r="AA24" s="1575">
        <v>1</v>
      </c>
      <c r="AB24" s="1575">
        <v>1</v>
      </c>
      <c r="AC24" s="1575">
        <v>1</v>
      </c>
    </row>
    <row r="25" spans="1:29" ht="15">
      <c r="A25" s="531"/>
      <c r="B25" s="1893" t="s">
        <v>2256</v>
      </c>
      <c r="C25" s="573"/>
      <c r="D25" s="539">
        <v>100</v>
      </c>
      <c r="E25" s="873"/>
      <c r="F25" s="574">
        <f>SUMIF(86:86,E25,87:87)-SUMIF(86:86,C25,87:87)+100</f>
        <v>100</v>
      </c>
      <c r="G25" s="598"/>
      <c r="H25" s="539">
        <f>SUMIF(86:86,G25,87:87)-SUMIF(86:86,C25,87:87)+100</f>
        <v>100</v>
      </c>
      <c r="I25" s="873"/>
      <c r="J25" s="539">
        <f>SUMIF(86:86,I25,87:87)-SUMIF(86:86,C25,87:87)+100</f>
        <v>100</v>
      </c>
      <c r="K25" s="863"/>
      <c r="L25" s="2140"/>
      <c r="M25" s="2132"/>
      <c r="N25" s="2132"/>
      <c r="O25" s="2139"/>
      <c r="P25" s="3510"/>
      <c r="Q25" s="1571" t="str">
        <f t="shared" ref="Q25:Q46" si="8">B25</f>
        <v>楼层-1</v>
      </c>
      <c r="R25" s="1572" t="s">
        <v>11</v>
      </c>
      <c r="S25" s="1573">
        <f>F25</f>
        <v>100</v>
      </c>
      <c r="T25" s="1572" t="s">
        <v>11</v>
      </c>
      <c r="U25" s="1573">
        <f>H25</f>
        <v>100</v>
      </c>
      <c r="V25" s="1572" t="s">
        <v>11</v>
      </c>
      <c r="W25" s="1573">
        <f>J25</f>
        <v>100</v>
      </c>
      <c r="X25" s="1566"/>
      <c r="Y25" s="3510"/>
      <c r="Z25" s="1574" t="str">
        <f>Q25</f>
        <v>楼层-1</v>
      </c>
      <c r="AA25" s="1575">
        <f t="shared" si="3"/>
        <v>1</v>
      </c>
      <c r="AB25" s="1575">
        <f t="shared" si="4"/>
        <v>1</v>
      </c>
      <c r="AC25" s="1575">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0"/>
      <c r="M26" s="2132"/>
      <c r="N26" s="2132"/>
      <c r="O26" s="2139"/>
      <c r="P26" s="3510"/>
      <c r="Q26" s="1571" t="str">
        <f t="shared" si="8"/>
        <v>朝向</v>
      </c>
      <c r="R26" s="1572" t="s">
        <v>11</v>
      </c>
      <c r="S26" s="1573">
        <f>F26</f>
        <v>100</v>
      </c>
      <c r="T26" s="1572" t="s">
        <v>11</v>
      </c>
      <c r="U26" s="1573">
        <f>H26</f>
        <v>100</v>
      </c>
      <c r="V26" s="1572" t="s">
        <v>11</v>
      </c>
      <c r="W26" s="1573">
        <f>J26</f>
        <v>100</v>
      </c>
      <c r="X26" s="1566"/>
      <c r="Y26" s="3510"/>
      <c r="Z26" s="1574" t="str">
        <f>Q26</f>
        <v>朝向</v>
      </c>
      <c r="AA26" s="1575">
        <f t="shared" si="3"/>
        <v>1</v>
      </c>
      <c r="AB26" s="1575">
        <f t="shared" si="4"/>
        <v>1</v>
      </c>
      <c r="AC26" s="1575">
        <f t="shared" si="5"/>
        <v>1</v>
      </c>
    </row>
    <row r="27" spans="1:29" s="1219"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3"/>
      <c r="M27" s="2134"/>
      <c r="N27" s="2134"/>
      <c r="O27" s="2135"/>
      <c r="P27" s="3510"/>
      <c r="Q27" s="1150" t="str">
        <f t="shared" si="8"/>
        <v>道路级别</v>
      </c>
      <c r="R27" s="1567" t="s">
        <v>11</v>
      </c>
      <c r="S27" s="1568">
        <f>F27</f>
        <v>100</v>
      </c>
      <c r="T27" s="1567" t="s">
        <v>11</v>
      </c>
      <c r="U27" s="1568">
        <f>H27</f>
        <v>100</v>
      </c>
      <c r="V27" s="1567" t="s">
        <v>11</v>
      </c>
      <c r="W27" s="1568">
        <f>J27</f>
        <v>100</v>
      </c>
      <c r="X27" s="1569"/>
      <c r="Y27" s="3510"/>
      <c r="Z27" s="1149" t="str">
        <f>Q27</f>
        <v>道路级别</v>
      </c>
      <c r="AA27" s="1575">
        <f>D27/F27</f>
        <v>1</v>
      </c>
      <c r="AB27" s="1575">
        <f>D27/H27</f>
        <v>1</v>
      </c>
      <c r="AC27" s="1575">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510"/>
      <c r="Q28" s="1571">
        <f t="shared" si="8"/>
        <v>111</v>
      </c>
      <c r="R28" s="1572" t="s">
        <v>11</v>
      </c>
      <c r="S28" s="1573">
        <f t="shared" ref="S28:S46" si="9">F28</f>
        <v>100</v>
      </c>
      <c r="T28" s="1572" t="s">
        <v>11</v>
      </c>
      <c r="U28" s="1573">
        <f t="shared" ref="U28:U46" si="10">H28</f>
        <v>100</v>
      </c>
      <c r="V28" s="1572" t="s">
        <v>11</v>
      </c>
      <c r="W28" s="1573">
        <f t="shared" ref="W28:W46" si="11">J28</f>
        <v>100</v>
      </c>
      <c r="X28" s="1566"/>
      <c r="Y28" s="3510"/>
      <c r="Z28" s="1574">
        <f t="shared" ref="Z28:Z46" si="12">Q28</f>
        <v>111</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510"/>
      <c r="Q29" s="1571">
        <f t="shared" si="8"/>
        <v>111</v>
      </c>
      <c r="R29" s="1572" t="s">
        <v>11</v>
      </c>
      <c r="S29" s="1573">
        <f t="shared" si="9"/>
        <v>100</v>
      </c>
      <c r="T29" s="1572" t="s">
        <v>11</v>
      </c>
      <c r="U29" s="1573">
        <f t="shared" si="10"/>
        <v>100</v>
      </c>
      <c r="V29" s="1572" t="s">
        <v>11</v>
      </c>
      <c r="W29" s="1573">
        <f t="shared" si="11"/>
        <v>100</v>
      </c>
      <c r="X29" s="1566"/>
      <c r="Y29" s="3510"/>
      <c r="Z29" s="1574">
        <f t="shared" si="12"/>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510"/>
      <c r="Q30" s="1571">
        <f t="shared" si="8"/>
        <v>111</v>
      </c>
      <c r="R30" s="1572" t="s">
        <v>11</v>
      </c>
      <c r="S30" s="1573">
        <f t="shared" si="9"/>
        <v>100</v>
      </c>
      <c r="T30" s="1572" t="s">
        <v>11</v>
      </c>
      <c r="U30" s="1573">
        <f t="shared" si="10"/>
        <v>100</v>
      </c>
      <c r="V30" s="1572" t="s">
        <v>11</v>
      </c>
      <c r="W30" s="1573">
        <f t="shared" si="11"/>
        <v>100</v>
      </c>
      <c r="X30" s="1566"/>
      <c r="Y30" s="3510"/>
      <c r="Z30" s="1574">
        <f t="shared" si="12"/>
        <v>111</v>
      </c>
      <c r="AA30" s="1575">
        <f t="shared" si="3"/>
        <v>1</v>
      </c>
      <c r="AB30" s="1575">
        <f t="shared" si="4"/>
        <v>1</v>
      </c>
      <c r="AC30" s="1575">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510"/>
      <c r="Q31" s="1571">
        <f t="shared" si="8"/>
        <v>111</v>
      </c>
      <c r="R31" s="1572" t="s">
        <v>11</v>
      </c>
      <c r="S31" s="1573">
        <f t="shared" si="9"/>
        <v>100</v>
      </c>
      <c r="T31" s="1572" t="s">
        <v>11</v>
      </c>
      <c r="U31" s="1573">
        <f t="shared" si="10"/>
        <v>100</v>
      </c>
      <c r="V31" s="1572" t="s">
        <v>11</v>
      </c>
      <c r="W31" s="1573">
        <f t="shared" si="11"/>
        <v>100</v>
      </c>
      <c r="X31" s="1566"/>
      <c r="Y31" s="3510"/>
      <c r="Z31" s="1574">
        <f t="shared" si="12"/>
        <v>111</v>
      </c>
      <c r="AA31" s="1575">
        <f t="shared" si="3"/>
        <v>1</v>
      </c>
      <c r="AB31" s="1575">
        <f t="shared" si="4"/>
        <v>1</v>
      </c>
      <c r="AC31" s="1575">
        <f t="shared" si="5"/>
        <v>1</v>
      </c>
    </row>
    <row r="32" spans="1:29" ht="15">
      <c r="A32" s="2905" t="s">
        <v>2752</v>
      </c>
      <c r="B32" s="171"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0"/>
      <c r="M32" s="2132"/>
      <c r="N32" s="2132"/>
      <c r="O32" s="2139"/>
      <c r="P32" s="3511" t="s">
        <v>550</v>
      </c>
      <c r="Q32" s="1571" t="str">
        <f t="shared" si="8"/>
        <v>建筑类型</v>
      </c>
      <c r="R32" s="1572" t="s">
        <v>11</v>
      </c>
      <c r="S32" s="1573">
        <f t="shared" si="9"/>
        <v>100</v>
      </c>
      <c r="T32" s="1572" t="s">
        <v>11</v>
      </c>
      <c r="U32" s="1573">
        <f t="shared" si="10"/>
        <v>100</v>
      </c>
      <c r="V32" s="1572" t="s">
        <v>11</v>
      </c>
      <c r="W32" s="1573">
        <f t="shared" si="11"/>
        <v>100</v>
      </c>
      <c r="X32" s="1566"/>
      <c r="Y32" s="3512" t="s">
        <v>550</v>
      </c>
      <c r="Z32" s="1574" t="str">
        <f t="shared" si="12"/>
        <v>建筑类型</v>
      </c>
      <c r="AA32" s="1575">
        <f t="shared" si="3"/>
        <v>1</v>
      </c>
      <c r="AB32" s="1575">
        <f t="shared" si="4"/>
        <v>1</v>
      </c>
      <c r="AC32" s="1575">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38"/>
      <c r="M33" s="2169"/>
      <c r="N33" s="2169"/>
      <c r="O33" s="2141"/>
      <c r="P33" s="3512"/>
      <c r="Q33" s="1604" t="str">
        <f t="shared" si="8"/>
        <v>项目建筑规模</v>
      </c>
      <c r="R33" s="1576" t="s">
        <v>11</v>
      </c>
      <c r="S33" s="1577" t="e">
        <f t="shared" si="9"/>
        <v>#N/A</v>
      </c>
      <c r="T33" s="1576" t="s">
        <v>11</v>
      </c>
      <c r="U33" s="1577" t="e">
        <f t="shared" si="10"/>
        <v>#N/A</v>
      </c>
      <c r="V33" s="1576" t="s">
        <v>11</v>
      </c>
      <c r="W33" s="1577" t="e">
        <f t="shared" si="11"/>
        <v>#N/A</v>
      </c>
      <c r="X33" s="1578"/>
      <c r="Y33" s="3512"/>
      <c r="Z33" s="1579" t="str">
        <f t="shared" si="12"/>
        <v>项目建筑规模</v>
      </c>
      <c r="AA33" s="1575" t="e">
        <f t="shared" si="3"/>
        <v>#N/A</v>
      </c>
      <c r="AB33" s="1575" t="e">
        <f t="shared" si="4"/>
        <v>#N/A</v>
      </c>
      <c r="AC33" s="1575"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0"/>
      <c r="M34" s="2132"/>
      <c r="N34" s="2132"/>
      <c r="O34" s="2139"/>
      <c r="P34" s="3512"/>
      <c r="Q34" s="1571" t="str">
        <f t="shared" si="8"/>
        <v>建筑结构</v>
      </c>
      <c r="R34" s="1572" t="s">
        <v>11</v>
      </c>
      <c r="S34" s="1573">
        <f t="shared" si="9"/>
        <v>100</v>
      </c>
      <c r="T34" s="1572" t="s">
        <v>11</v>
      </c>
      <c r="U34" s="1573">
        <f t="shared" si="10"/>
        <v>100</v>
      </c>
      <c r="V34" s="1572" t="s">
        <v>11</v>
      </c>
      <c r="W34" s="1573">
        <f t="shared" si="11"/>
        <v>100</v>
      </c>
      <c r="X34" s="1566"/>
      <c r="Y34" s="3512"/>
      <c r="Z34" s="1574" t="str">
        <f t="shared" si="12"/>
        <v>建筑结构</v>
      </c>
      <c r="AA34" s="1575">
        <f t="shared" si="3"/>
        <v>1</v>
      </c>
      <c r="AB34" s="1575">
        <f t="shared" si="4"/>
        <v>1</v>
      </c>
      <c r="AC34" s="1575">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0"/>
      <c r="M35" s="2132"/>
      <c r="N35" s="2132"/>
      <c r="O35" s="2139"/>
      <c r="P35" s="3512"/>
      <c r="Q35" s="1571" t="str">
        <f t="shared" si="8"/>
        <v>建筑品质</v>
      </c>
      <c r="R35" s="1572" t="s">
        <v>11</v>
      </c>
      <c r="S35" s="1573">
        <f t="shared" si="9"/>
        <v>100</v>
      </c>
      <c r="T35" s="1572" t="s">
        <v>11</v>
      </c>
      <c r="U35" s="1573">
        <f t="shared" si="10"/>
        <v>100</v>
      </c>
      <c r="V35" s="1572" t="s">
        <v>11</v>
      </c>
      <c r="W35" s="1573">
        <f t="shared" si="11"/>
        <v>100</v>
      </c>
      <c r="X35" s="1566"/>
      <c r="Y35" s="3512"/>
      <c r="Z35" s="1574" t="str">
        <f t="shared" si="12"/>
        <v>建筑品质</v>
      </c>
      <c r="AA35" s="1575">
        <f t="shared" si="3"/>
        <v>1</v>
      </c>
      <c r="AB35" s="1575">
        <f t="shared" si="4"/>
        <v>1</v>
      </c>
      <c r="AC35" s="1575">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0"/>
      <c r="M36" s="2132"/>
      <c r="N36" s="2132"/>
      <c r="O36" s="2139"/>
      <c r="P36" s="3512"/>
      <c r="Q36" s="1571" t="str">
        <f t="shared" si="8"/>
        <v>公共部分装修</v>
      </c>
      <c r="R36" s="1572" t="s">
        <v>11</v>
      </c>
      <c r="S36" s="1573">
        <f t="shared" si="9"/>
        <v>100</v>
      </c>
      <c r="T36" s="1572" t="s">
        <v>11</v>
      </c>
      <c r="U36" s="1573">
        <f t="shared" si="10"/>
        <v>100</v>
      </c>
      <c r="V36" s="1572" t="s">
        <v>11</v>
      </c>
      <c r="W36" s="1573">
        <f t="shared" si="11"/>
        <v>100</v>
      </c>
      <c r="X36" s="1566"/>
      <c r="Y36" s="3512"/>
      <c r="Z36" s="1574" t="str">
        <f t="shared" si="12"/>
        <v>公共部分装修</v>
      </c>
      <c r="AA36" s="1575">
        <f t="shared" si="3"/>
        <v>1</v>
      </c>
      <c r="AB36" s="1575">
        <f t="shared" si="4"/>
        <v>1</v>
      </c>
      <c r="AC36" s="1575">
        <f t="shared" si="5"/>
        <v>1</v>
      </c>
    </row>
    <row r="37" spans="1:29" s="1219"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3"/>
      <c r="M37" s="2134"/>
      <c r="N37" s="2134"/>
      <c r="O37" s="2135"/>
      <c r="P37" s="3512"/>
      <c r="Q37" s="1150" t="str">
        <f t="shared" si="8"/>
        <v>成新度</v>
      </c>
      <c r="R37" s="1567" t="s">
        <v>11</v>
      </c>
      <c r="S37" s="1568" t="e">
        <f t="shared" si="9"/>
        <v>#N/A</v>
      </c>
      <c r="T37" s="1567" t="s">
        <v>11</v>
      </c>
      <c r="U37" s="1568" t="e">
        <f t="shared" si="10"/>
        <v>#N/A</v>
      </c>
      <c r="V37" s="1567" t="s">
        <v>11</v>
      </c>
      <c r="W37" s="1568" t="e">
        <f t="shared" si="11"/>
        <v>#N/A</v>
      </c>
      <c r="X37" s="1569"/>
      <c r="Y37" s="3512"/>
      <c r="Z37" s="1149" t="str">
        <f t="shared" si="12"/>
        <v>成新度</v>
      </c>
      <c r="AA37" s="1570" t="e">
        <f t="shared" si="3"/>
        <v>#N/A</v>
      </c>
      <c r="AB37" s="1570" t="e">
        <f t="shared" si="4"/>
        <v>#N/A</v>
      </c>
      <c r="AC37" s="1570"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0"/>
      <c r="M38" s="2132"/>
      <c r="N38" s="2132"/>
      <c r="O38" s="2139"/>
      <c r="P38" s="3512" t="s">
        <v>550</v>
      </c>
      <c r="Q38" s="1571" t="str">
        <f t="shared" si="8"/>
        <v>物业管理</v>
      </c>
      <c r="R38" s="1572" t="s">
        <v>11</v>
      </c>
      <c r="S38" s="1573">
        <f t="shared" si="9"/>
        <v>100</v>
      </c>
      <c r="T38" s="1572" t="s">
        <v>11</v>
      </c>
      <c r="U38" s="1573">
        <f t="shared" si="10"/>
        <v>100</v>
      </c>
      <c r="V38" s="1572" t="s">
        <v>11</v>
      </c>
      <c r="W38" s="1573">
        <f t="shared" si="11"/>
        <v>100</v>
      </c>
      <c r="X38" s="1566"/>
      <c r="Y38" s="3512" t="s">
        <v>550</v>
      </c>
      <c r="Z38" s="1574" t="str">
        <f t="shared" si="12"/>
        <v>物业管理</v>
      </c>
      <c r="AA38" s="1575">
        <f t="shared" si="3"/>
        <v>1</v>
      </c>
      <c r="AB38" s="1575">
        <f t="shared" si="4"/>
        <v>1</v>
      </c>
      <c r="AC38" s="1575">
        <f t="shared" si="5"/>
        <v>1</v>
      </c>
    </row>
    <row r="39" spans="1:29" ht="15">
      <c r="A39" s="593"/>
      <c r="B39" s="1893" t="s">
        <v>2562</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0"/>
      <c r="M39" s="2132"/>
      <c r="N39" s="2132"/>
      <c r="O39" s="2139"/>
      <c r="P39" s="3512"/>
      <c r="Q39" s="1571" t="str">
        <f t="shared" si="8"/>
        <v>市政基础设施</v>
      </c>
      <c r="R39" s="1572" t="s">
        <v>11</v>
      </c>
      <c r="S39" s="1573">
        <f t="shared" si="9"/>
        <v>100</v>
      </c>
      <c r="T39" s="1572" t="s">
        <v>11</v>
      </c>
      <c r="U39" s="1573">
        <f t="shared" si="10"/>
        <v>100</v>
      </c>
      <c r="V39" s="1572" t="s">
        <v>11</v>
      </c>
      <c r="W39" s="1573">
        <f t="shared" si="11"/>
        <v>100</v>
      </c>
      <c r="X39" s="1566"/>
      <c r="Y39" s="3512"/>
      <c r="Z39" s="1574" t="str">
        <f t="shared" si="12"/>
        <v>市政基础设施</v>
      </c>
      <c r="AA39" s="1575">
        <f t="shared" si="3"/>
        <v>1</v>
      </c>
      <c r="AB39" s="1575">
        <f t="shared" si="4"/>
        <v>1</v>
      </c>
      <c r="AC39" s="1575">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0"/>
      <c r="M40" s="2132"/>
      <c r="N40" s="2132"/>
      <c r="O40" s="2139"/>
      <c r="P40" s="3512"/>
      <c r="Q40" s="1571" t="str">
        <f t="shared" si="8"/>
        <v>房型</v>
      </c>
      <c r="R40" s="1572" t="s">
        <v>11</v>
      </c>
      <c r="S40" s="1573">
        <f t="shared" si="9"/>
        <v>100</v>
      </c>
      <c r="T40" s="1572" t="s">
        <v>11</v>
      </c>
      <c r="U40" s="1573">
        <f t="shared" si="10"/>
        <v>100</v>
      </c>
      <c r="V40" s="1572" t="s">
        <v>11</v>
      </c>
      <c r="W40" s="1573">
        <f t="shared" si="11"/>
        <v>100</v>
      </c>
      <c r="X40" s="1566"/>
      <c r="Y40" s="3512"/>
      <c r="Z40" s="1574" t="str">
        <f t="shared" si="12"/>
        <v>房型</v>
      </c>
      <c r="AA40" s="1575">
        <f t="shared" si="3"/>
        <v>1</v>
      </c>
      <c r="AB40" s="1575">
        <f t="shared" si="4"/>
        <v>1</v>
      </c>
      <c r="AC40" s="1575">
        <f t="shared" si="5"/>
        <v>1</v>
      </c>
    </row>
    <row r="41" spans="1:29" s="1338"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8"/>
      <c r="M41" s="2169"/>
      <c r="N41" s="2169"/>
      <c r="O41" s="2141"/>
      <c r="P41" s="3512"/>
      <c r="Q41" s="1604" t="str">
        <f t="shared" si="8"/>
        <v>单套/主力户型建筑面积</v>
      </c>
      <c r="R41" s="1576" t="s">
        <v>11</v>
      </c>
      <c r="S41" s="1577">
        <f t="shared" si="9"/>
        <v>100</v>
      </c>
      <c r="T41" s="1576" t="s">
        <v>11</v>
      </c>
      <c r="U41" s="1577">
        <f t="shared" si="10"/>
        <v>100</v>
      </c>
      <c r="V41" s="1576" t="s">
        <v>11</v>
      </c>
      <c r="W41" s="1577">
        <f t="shared" si="11"/>
        <v>100</v>
      </c>
      <c r="X41" s="1578"/>
      <c r="Y41" s="3512"/>
      <c r="Z41" s="1579" t="str">
        <f t="shared" si="12"/>
        <v>单套/主力户型建筑面积</v>
      </c>
      <c r="AA41" s="1575">
        <f t="shared" si="3"/>
        <v>1</v>
      </c>
      <c r="AB41" s="1575">
        <f t="shared" si="4"/>
        <v>1</v>
      </c>
      <c r="AC41" s="1575">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0"/>
      <c r="M42" s="2132"/>
      <c r="N42" s="2132"/>
      <c r="O42" s="2139"/>
      <c r="P42" s="3512"/>
      <c r="Q42" s="1571" t="str">
        <f t="shared" si="8"/>
        <v>内部装修</v>
      </c>
      <c r="R42" s="1572" t="s">
        <v>11</v>
      </c>
      <c r="S42" s="1573">
        <f t="shared" si="9"/>
        <v>100</v>
      </c>
      <c r="T42" s="1572" t="s">
        <v>11</v>
      </c>
      <c r="U42" s="1573">
        <f t="shared" si="10"/>
        <v>100</v>
      </c>
      <c r="V42" s="1572" t="s">
        <v>11</v>
      </c>
      <c r="W42" s="1573">
        <f t="shared" si="11"/>
        <v>100</v>
      </c>
      <c r="X42" s="1566"/>
      <c r="Y42" s="3512"/>
      <c r="Z42" s="1574" t="str">
        <f t="shared" si="12"/>
        <v>内部装修</v>
      </c>
      <c r="AA42" s="1575">
        <f t="shared" si="3"/>
        <v>1</v>
      </c>
      <c r="AB42" s="1575">
        <f t="shared" si="4"/>
        <v>1</v>
      </c>
      <c r="AC42" s="1575">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0"/>
      <c r="M43" s="2132"/>
      <c r="N43" s="2132"/>
      <c r="O43" s="2139"/>
      <c r="P43" s="3512"/>
      <c r="Q43" s="1571" t="str">
        <f t="shared" si="8"/>
        <v>内部装修维护情况</v>
      </c>
      <c r="R43" s="1572" t="s">
        <v>11</v>
      </c>
      <c r="S43" s="1573">
        <f t="shared" si="9"/>
        <v>100</v>
      </c>
      <c r="T43" s="1572" t="s">
        <v>11</v>
      </c>
      <c r="U43" s="1573">
        <f t="shared" si="10"/>
        <v>100</v>
      </c>
      <c r="V43" s="1572" t="s">
        <v>11</v>
      </c>
      <c r="W43" s="1573">
        <f t="shared" si="11"/>
        <v>100</v>
      </c>
      <c r="X43" s="1566"/>
      <c r="Y43" s="3512"/>
      <c r="Z43" s="1574" t="str">
        <f t="shared" si="12"/>
        <v>内部装修维护情况</v>
      </c>
      <c r="AA43" s="1575">
        <f t="shared" si="3"/>
        <v>1</v>
      </c>
      <c r="AB43" s="1575">
        <f t="shared" si="4"/>
        <v>1</v>
      </c>
      <c r="AC43" s="1575">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3"/>
      <c r="M44" s="2134"/>
      <c r="N44" s="2134"/>
      <c r="O44" s="2135"/>
      <c r="P44" s="3512"/>
      <c r="Q44" s="1150">
        <f t="shared" si="8"/>
        <v>111</v>
      </c>
      <c r="R44" s="1567" t="s">
        <v>11</v>
      </c>
      <c r="S44" s="1568">
        <f t="shared" si="9"/>
        <v>100</v>
      </c>
      <c r="T44" s="1567" t="s">
        <v>11</v>
      </c>
      <c r="U44" s="1568">
        <f t="shared" si="10"/>
        <v>100</v>
      </c>
      <c r="V44" s="1567" t="s">
        <v>11</v>
      </c>
      <c r="W44" s="1568">
        <f t="shared" si="11"/>
        <v>100</v>
      </c>
      <c r="X44" s="1569"/>
      <c r="Y44" s="3512"/>
      <c r="Z44" s="1149">
        <f t="shared" si="12"/>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512"/>
      <c r="Q45" s="1571">
        <f t="shared" si="8"/>
        <v>111</v>
      </c>
      <c r="R45" s="1572" t="s">
        <v>11</v>
      </c>
      <c r="S45" s="1573">
        <f t="shared" si="9"/>
        <v>100</v>
      </c>
      <c r="T45" s="1572" t="s">
        <v>11</v>
      </c>
      <c r="U45" s="1573">
        <f t="shared" si="10"/>
        <v>100</v>
      </c>
      <c r="V45" s="1572" t="s">
        <v>11</v>
      </c>
      <c r="W45" s="1573">
        <f t="shared" si="11"/>
        <v>100</v>
      </c>
      <c r="X45" s="1566"/>
      <c r="Y45" s="3512"/>
      <c r="Z45" s="1574">
        <f t="shared" si="12"/>
        <v>111</v>
      </c>
      <c r="AA45" s="1575">
        <f t="shared" si="3"/>
        <v>1</v>
      </c>
      <c r="AB45" s="1575">
        <f t="shared" si="4"/>
        <v>1</v>
      </c>
      <c r="AC45" s="1575">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613"/>
      <c r="Q46" s="1571">
        <f t="shared" si="8"/>
        <v>111</v>
      </c>
      <c r="R46" s="1572" t="s">
        <v>10</v>
      </c>
      <c r="S46" s="1573">
        <f t="shared" si="9"/>
        <v>100</v>
      </c>
      <c r="T46" s="1572" t="s">
        <v>10</v>
      </c>
      <c r="U46" s="1573">
        <f t="shared" si="10"/>
        <v>100</v>
      </c>
      <c r="V46" s="1572" t="s">
        <v>10</v>
      </c>
      <c r="W46" s="1573">
        <f t="shared" si="11"/>
        <v>100</v>
      </c>
      <c r="X46" s="1566"/>
      <c r="Y46" s="3613"/>
      <c r="Z46" s="1574">
        <f t="shared" si="12"/>
        <v>111</v>
      </c>
      <c r="AA46" s="1575">
        <f t="shared" si="3"/>
        <v>1</v>
      </c>
      <c r="AB46" s="1575">
        <f t="shared" si="4"/>
        <v>1</v>
      </c>
      <c r="AC46" s="1575">
        <f t="shared" si="5"/>
        <v>1</v>
      </c>
    </row>
    <row r="47" spans="1:29" ht="15">
      <c r="A47" s="606" t="s">
        <v>736</v>
      </c>
      <c r="B47" s="886"/>
      <c r="C47" s="2625" t="s">
        <v>9</v>
      </c>
      <c r="D47" s="2626"/>
      <c r="E47" s="2627"/>
      <c r="F47" s="2628"/>
      <c r="G47" s="2629"/>
      <c r="H47" s="2630"/>
      <c r="I47" s="2627"/>
      <c r="J47" s="2630"/>
      <c r="K47" s="1605"/>
      <c r="L47" s="2142"/>
      <c r="M47" s="2143"/>
      <c r="N47" s="2132"/>
      <c r="O47" s="2143"/>
      <c r="P47" s="3507" t="str">
        <f>A47</f>
        <v>成交单价（元/平方米）</v>
      </c>
      <c r="Q47" s="3507"/>
      <c r="R47" s="3612">
        <f>E47</f>
        <v>0</v>
      </c>
      <c r="S47" s="3612"/>
      <c r="T47" s="3612">
        <f>G47</f>
        <v>0</v>
      </c>
      <c r="U47" s="3612"/>
      <c r="V47" s="3612">
        <f>I47</f>
        <v>0</v>
      </c>
      <c r="W47" s="3612"/>
      <c r="X47" s="1558"/>
      <c r="Y47" s="1580"/>
      <c r="Z47" s="1558"/>
      <c r="AA47" s="1558"/>
      <c r="AB47" s="1558"/>
      <c r="AC47" s="1558"/>
    </row>
    <row r="48" spans="1:29" ht="15.75" thickBot="1">
      <c r="A48" s="614" t="s">
        <v>2757</v>
      </c>
      <c r="B48" s="887"/>
      <c r="C48" s="2631" t="e">
        <f>R49</f>
        <v>#DIV/0!</v>
      </c>
      <c r="D48" s="2632"/>
      <c r="E48" s="2633" t="e">
        <f>R48</f>
        <v>#DIV/0!</v>
      </c>
      <c r="F48" s="2633"/>
      <c r="G48" s="2631" t="e">
        <f>T48</f>
        <v>#DIV/0!</v>
      </c>
      <c r="H48" s="2632"/>
      <c r="I48" s="2633" t="e">
        <f>V48</f>
        <v>#DIV/0!</v>
      </c>
      <c r="J48" s="2632"/>
      <c r="K48" s="1606"/>
      <c r="L48" s="2142"/>
      <c r="M48" s="2143"/>
      <c r="N48" s="2143"/>
      <c r="O48" s="2143"/>
      <c r="P48" s="3507" t="str">
        <f>A48</f>
        <v>比较价格（元/平方米）</v>
      </c>
      <c r="Q48" s="3507"/>
      <c r="R48" s="3612" t="e">
        <f>IF(F1="售价",ROUND(PRODUCT(R47,AA7:AA46),0),ROUND(PRODUCT(R47,AA7:AA46),1))</f>
        <v>#DIV/0!</v>
      </c>
      <c r="S48" s="3612"/>
      <c r="T48" s="3612" t="e">
        <f>IF(F1="售价",ROUND(PRODUCT(T47,AB7:AB46),0),ROUND(PRODUCT(T47,AB7:AB46),1))</f>
        <v>#DIV/0!</v>
      </c>
      <c r="U48" s="3612"/>
      <c r="V48" s="3612" t="e">
        <f>IF(F1="售价",ROUND(PRODUCT(V47,AC7:AC46),0),ROUND(PRODUCT(V47,AC7:AC46),1))</f>
        <v>#DIV/0!</v>
      </c>
      <c r="W48" s="3612"/>
      <c r="X48" s="1558"/>
      <c r="Y48" s="1558"/>
      <c r="Z48" s="1558"/>
      <c r="AA48" s="1558"/>
      <c r="AB48" s="1558"/>
      <c r="AC48" s="1558"/>
    </row>
    <row r="49" spans="1:29" ht="15.75" thickBot="1">
      <c r="A49" s="620" t="s">
        <v>2921</v>
      </c>
      <c r="B49" s="621"/>
      <c r="C49" s="2634" t="e">
        <f>R49</f>
        <v>#DIV/0!</v>
      </c>
      <c r="D49" s="2634"/>
      <c r="E49" s="2634"/>
      <c r="F49" s="2634"/>
      <c r="G49" s="2634"/>
      <c r="H49" s="2634"/>
      <c r="I49" s="2634"/>
      <c r="J49" s="2634"/>
      <c r="K49" s="1607"/>
      <c r="L49" s="2142"/>
      <c r="M49" s="2143"/>
      <c r="N49" s="2143"/>
      <c r="O49" s="2143"/>
      <c r="P49" s="3528" t="str">
        <f>A49</f>
        <v>估价对象XX用房的比较价格（楼面单价，元/平方米）</v>
      </c>
      <c r="Q49" s="3529"/>
      <c r="R49" s="3611" t="e">
        <f>IF(F1="售价",ROUND(AVERAGE(R48:V48),0),ROUND(AVERAGE(R48:V48),1))</f>
        <v>#DIV/0!</v>
      </c>
      <c r="S49" s="3611"/>
      <c r="T49" s="3611"/>
      <c r="U49" s="3611"/>
      <c r="V49" s="3611"/>
      <c r="W49" s="3611"/>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3" t="s">
        <v>574</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6" customFormat="1" ht="15">
      <c r="A58" s="644" t="s">
        <v>529</v>
      </c>
      <c r="B58" s="645"/>
      <c r="C58" s="2802" t="str">
        <f>YEAR(C7)&amp;"-"&amp;MONTH(C7)</f>
        <v>2018-12</v>
      </c>
      <c r="D58" s="2802">
        <f>EDATE(C58,-1)</f>
        <v>43405</v>
      </c>
      <c r="E58" s="2802">
        <f t="shared" ref="E58:O58" si="13">EDATE(D58,-1)</f>
        <v>43374</v>
      </c>
      <c r="F58" s="2802">
        <f t="shared" si="13"/>
        <v>43344</v>
      </c>
      <c r="G58" s="2802">
        <f t="shared" si="13"/>
        <v>43313</v>
      </c>
      <c r="H58" s="2802">
        <f t="shared" si="13"/>
        <v>43282</v>
      </c>
      <c r="I58" s="2802">
        <f t="shared" si="13"/>
        <v>43252</v>
      </c>
      <c r="J58" s="2802">
        <f t="shared" si="13"/>
        <v>43221</v>
      </c>
      <c r="K58" s="2802">
        <f t="shared" si="13"/>
        <v>43191</v>
      </c>
      <c r="L58" s="2802">
        <f t="shared" si="13"/>
        <v>43160</v>
      </c>
      <c r="M58" s="2802">
        <f t="shared" si="13"/>
        <v>43132</v>
      </c>
      <c r="N58" s="2802">
        <f t="shared" si="13"/>
        <v>43101</v>
      </c>
      <c r="O58" s="2802">
        <f t="shared" si="13"/>
        <v>43070</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49"/>
      <c r="N59" s="649"/>
      <c r="O59" s="649"/>
      <c r="P59" s="2156"/>
      <c r="Q59" s="1991"/>
      <c r="R59" s="1991"/>
      <c r="S59" s="1991"/>
      <c r="T59" s="1991"/>
      <c r="U59" s="1991"/>
      <c r="V59" s="1991"/>
      <c r="W59" s="1991"/>
      <c r="X59" s="1991"/>
      <c r="Y59" s="1991"/>
      <c r="Z59" s="1991"/>
      <c r="AA59" s="1991"/>
      <c r="AB59" s="1991"/>
      <c r="AC59" s="1991"/>
    </row>
    <row r="60" spans="1:29" s="1219"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c r="A63" s="663" t="s">
        <v>577</v>
      </c>
      <c r="B63" s="664" t="s">
        <v>534</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1608"/>
      <c r="F64" s="1608"/>
      <c r="G64" s="1608"/>
      <c r="H64" s="1608"/>
      <c r="I64" s="1608"/>
      <c r="J64" s="1608"/>
      <c r="K64" s="1608"/>
      <c r="L64" s="1608"/>
      <c r="M64" s="1609"/>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4">C66-$K10</f>
        <v>100</v>
      </c>
      <c r="E66" s="678">
        <f t="shared" si="14"/>
        <v>100</v>
      </c>
      <c r="F66" s="678">
        <f t="shared" si="14"/>
        <v>100</v>
      </c>
      <c r="G66" s="678">
        <f t="shared" si="14"/>
        <v>100</v>
      </c>
      <c r="H66" s="678">
        <f t="shared" si="14"/>
        <v>100</v>
      </c>
      <c r="I66" s="678">
        <f t="shared" si="14"/>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（含）-</v>
      </c>
      <c r="D67" s="681" t="str">
        <f t="shared" ref="D67:L67" si="15">D68&amp;"（含）"&amp;"-"&amp;E68</f>
        <v>（含）-</v>
      </c>
      <c r="E67" s="681" t="str">
        <f t="shared" si="15"/>
        <v>（含）-</v>
      </c>
      <c r="F67" s="681" t="str">
        <f t="shared" si="15"/>
        <v>（含）-</v>
      </c>
      <c r="G67" s="681" t="str">
        <f t="shared" si="15"/>
        <v>（含）-</v>
      </c>
      <c r="H67" s="681" t="str">
        <f t="shared" si="15"/>
        <v>（含）-</v>
      </c>
      <c r="I67" s="681" t="str">
        <f t="shared" si="15"/>
        <v>（含）-</v>
      </c>
      <c r="J67" s="681" t="str">
        <f t="shared" si="15"/>
        <v>（含）-</v>
      </c>
      <c r="K67" s="681" t="str">
        <f t="shared" si="15"/>
        <v>（含）-</v>
      </c>
      <c r="L67" s="681" t="str">
        <f t="shared" si="15"/>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6">C69-$K11</f>
        <v>100</v>
      </c>
      <c r="E69" s="678">
        <f t="shared" si="16"/>
        <v>100</v>
      </c>
      <c r="F69" s="678">
        <f t="shared" si="16"/>
        <v>100</v>
      </c>
      <c r="G69" s="678">
        <f t="shared" si="16"/>
        <v>100</v>
      </c>
      <c r="H69" s="678">
        <f t="shared" si="16"/>
        <v>100</v>
      </c>
      <c r="I69" s="678">
        <f t="shared" si="16"/>
        <v>100</v>
      </c>
      <c r="J69" s="678">
        <f t="shared" si="16"/>
        <v>100</v>
      </c>
      <c r="K69" s="678">
        <f t="shared" si="16"/>
        <v>100</v>
      </c>
      <c r="L69" s="678">
        <f t="shared" si="16"/>
        <v>100</v>
      </c>
      <c r="M69" s="679">
        <f t="shared" si="16"/>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2555</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95" t="s">
        <v>2556</v>
      </c>
      <c r="C82" s="2596" t="s">
        <v>2557</v>
      </c>
      <c r="D82" s="2596" t="s">
        <v>2558</v>
      </c>
      <c r="E82" s="2596" t="s">
        <v>2559</v>
      </c>
      <c r="F82" s="2596" t="s">
        <v>2560</v>
      </c>
      <c r="G82" s="2596" t="s">
        <v>2561</v>
      </c>
      <c r="H82" s="673"/>
      <c r="I82" s="673"/>
      <c r="J82" s="673"/>
      <c r="K82" s="673"/>
      <c r="L82" s="673"/>
      <c r="M82" s="2599"/>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1894" t="s">
        <v>2257</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$C$87-($C$86-D86)*$K$25</f>
        <v>100</v>
      </c>
      <c r="E87" s="678">
        <f t="shared" ref="E87:M87" si="17">$C$87-($C$86-E86)*$K$25</f>
        <v>100</v>
      </c>
      <c r="F87" s="678">
        <f t="shared" si="17"/>
        <v>100</v>
      </c>
      <c r="G87" s="678">
        <f t="shared" si="17"/>
        <v>100</v>
      </c>
      <c r="H87" s="678">
        <f t="shared" si="17"/>
        <v>100</v>
      </c>
      <c r="I87" s="678">
        <f t="shared" si="17"/>
        <v>100</v>
      </c>
      <c r="J87" s="678">
        <f t="shared" si="17"/>
        <v>100</v>
      </c>
      <c r="K87" s="678">
        <f t="shared" si="17"/>
        <v>100</v>
      </c>
      <c r="L87" s="678">
        <f t="shared" si="17"/>
        <v>100</v>
      </c>
      <c r="M87" s="678">
        <f t="shared" si="17"/>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
        <v>746</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711">
        <v>100</v>
      </c>
      <c r="D89" s="678">
        <f t="shared" ref="D89:M89" si="18">C89-$K26</f>
        <v>100</v>
      </c>
      <c r="E89" s="678">
        <f t="shared" si="18"/>
        <v>100</v>
      </c>
      <c r="F89" s="678">
        <f t="shared" si="18"/>
        <v>100</v>
      </c>
      <c r="G89" s="678">
        <f t="shared" si="18"/>
        <v>100</v>
      </c>
      <c r="H89" s="678">
        <f t="shared" si="18"/>
        <v>100</v>
      </c>
      <c r="I89" s="678">
        <f t="shared" si="18"/>
        <v>100</v>
      </c>
      <c r="J89" s="678">
        <f t="shared" si="18"/>
        <v>100</v>
      </c>
      <c r="K89" s="678">
        <f t="shared" si="18"/>
        <v>100</v>
      </c>
      <c r="L89" s="678">
        <f t="shared" si="18"/>
        <v>100</v>
      </c>
      <c r="M89" s="678">
        <f t="shared" si="18"/>
        <v>100</v>
      </c>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道路级别</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691"/>
      <c r="D91" s="691"/>
      <c r="E91" s="691"/>
      <c r="F91" s="691"/>
      <c r="G91" s="691"/>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thickTop="1">
      <c r="A92" s="668"/>
      <c r="B92" s="672">
        <f>B28</f>
        <v>111</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747</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19">C101-$K32</f>
        <v>100</v>
      </c>
      <c r="E101" s="678">
        <f t="shared" si="19"/>
        <v>100</v>
      </c>
      <c r="F101" s="678">
        <f t="shared" si="19"/>
        <v>100</v>
      </c>
      <c r="G101" s="678">
        <f t="shared" si="19"/>
        <v>100</v>
      </c>
      <c r="H101" s="678">
        <f t="shared" si="19"/>
        <v>100</v>
      </c>
      <c r="I101" s="678">
        <f t="shared" si="19"/>
        <v>100</v>
      </c>
      <c r="J101" s="678">
        <f t="shared" si="19"/>
        <v>100</v>
      </c>
      <c r="K101" s="678">
        <f t="shared" si="19"/>
        <v>100</v>
      </c>
      <c r="L101" s="678">
        <f t="shared" si="19"/>
        <v>100</v>
      </c>
      <c r="M101" s="678">
        <f t="shared" si="19"/>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748</v>
      </c>
      <c r="C102" s="707" t="str">
        <f>C103&amp;"(含)"&amp;"-"&amp;D103</f>
        <v>(含)-</v>
      </c>
      <c r="D102" s="707" t="str">
        <f t="shared" ref="D102:L102" si="20">D103&amp;"(含)"&amp;"-"&amp;E103</f>
        <v>(含)-</v>
      </c>
      <c r="E102" s="707" t="str">
        <f t="shared" si="20"/>
        <v>(含)-</v>
      </c>
      <c r="F102" s="707" t="str">
        <f t="shared" si="20"/>
        <v>(含)-</v>
      </c>
      <c r="G102" s="707" t="str">
        <f t="shared" si="20"/>
        <v>(含)-</v>
      </c>
      <c r="H102" s="707" t="str">
        <f t="shared" si="20"/>
        <v>(含)-</v>
      </c>
      <c r="I102" s="707" t="str">
        <f t="shared" si="20"/>
        <v>(含)-</v>
      </c>
      <c r="J102" s="707" t="str">
        <f t="shared" si="20"/>
        <v>(含)-</v>
      </c>
      <c r="K102" s="707" t="str">
        <f t="shared" si="20"/>
        <v>(含)-</v>
      </c>
      <c r="L102" s="707" t="str">
        <f t="shared" si="20"/>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1">C106-$K34</f>
        <v>100</v>
      </c>
      <c r="E106" s="678">
        <f t="shared" si="21"/>
        <v>100</v>
      </c>
      <c r="F106" s="678">
        <f t="shared" si="21"/>
        <v>100</v>
      </c>
      <c r="G106" s="678">
        <f t="shared" si="21"/>
        <v>100</v>
      </c>
      <c r="H106" s="678">
        <f t="shared" si="21"/>
        <v>100</v>
      </c>
      <c r="I106" s="678">
        <f t="shared" si="21"/>
        <v>100</v>
      </c>
      <c r="J106" s="678">
        <f t="shared" si="21"/>
        <v>100</v>
      </c>
      <c r="K106" s="678">
        <f t="shared" si="21"/>
        <v>100</v>
      </c>
      <c r="L106" s="678">
        <f t="shared" si="21"/>
        <v>100</v>
      </c>
      <c r="M106" s="678">
        <f t="shared" si="21"/>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750</v>
      </c>
      <c r="C107" s="717"/>
      <c r="D107" s="717"/>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2">C108-$K35</f>
        <v>100</v>
      </c>
      <c r="E108" s="678">
        <f t="shared" si="22"/>
        <v>100</v>
      </c>
      <c r="F108" s="678">
        <f t="shared" si="22"/>
        <v>100</v>
      </c>
      <c r="G108" s="678">
        <f t="shared" si="22"/>
        <v>100</v>
      </c>
      <c r="H108" s="678">
        <f t="shared" si="22"/>
        <v>100</v>
      </c>
      <c r="I108" s="678">
        <f t="shared" si="22"/>
        <v>100</v>
      </c>
      <c r="J108" s="678">
        <f t="shared" si="22"/>
        <v>100</v>
      </c>
      <c r="K108" s="678">
        <f t="shared" si="22"/>
        <v>100</v>
      </c>
      <c r="L108" s="678">
        <f t="shared" si="22"/>
        <v>100</v>
      </c>
      <c r="M108" s="678">
        <f t="shared" si="22"/>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751</v>
      </c>
      <c r="C109" s="687"/>
      <c r="D109" s="687"/>
      <c r="E109" s="687"/>
      <c r="F109" s="717"/>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3">C110-$K36</f>
        <v>100</v>
      </c>
      <c r="E110" s="678">
        <f t="shared" si="23"/>
        <v>100</v>
      </c>
      <c r="F110" s="678">
        <f t="shared" si="23"/>
        <v>100</v>
      </c>
      <c r="G110" s="678">
        <f t="shared" si="23"/>
        <v>100</v>
      </c>
      <c r="H110" s="678">
        <f t="shared" si="23"/>
        <v>100</v>
      </c>
      <c r="I110" s="678">
        <f t="shared" si="23"/>
        <v>100</v>
      </c>
      <c r="J110" s="678">
        <f t="shared" si="23"/>
        <v>100</v>
      </c>
      <c r="K110" s="678">
        <f t="shared" si="23"/>
        <v>100</v>
      </c>
      <c r="L110" s="678">
        <f t="shared" si="23"/>
        <v>100</v>
      </c>
      <c r="M110" s="678">
        <f t="shared" si="23"/>
        <v>100</v>
      </c>
      <c r="N110" s="2164"/>
      <c r="O110" s="2164"/>
      <c r="P110" s="2163"/>
      <c r="Q110" s="2156"/>
      <c r="R110" s="2143"/>
      <c r="S110" s="2143"/>
      <c r="T110" s="2143"/>
      <c r="U110" s="2143"/>
      <c r="V110" s="2143"/>
      <c r="W110" s="2143"/>
      <c r="X110" s="2143"/>
      <c r="Y110" s="2143"/>
      <c r="Z110" s="2143"/>
      <c r="AA110" s="2143"/>
      <c r="AB110" s="2143"/>
      <c r="AC110" s="2143"/>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8" customFormat="1">
      <c r="A112" s="727"/>
      <c r="B112" s="680"/>
      <c r="C112" s="893">
        <v>0.5</v>
      </c>
      <c r="D112" s="893">
        <v>0.6</v>
      </c>
      <c r="E112" s="893">
        <v>0.7</v>
      </c>
      <c r="F112" s="893">
        <v>0.8</v>
      </c>
      <c r="G112" s="893">
        <v>0.9</v>
      </c>
      <c r="H112" s="893">
        <v>1.0001</v>
      </c>
      <c r="I112" s="893"/>
      <c r="J112" s="894"/>
      <c r="K112" s="894"/>
      <c r="L112" s="895"/>
      <c r="M112" s="896"/>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753</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4">C115-$K38</f>
        <v>100</v>
      </c>
      <c r="E115" s="678">
        <f t="shared" si="24"/>
        <v>100</v>
      </c>
      <c r="F115" s="678">
        <f t="shared" si="24"/>
        <v>100</v>
      </c>
      <c r="G115" s="678">
        <f t="shared" si="24"/>
        <v>100</v>
      </c>
      <c r="H115" s="678">
        <f t="shared" si="24"/>
        <v>100</v>
      </c>
      <c r="I115" s="678">
        <f t="shared" si="24"/>
        <v>100</v>
      </c>
      <c r="J115" s="678">
        <f t="shared" si="24"/>
        <v>100</v>
      </c>
      <c r="K115" s="678">
        <f t="shared" si="24"/>
        <v>100</v>
      </c>
      <c r="L115" s="678">
        <f t="shared" si="24"/>
        <v>100</v>
      </c>
      <c r="M115" s="678">
        <f t="shared" si="24"/>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2554</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754</v>
      </c>
      <c r="C118" s="717"/>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78">
        <v>100</v>
      </c>
      <c r="D119" s="678">
        <f t="shared" ref="D119:M119" si="25">C119-$K40</f>
        <v>100</v>
      </c>
      <c r="E119" s="678">
        <f t="shared" si="25"/>
        <v>100</v>
      </c>
      <c r="F119" s="678">
        <f t="shared" si="25"/>
        <v>100</v>
      </c>
      <c r="G119" s="678">
        <f t="shared" si="25"/>
        <v>100</v>
      </c>
      <c r="H119" s="678">
        <f t="shared" si="25"/>
        <v>100</v>
      </c>
      <c r="I119" s="678">
        <f t="shared" si="25"/>
        <v>100</v>
      </c>
      <c r="J119" s="678">
        <f t="shared" si="25"/>
        <v>100</v>
      </c>
      <c r="K119" s="678">
        <f t="shared" si="25"/>
        <v>100</v>
      </c>
      <c r="L119" s="678">
        <f t="shared" si="25"/>
        <v>100</v>
      </c>
      <c r="M119" s="678">
        <f t="shared" si="25"/>
        <v>100</v>
      </c>
      <c r="N119" s="2164"/>
      <c r="O119" s="2164"/>
      <c r="P119" s="2163"/>
      <c r="Q119" s="2156"/>
      <c r="R119" s="2143"/>
      <c r="S119" s="2143"/>
      <c r="T119" s="2143"/>
      <c r="U119" s="2143"/>
      <c r="V119" s="2143"/>
      <c r="W119" s="2143"/>
      <c r="X119" s="2143"/>
      <c r="Y119" s="2143"/>
      <c r="Z119" s="2143"/>
      <c r="AA119" s="2143"/>
      <c r="AB119" s="2143"/>
      <c r="AC119" s="2143"/>
    </row>
    <row r="120" spans="1:29" s="1338" customFormat="1" ht="28.5" thickTop="1">
      <c r="A120" s="727"/>
      <c r="B120" s="672" t="s">
        <v>733</v>
      </c>
      <c r="C120" s="687"/>
      <c r="D120" s="687"/>
      <c r="E120" s="687"/>
      <c r="F120" s="687"/>
      <c r="G120" s="687"/>
      <c r="H120" s="687"/>
      <c r="I120" s="687"/>
      <c r="J120" s="687"/>
      <c r="K120" s="687"/>
      <c r="L120" s="889"/>
      <c r="M120" s="8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691"/>
      <c r="D121" s="670"/>
      <c r="E121" s="670"/>
      <c r="F121" s="670"/>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6">C123-$K42</f>
        <v>100</v>
      </c>
      <c r="E123" s="678">
        <f t="shared" si="26"/>
        <v>100</v>
      </c>
      <c r="F123" s="678">
        <f t="shared" si="26"/>
        <v>100</v>
      </c>
      <c r="G123" s="678">
        <f t="shared" si="26"/>
        <v>100</v>
      </c>
      <c r="H123" s="678">
        <f t="shared" si="26"/>
        <v>100</v>
      </c>
      <c r="I123" s="678">
        <f t="shared" si="26"/>
        <v>100</v>
      </c>
      <c r="J123" s="678">
        <f t="shared" si="26"/>
        <v>100</v>
      </c>
      <c r="K123" s="678">
        <f t="shared" si="26"/>
        <v>100</v>
      </c>
      <c r="L123" s="678">
        <f t="shared" si="26"/>
        <v>100</v>
      </c>
      <c r="M123" s="678">
        <f t="shared" si="26"/>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2258</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2259</v>
      </c>
      <c r="C137" s="1917"/>
      <c r="D137" s="1917"/>
      <c r="E137" s="1917"/>
      <c r="F137" s="1917"/>
      <c r="G137" s="1918"/>
      <c r="H137" s="1919"/>
      <c r="I137" s="1920" t="s">
        <v>2260</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2261</v>
      </c>
      <c r="D138" s="1923" t="s">
        <v>2262</v>
      </c>
      <c r="E138" s="1924" t="s">
        <v>2263</v>
      </c>
      <c r="F138" s="1925" t="s">
        <v>2264</v>
      </c>
      <c r="G138" s="1923" t="s">
        <v>2265</v>
      </c>
      <c r="H138" s="1926" t="s">
        <v>2266</v>
      </c>
      <c r="I138" s="1927"/>
      <c r="J138" s="1923" t="s">
        <v>2267</v>
      </c>
      <c r="K138" s="1926" t="s">
        <v>2268</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2269</v>
      </c>
      <c r="E139" s="1897">
        <v>100</v>
      </c>
      <c r="F139" s="1898">
        <v>102.5</v>
      </c>
      <c r="G139" s="1928" t="s">
        <v>2270</v>
      </c>
      <c r="H139" s="1899">
        <v>105</v>
      </c>
      <c r="I139" s="1929" t="s">
        <v>2271</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2272</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2273</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2274</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2275</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2276</v>
      </c>
      <c r="E144" s="1903">
        <v>102</v>
      </c>
      <c r="F144" s="1909">
        <v>100</v>
      </c>
      <c r="G144" s="1932" t="s">
        <v>2276</v>
      </c>
      <c r="H144" s="1905">
        <v>105</v>
      </c>
      <c r="I144" s="1931" t="s">
        <v>2275</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2277</v>
      </c>
      <c r="C145" s="1910">
        <f>ROUND(MAX(C139:C144)/MIN(C139:C144)-1,3)</f>
        <v>7.2999999999999995E-2</v>
      </c>
      <c r="D145" s="1934"/>
      <c r="E145" s="1934"/>
      <c r="F145" s="1935" t="s">
        <v>2278</v>
      </c>
      <c r="G145" s="1936"/>
      <c r="H145" s="1937"/>
      <c r="I145" s="1938" t="s">
        <v>2275</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2287</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2288</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68"/>
      <c r="E1" s="505"/>
      <c r="F1" s="2805"/>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5"/>
      <c r="D2" s="2125"/>
      <c r="E2" s="2059"/>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1564"/>
    </row>
    <row r="3" spans="1:29" s="1335" customFormat="1" ht="28.5" customHeight="1" thickBot="1">
      <c r="A3" s="508" t="s">
        <v>519</v>
      </c>
      <c r="B3" s="509" t="e">
        <f>C49</f>
        <v>#DIV/0!</v>
      </c>
      <c r="C3" s="851" t="s">
        <v>722</v>
      </c>
      <c r="D3" s="850">
        <f>SUMIF('数据-汇总表'!$C19:$C33,D1,'数据-汇总表'!$E19:$E33)</f>
        <v>0</v>
      </c>
      <c r="E3" s="2059"/>
      <c r="F3" s="2127"/>
      <c r="G3" s="2126"/>
      <c r="H3" s="2126"/>
      <c r="I3" s="2126"/>
      <c r="J3" s="2126"/>
      <c r="K3" s="2128"/>
      <c r="L3" s="2129"/>
      <c r="M3" s="2130"/>
      <c r="N3" s="2130"/>
      <c r="O3" s="2130"/>
      <c r="P3" s="1563"/>
      <c r="Q3" s="1563"/>
      <c r="R3" s="1563"/>
      <c r="S3" s="1563"/>
      <c r="T3" s="1563"/>
      <c r="U3" s="1563"/>
      <c r="V3" s="1563"/>
      <c r="W3" s="1563"/>
      <c r="X3" s="1563"/>
      <c r="Y3" s="1563"/>
      <c r="Z3" s="1563"/>
      <c r="AA3" s="1563"/>
      <c r="AB3" s="1563"/>
      <c r="AC3" s="427"/>
    </row>
    <row r="4" spans="1:29" ht="15">
      <c r="A4" s="511" t="s">
        <v>521</v>
      </c>
      <c r="B4" s="512"/>
      <c r="C4" s="3513" t="s">
        <v>522</v>
      </c>
      <c r="D4" s="3514"/>
      <c r="E4" s="3537" t="s">
        <v>523</v>
      </c>
      <c r="F4" s="3538"/>
      <c r="G4" s="3513" t="s">
        <v>524</v>
      </c>
      <c r="H4" s="3514"/>
      <c r="I4" s="3513" t="s">
        <v>525</v>
      </c>
      <c r="J4" s="3514"/>
      <c r="K4" s="513" t="s">
        <v>526</v>
      </c>
      <c r="L4" s="2131"/>
      <c r="M4" s="2132"/>
      <c r="N4" s="2132"/>
      <c r="O4" s="2132"/>
      <c r="P4" s="3515" t="s">
        <v>527</v>
      </c>
      <c r="Q4" s="3516"/>
      <c r="R4" s="3501" t="s">
        <v>523</v>
      </c>
      <c r="S4" s="3502"/>
      <c r="T4" s="3501" t="s">
        <v>524</v>
      </c>
      <c r="U4" s="3502"/>
      <c r="V4" s="3521" t="s">
        <v>525</v>
      </c>
      <c r="W4" s="3521"/>
      <c r="X4" s="1566"/>
      <c r="Y4" s="3501" t="s">
        <v>527</v>
      </c>
      <c r="Z4" s="3502"/>
      <c r="AA4" s="3496" t="s">
        <v>523</v>
      </c>
      <c r="AB4" s="3521" t="s">
        <v>524</v>
      </c>
      <c r="AC4" s="3496" t="s">
        <v>525</v>
      </c>
    </row>
    <row r="5" spans="1:29" ht="15">
      <c r="A5" s="514"/>
      <c r="B5" s="515"/>
      <c r="C5" s="3541" t="s">
        <v>2915</v>
      </c>
      <c r="D5" s="3542"/>
      <c r="E5" s="3539" t="s">
        <v>2916</v>
      </c>
      <c r="F5" s="3540"/>
      <c r="G5" s="3541" t="s">
        <v>2917</v>
      </c>
      <c r="H5" s="3542"/>
      <c r="I5" s="3541" t="s">
        <v>2918</v>
      </c>
      <c r="J5" s="3542"/>
      <c r="K5" s="513"/>
      <c r="L5" s="2131"/>
      <c r="M5" s="2132"/>
      <c r="N5" s="2132"/>
      <c r="O5" s="2132"/>
      <c r="P5" s="3517"/>
      <c r="Q5" s="3518"/>
      <c r="R5" s="3503"/>
      <c r="S5" s="3504"/>
      <c r="T5" s="3503"/>
      <c r="U5" s="3504"/>
      <c r="V5" s="3521"/>
      <c r="W5" s="3521"/>
      <c r="X5" s="1566"/>
      <c r="Y5" s="3503"/>
      <c r="Z5" s="3504"/>
      <c r="AA5" s="3497"/>
      <c r="AB5" s="3521"/>
      <c r="AC5" s="3497"/>
    </row>
    <row r="6" spans="1:29" ht="15.75" thickBot="1">
      <c r="A6" s="516"/>
      <c r="B6" s="517"/>
      <c r="C6" s="3543" t="s">
        <v>2919</v>
      </c>
      <c r="D6" s="3544"/>
      <c r="E6" s="3545" t="s">
        <v>2919</v>
      </c>
      <c r="F6" s="3546"/>
      <c r="G6" s="3543" t="s">
        <v>2919</v>
      </c>
      <c r="H6" s="3544"/>
      <c r="I6" s="3543" t="s">
        <v>2919</v>
      </c>
      <c r="J6" s="3544"/>
      <c r="K6" s="513" t="s">
        <v>528</v>
      </c>
      <c r="L6" s="2131"/>
      <c r="M6" s="2132"/>
      <c r="N6" s="2132"/>
      <c r="O6" s="2132"/>
      <c r="P6" s="3519"/>
      <c r="Q6" s="3520"/>
      <c r="R6" s="3503"/>
      <c r="S6" s="3504"/>
      <c r="T6" s="3505"/>
      <c r="U6" s="3506"/>
      <c r="V6" s="3521"/>
      <c r="W6" s="3521"/>
      <c r="X6" s="1566"/>
      <c r="Y6" s="3505"/>
      <c r="Z6" s="3506"/>
      <c r="AA6" s="3498"/>
      <c r="AB6" s="3521"/>
      <c r="AC6" s="3498"/>
    </row>
    <row r="7" spans="1:29" s="1219" customFormat="1" ht="15.75" thickBot="1">
      <c r="A7" s="2909"/>
      <c r="B7" s="2916" t="s">
        <v>529</v>
      </c>
      <c r="C7" s="518">
        <f>'数据-取费表'!B2</f>
        <v>43444</v>
      </c>
      <c r="D7" s="519">
        <v>100</v>
      </c>
      <c r="E7" s="520"/>
      <c r="F7" s="521">
        <f>SUMIF(58:58,YEAR(E7)&amp;"-"&amp;MONTH(E7),59:59)</f>
        <v>0</v>
      </c>
      <c r="G7" s="520"/>
      <c r="H7" s="519">
        <f>SUMIF(58:58,YEAR(G7)&amp;"-"&amp;MONTH(G7),59:59)</f>
        <v>0</v>
      </c>
      <c r="I7" s="520"/>
      <c r="J7" s="519">
        <f>SUMIF(58:58,YEAR(I7)&amp;"-"&amp;MONTH(I7),59:59)</f>
        <v>0</v>
      </c>
      <c r="K7" s="523"/>
      <c r="L7" s="2133"/>
      <c r="M7" s="2134"/>
      <c r="N7" s="2134"/>
      <c r="O7" s="2134"/>
      <c r="P7" s="3499" t="s">
        <v>530</v>
      </c>
      <c r="Q7" s="3508"/>
      <c r="R7" s="1567" t="s">
        <v>8</v>
      </c>
      <c r="S7" s="1568">
        <f t="shared" ref="S7:S15" si="0">F7</f>
        <v>0</v>
      </c>
      <c r="T7" s="1567" t="s">
        <v>8</v>
      </c>
      <c r="U7" s="1568">
        <f t="shared" ref="U7:U15" si="1">H7</f>
        <v>0</v>
      </c>
      <c r="V7" s="1567" t="s">
        <v>8</v>
      </c>
      <c r="W7" s="1568">
        <f t="shared" ref="W7:W15" si="2">J7</f>
        <v>0</v>
      </c>
      <c r="X7" s="1569"/>
      <c r="Y7" s="3499" t="s">
        <v>530</v>
      </c>
      <c r="Z7" s="3500"/>
      <c r="AA7" s="1570" t="e">
        <f>D7/F7</f>
        <v>#DIV/0!</v>
      </c>
      <c r="AB7" s="1570" t="e">
        <f>D7/H7</f>
        <v>#DIV/0!</v>
      </c>
      <c r="AC7" s="1570" t="e">
        <f>D7/J7</f>
        <v>#DIV/0!</v>
      </c>
    </row>
    <row r="8" spans="1:29" s="1219" customFormat="1" ht="15.75" thickBot="1">
      <c r="A8" s="2910"/>
      <c r="B8" s="2917" t="s">
        <v>531</v>
      </c>
      <c r="C8" s="524" t="s">
        <v>576</v>
      </c>
      <c r="D8" s="519">
        <v>100</v>
      </c>
      <c r="E8" s="524"/>
      <c r="F8" s="521">
        <f>SUMIF(61:61,E8,62:62)-SUMIF(61:61,C8,62:62)+100</f>
        <v>0</v>
      </c>
      <c r="G8" s="524"/>
      <c r="H8" s="519">
        <f>SUMIF(61:61,G8,62:62)-SUMIF(61:61,C8,62:62)+100</f>
        <v>0</v>
      </c>
      <c r="I8" s="524"/>
      <c r="J8" s="519">
        <f>SUMIF(61:61,I8,62:62)-SUMIF(61:61,C8,62:62)+100</f>
        <v>0</v>
      </c>
      <c r="K8" s="523"/>
      <c r="L8" s="2133"/>
      <c r="M8" s="2134"/>
      <c r="N8" s="2134"/>
      <c r="O8" s="2134"/>
      <c r="P8" s="3499" t="s">
        <v>533</v>
      </c>
      <c r="Q8" s="3500"/>
      <c r="R8" s="1567" t="s">
        <v>8</v>
      </c>
      <c r="S8" s="1568">
        <f t="shared" si="0"/>
        <v>0</v>
      </c>
      <c r="T8" s="1567" t="s">
        <v>8</v>
      </c>
      <c r="U8" s="1568">
        <f t="shared" si="1"/>
        <v>0</v>
      </c>
      <c r="V8" s="1567" t="s">
        <v>8</v>
      </c>
      <c r="W8" s="1568">
        <f t="shared" si="2"/>
        <v>0</v>
      </c>
      <c r="X8" s="1569"/>
      <c r="Y8" s="3499" t="s">
        <v>533</v>
      </c>
      <c r="Z8" s="3500"/>
      <c r="AA8" s="1570" t="e">
        <f t="shared" ref="AA8:AA46" si="3">D8/F8</f>
        <v>#DIV/0!</v>
      </c>
      <c r="AB8" s="1570" t="e">
        <f t="shared" ref="AB8:AB46" si="4">D8/H8</f>
        <v>#DIV/0!</v>
      </c>
      <c r="AC8" s="1570" t="e">
        <f t="shared" ref="AC8:AC46" si="5">D8/J8</f>
        <v>#DIV/0!</v>
      </c>
    </row>
    <row r="9" spans="1:29" s="1219" customFormat="1" ht="15">
      <c r="A9" s="2911"/>
      <c r="B9" s="2918" t="s">
        <v>2753</v>
      </c>
      <c r="C9" s="856"/>
      <c r="D9" s="253">
        <v>100</v>
      </c>
      <c r="E9" s="859"/>
      <c r="F9" s="253">
        <f>SUMIF(63:63,E9,64:64)-SUMIF(63:63,C9,64:64)+100</f>
        <v>100</v>
      </c>
      <c r="G9" s="857"/>
      <c r="H9" s="253">
        <f>SUMIF(63:63,G9,64:64)-SUMIF(63:63,C9,64:64)+100</f>
        <v>100</v>
      </c>
      <c r="I9" s="857"/>
      <c r="J9" s="253">
        <f>SUMIF(63:63,I9,64:64)-SUMIF(63:63,C9,64:64)+100</f>
        <v>100</v>
      </c>
      <c r="K9" s="523"/>
      <c r="L9" s="2133"/>
      <c r="M9" s="2134"/>
      <c r="N9" s="2134"/>
      <c r="O9" s="2135"/>
      <c r="P9" s="3507" t="s">
        <v>535</v>
      </c>
      <c r="Q9" s="1150" t="str">
        <f t="shared" ref="Q9:Q15" si="6">B9</f>
        <v>用途</v>
      </c>
      <c r="R9" s="1567" t="s">
        <v>8</v>
      </c>
      <c r="S9" s="1568">
        <f t="shared" si="0"/>
        <v>100</v>
      </c>
      <c r="T9" s="1567" t="s">
        <v>8</v>
      </c>
      <c r="U9" s="1568">
        <f t="shared" si="1"/>
        <v>100</v>
      </c>
      <c r="V9" s="1567" t="s">
        <v>8</v>
      </c>
      <c r="W9" s="1568">
        <f t="shared" si="2"/>
        <v>100</v>
      </c>
      <c r="X9" s="1569"/>
      <c r="Y9" s="3464" t="s">
        <v>536</v>
      </c>
      <c r="Z9" s="1149" t="str">
        <f t="shared" ref="Z9:Z15" si="7">Q9</f>
        <v>用途</v>
      </c>
      <c r="AA9" s="1570">
        <f t="shared" si="3"/>
        <v>1</v>
      </c>
      <c r="AB9" s="1570">
        <f t="shared" si="4"/>
        <v>1</v>
      </c>
      <c r="AC9" s="1570">
        <f t="shared" si="5"/>
        <v>1</v>
      </c>
    </row>
    <row r="10" spans="1:29" s="1337" customFormat="1" ht="27">
      <c r="A10" s="2912"/>
      <c r="B10" s="2917" t="s">
        <v>2754</v>
      </c>
      <c r="C10" s="860"/>
      <c r="D10" s="254">
        <v>100</v>
      </c>
      <c r="E10" s="860"/>
      <c r="F10" s="254">
        <f>SUMIF(65:65,E10,66:66)-SUMIF(65:65,C10,66:66)+100</f>
        <v>100</v>
      </c>
      <c r="G10" s="861"/>
      <c r="H10" s="254">
        <f>SUMIF(65:65,G10,66:66)-SUMIF(65:65,C10,66:66)+100</f>
        <v>100</v>
      </c>
      <c r="I10" s="860"/>
      <c r="J10" s="254">
        <f>SUMIF(65:65,I10,66:66)-SUMIF(65:65,C10,66:66)+100</f>
        <v>100</v>
      </c>
      <c r="K10" s="583"/>
      <c r="L10" s="2136"/>
      <c r="M10" s="2176"/>
      <c r="N10" s="2176"/>
      <c r="O10" s="2137"/>
      <c r="P10" s="3507"/>
      <c r="Q10" s="1150" t="str">
        <f t="shared" si="6"/>
        <v>土地使用年限（年）</v>
      </c>
      <c r="R10" s="1567" t="s">
        <v>8</v>
      </c>
      <c r="S10" s="1568">
        <f t="shared" si="0"/>
        <v>100</v>
      </c>
      <c r="T10" s="1567" t="s">
        <v>8</v>
      </c>
      <c r="U10" s="1568">
        <f t="shared" si="1"/>
        <v>100</v>
      </c>
      <c r="V10" s="1567" t="s">
        <v>8</v>
      </c>
      <c r="W10" s="1568">
        <f t="shared" si="2"/>
        <v>100</v>
      </c>
      <c r="X10" s="1569"/>
      <c r="Y10" s="3464"/>
      <c r="Z10" s="1149" t="str">
        <f t="shared" si="7"/>
        <v>土地使用年限（年）</v>
      </c>
      <c r="AA10" s="1570">
        <f t="shared" si="3"/>
        <v>1</v>
      </c>
      <c r="AB10" s="1570">
        <f t="shared" si="4"/>
        <v>1</v>
      </c>
      <c r="AC10" s="1570">
        <f t="shared" si="5"/>
        <v>1</v>
      </c>
    </row>
    <row r="11" spans="1:29" ht="15">
      <c r="A11" s="2913"/>
      <c r="B11" s="2917" t="s">
        <v>2755</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8"/>
      <c r="M11" s="2132"/>
      <c r="N11" s="2132"/>
      <c r="O11" s="2139"/>
      <c r="P11" s="3507"/>
      <c r="Q11" s="1150" t="str">
        <f t="shared" si="6"/>
        <v>容积率</v>
      </c>
      <c r="R11" s="1567" t="s">
        <v>8</v>
      </c>
      <c r="S11" s="1568" t="e">
        <f t="shared" si="0"/>
        <v>#N/A</v>
      </c>
      <c r="T11" s="1567" t="s">
        <v>8</v>
      </c>
      <c r="U11" s="1568" t="e">
        <f t="shared" si="1"/>
        <v>#N/A</v>
      </c>
      <c r="V11" s="1567" t="s">
        <v>8</v>
      </c>
      <c r="W11" s="1568" t="e">
        <f t="shared" si="2"/>
        <v>#N/A</v>
      </c>
      <c r="X11" s="1569"/>
      <c r="Y11" s="3464"/>
      <c r="Z11" s="1149" t="str">
        <f t="shared" si="7"/>
        <v>容积率</v>
      </c>
      <c r="AA11" s="1570" t="e">
        <f t="shared" si="3"/>
        <v>#N/A</v>
      </c>
      <c r="AB11" s="1570" t="e">
        <f t="shared" si="4"/>
        <v>#N/A</v>
      </c>
      <c r="AC11" s="1570" t="e">
        <f t="shared" si="5"/>
        <v>#N/A</v>
      </c>
    </row>
    <row r="12" spans="1:29" s="1219" customFormat="1" ht="15">
      <c r="A12" s="2914"/>
      <c r="B12" s="2920">
        <v>111</v>
      </c>
      <c r="C12" s="527"/>
      <c r="D12" s="537">
        <v>100</v>
      </c>
      <c r="E12" s="538"/>
      <c r="F12" s="254">
        <f>SUMIF(70:70,E12,71:71)-SUMIF(70:70,C12,71:71)+100</f>
        <v>100</v>
      </c>
      <c r="G12" s="911"/>
      <c r="H12" s="254">
        <f>SUMIF(70:70,G12,71:71)-SUMIF(70:70,C12,71:71)+100</f>
        <v>100</v>
      </c>
      <c r="I12" s="538"/>
      <c r="J12" s="254">
        <f>SUMIF(70:70,I12,71:71)-SUMIF(70:70,C12,71:71)+100</f>
        <v>100</v>
      </c>
      <c r="K12" s="580"/>
      <c r="L12" s="2133"/>
      <c r="M12" s="2134"/>
      <c r="N12" s="2134"/>
      <c r="O12" s="2135"/>
      <c r="P12" s="3507"/>
      <c r="Q12" s="1150">
        <f t="shared" si="6"/>
        <v>111</v>
      </c>
      <c r="R12" s="1567" t="s">
        <v>8</v>
      </c>
      <c r="S12" s="1568">
        <f t="shared" si="0"/>
        <v>100</v>
      </c>
      <c r="T12" s="1567" t="s">
        <v>8</v>
      </c>
      <c r="U12" s="1568">
        <f t="shared" si="1"/>
        <v>100</v>
      </c>
      <c r="V12" s="1567" t="s">
        <v>8</v>
      </c>
      <c r="W12" s="1568">
        <f t="shared" si="2"/>
        <v>100</v>
      </c>
      <c r="X12" s="1569"/>
      <c r="Y12" s="3464"/>
      <c r="Z12" s="1149">
        <f t="shared" si="7"/>
        <v>111</v>
      </c>
      <c r="AA12" s="1570">
        <f>D12/F12</f>
        <v>1</v>
      </c>
      <c r="AB12" s="1570">
        <f>D12/H12</f>
        <v>1</v>
      </c>
      <c r="AC12" s="1570">
        <f>D12/J12</f>
        <v>1</v>
      </c>
    </row>
    <row r="13" spans="1:29" ht="15">
      <c r="A13" s="2914"/>
      <c r="B13" s="2920">
        <v>111</v>
      </c>
      <c r="C13" s="538"/>
      <c r="D13" s="539">
        <v>100</v>
      </c>
      <c r="E13" s="538"/>
      <c r="F13" s="254">
        <f>SUMIF(72:72,E13,73:73)-SUMIF(72:72,C13,73:73)+100</f>
        <v>100</v>
      </c>
      <c r="G13" s="911"/>
      <c r="H13" s="539">
        <f>SUMIF(72:72,G13,73:73)-SUMIF(72:72,C13,73:73)+100</f>
        <v>100</v>
      </c>
      <c r="I13" s="538"/>
      <c r="J13" s="539">
        <f>SUMIF(72:72,I13,73:73)-SUMIF(72:72,C13,73:73)+100</f>
        <v>100</v>
      </c>
      <c r="K13" s="580"/>
      <c r="L13" s="2140"/>
      <c r="M13" s="2132"/>
      <c r="N13" s="2132"/>
      <c r="O13" s="2139"/>
      <c r="P13" s="3507"/>
      <c r="Q13" s="1150">
        <f t="shared" si="6"/>
        <v>111</v>
      </c>
      <c r="R13" s="1567" t="s">
        <v>8</v>
      </c>
      <c r="S13" s="1568">
        <f t="shared" si="0"/>
        <v>100</v>
      </c>
      <c r="T13" s="1567" t="s">
        <v>8</v>
      </c>
      <c r="U13" s="1568">
        <f t="shared" si="1"/>
        <v>100</v>
      </c>
      <c r="V13" s="1567" t="s">
        <v>8</v>
      </c>
      <c r="W13" s="1568">
        <f t="shared" si="2"/>
        <v>100</v>
      </c>
      <c r="X13" s="1569"/>
      <c r="Y13" s="3464"/>
      <c r="Z13" s="1149">
        <f t="shared" si="7"/>
        <v>111</v>
      </c>
      <c r="AA13" s="1570">
        <f t="shared" si="3"/>
        <v>1</v>
      </c>
      <c r="AB13" s="1570">
        <f t="shared" si="4"/>
        <v>1</v>
      </c>
      <c r="AC13" s="1570">
        <f t="shared" si="5"/>
        <v>1</v>
      </c>
    </row>
    <row r="14" spans="1:29" ht="15.75" thickBot="1">
      <c r="A14" s="2915"/>
      <c r="B14" s="2921">
        <v>111</v>
      </c>
      <c r="C14" s="544"/>
      <c r="D14" s="545">
        <v>100</v>
      </c>
      <c r="E14" s="544"/>
      <c r="F14" s="545">
        <f>SUMIF(74:74,E14,75:75)-SUMIF(74:74,C14,75:75)+100</f>
        <v>100</v>
      </c>
      <c r="G14" s="911"/>
      <c r="H14" s="545">
        <f>SUMIF(74:74,G14,75:75)-SUMIF(74:74,C14,75:75)+100</f>
        <v>100</v>
      </c>
      <c r="I14" s="538"/>
      <c r="J14" s="545">
        <f>SUMIF(74:74,I14,75:75)-SUMIF(74:74,C14,75:75)+100</f>
        <v>100</v>
      </c>
      <c r="K14" s="580"/>
      <c r="L14" s="2140"/>
      <c r="M14" s="2132"/>
      <c r="N14" s="2132"/>
      <c r="O14" s="2139"/>
      <c r="P14" s="3507"/>
      <c r="Q14" s="1150">
        <f t="shared" si="6"/>
        <v>111</v>
      </c>
      <c r="R14" s="1567" t="s">
        <v>8</v>
      </c>
      <c r="S14" s="1568">
        <f t="shared" si="0"/>
        <v>100</v>
      </c>
      <c r="T14" s="1567" t="s">
        <v>8</v>
      </c>
      <c r="U14" s="1568">
        <f t="shared" si="1"/>
        <v>100</v>
      </c>
      <c r="V14" s="1567" t="s">
        <v>8</v>
      </c>
      <c r="W14" s="1568">
        <f t="shared" si="2"/>
        <v>100</v>
      </c>
      <c r="X14" s="1569"/>
      <c r="Y14" s="3464"/>
      <c r="Z14" s="1149">
        <f t="shared" si="7"/>
        <v>111</v>
      </c>
      <c r="AA14" s="1570">
        <f t="shared" si="3"/>
        <v>1</v>
      </c>
      <c r="AB14" s="1570">
        <f t="shared" si="4"/>
        <v>1</v>
      </c>
      <c r="AC14" s="1570">
        <f t="shared" si="5"/>
        <v>1</v>
      </c>
    </row>
    <row r="15" spans="1:29" ht="15">
      <c r="A15" s="2907" t="s">
        <v>2751</v>
      </c>
      <c r="B15" s="165" t="s">
        <v>541</v>
      </c>
      <c r="C15" s="866" t="str">
        <f>估价对象房地状况!C4</f>
        <v>较差</v>
      </c>
      <c r="D15" s="548">
        <v>100</v>
      </c>
      <c r="E15" s="549"/>
      <c r="F15" s="550">
        <f>SUMIF(76:76,E16,77:77)-SUMIF(76:76,C16,77:77)+100</f>
        <v>100</v>
      </c>
      <c r="G15" s="551"/>
      <c r="H15" s="548">
        <f>SUMIF(76:76,G16,77:77)-SUMIF(76:76,C16,77:77)+100</f>
        <v>100</v>
      </c>
      <c r="I15" s="549"/>
      <c r="J15" s="548">
        <f>SUMIF(76:76,I16,77:77)-SUMIF(76:76,C16,77:77)+100</f>
        <v>100</v>
      </c>
      <c r="K15" s="897"/>
      <c r="L15" s="2140"/>
      <c r="M15" s="2132"/>
      <c r="N15" s="2132"/>
      <c r="O15" s="2139"/>
      <c r="P15" s="3509" t="s">
        <v>540</v>
      </c>
      <c r="Q15" s="1571" t="str">
        <f t="shared" si="6"/>
        <v>商业繁华度</v>
      </c>
      <c r="R15" s="1572" t="s">
        <v>8</v>
      </c>
      <c r="S15" s="1573">
        <f t="shared" si="0"/>
        <v>100</v>
      </c>
      <c r="T15" s="1572" t="s">
        <v>8</v>
      </c>
      <c r="U15" s="1573">
        <f t="shared" si="1"/>
        <v>100</v>
      </c>
      <c r="V15" s="1572" t="s">
        <v>8</v>
      </c>
      <c r="W15" s="1573">
        <f t="shared" si="2"/>
        <v>100</v>
      </c>
      <c r="X15" s="1566"/>
      <c r="Y15" s="3509" t="s">
        <v>540</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140"/>
      <c r="M16" s="2132"/>
      <c r="N16" s="2132"/>
      <c r="O16" s="2139"/>
      <c r="P16" s="3510"/>
      <c r="Q16" s="1571"/>
      <c r="R16" s="1572"/>
      <c r="S16" s="1573"/>
      <c r="T16" s="1572"/>
      <c r="U16" s="1573"/>
      <c r="V16" s="1572"/>
      <c r="W16" s="1573"/>
      <c r="X16" s="1566"/>
      <c r="Y16" s="3510"/>
      <c r="Z16" s="1574"/>
      <c r="AA16" s="1575">
        <v>1</v>
      </c>
      <c r="AB16" s="1575">
        <v>1</v>
      </c>
      <c r="AC16" s="1575">
        <v>1</v>
      </c>
    </row>
    <row r="17" spans="1:29" ht="15">
      <c r="A17" s="531"/>
      <c r="B17" s="870" t="s">
        <v>296</v>
      </c>
      <c r="C17" s="871" t="str">
        <f>估价对象房地状况!C6</f>
        <v>一般</v>
      </c>
      <c r="D17" s="558">
        <v>100</v>
      </c>
      <c r="E17" s="561"/>
      <c r="F17" s="562">
        <f>SUMIF(78:78,E18,79:79)-SUMIF(78:78,C18,79:79)+100</f>
        <v>100</v>
      </c>
      <c r="G17" s="563"/>
      <c r="H17" s="564">
        <f>SUMIF(78:78,G18,79:79)-SUMIF(78:78,C18,79:79)+100</f>
        <v>100</v>
      </c>
      <c r="I17" s="561"/>
      <c r="J17" s="564">
        <f>SUMIF(78:78,I18,79:79)-SUMIF(78:78,C18,79:79)+100</f>
        <v>100</v>
      </c>
      <c r="K17" s="897"/>
      <c r="L17" s="2140"/>
      <c r="M17" s="2132"/>
      <c r="N17" s="2132"/>
      <c r="O17" s="2139"/>
      <c r="P17" s="3510"/>
      <c r="Q17" s="1571" t="str">
        <f>B17</f>
        <v>交通便捷度</v>
      </c>
      <c r="R17" s="1572" t="s">
        <v>8</v>
      </c>
      <c r="S17" s="1573">
        <f>F17</f>
        <v>100</v>
      </c>
      <c r="T17" s="1572" t="s">
        <v>8</v>
      </c>
      <c r="U17" s="1573">
        <f>H17</f>
        <v>100</v>
      </c>
      <c r="V17" s="1572" t="s">
        <v>8</v>
      </c>
      <c r="W17" s="1573">
        <f>J17</f>
        <v>100</v>
      </c>
      <c r="X17" s="1566"/>
      <c r="Y17" s="3510"/>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0"/>
      <c r="M18" s="2132"/>
      <c r="N18" s="2132"/>
      <c r="O18" s="2139"/>
      <c r="P18" s="3510"/>
      <c r="Q18" s="1571"/>
      <c r="R18" s="1572"/>
      <c r="S18" s="1573"/>
      <c r="T18" s="1572"/>
      <c r="U18" s="1573"/>
      <c r="V18" s="1572"/>
      <c r="W18" s="1573"/>
      <c r="X18" s="1566"/>
      <c r="Y18" s="3510"/>
      <c r="Z18" s="1574"/>
      <c r="AA18" s="1575">
        <v>1</v>
      </c>
      <c r="AB18" s="1575">
        <v>1</v>
      </c>
      <c r="AC18" s="1575">
        <v>1</v>
      </c>
    </row>
    <row r="19" spans="1:29" ht="15">
      <c r="A19" s="531"/>
      <c r="B19" s="2598" t="s">
        <v>2544</v>
      </c>
      <c r="C19" s="871" t="str">
        <f>估价对象房地状况!C7</f>
        <v>一般</v>
      </c>
      <c r="D19" s="564">
        <v>100</v>
      </c>
      <c r="E19" s="569"/>
      <c r="F19" s="570">
        <f>SUMIF(80:80,E20,81:81)-SUMIF(80:80,C20,81:81)+100</f>
        <v>100</v>
      </c>
      <c r="G19" s="571"/>
      <c r="H19" s="558">
        <f>SUMIF(80:80,G20,81:81)-SUMIF(80:80,C20,81:81)+100</f>
        <v>100</v>
      </c>
      <c r="I19" s="569"/>
      <c r="J19" s="558">
        <f>SUMIF(80:80,I20,81:81)-SUMIF(80:80,C20,81:81)+100</f>
        <v>100</v>
      </c>
      <c r="K19" s="897"/>
      <c r="L19" s="2140"/>
      <c r="M19" s="2132"/>
      <c r="N19" s="2132"/>
      <c r="O19" s="2139"/>
      <c r="P19" s="3510"/>
      <c r="Q19" s="1571" t="str">
        <f>B19</f>
        <v>公共配套设施</v>
      </c>
      <c r="R19" s="1572" t="s">
        <v>8</v>
      </c>
      <c r="S19" s="1573">
        <f>F19</f>
        <v>100</v>
      </c>
      <c r="T19" s="1572" t="s">
        <v>8</v>
      </c>
      <c r="U19" s="1573">
        <f>H19</f>
        <v>100</v>
      </c>
      <c r="V19" s="1572" t="s">
        <v>8</v>
      </c>
      <c r="W19" s="1573">
        <f>J19</f>
        <v>100</v>
      </c>
      <c r="X19" s="1566"/>
      <c r="Y19" s="3510"/>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140"/>
      <c r="M20" s="2132"/>
      <c r="N20" s="2132"/>
      <c r="O20" s="2139"/>
      <c r="P20" s="3510"/>
      <c r="Q20" s="1571"/>
      <c r="R20" s="1572"/>
      <c r="S20" s="1573"/>
      <c r="T20" s="1572"/>
      <c r="U20" s="1573"/>
      <c r="V20" s="1572"/>
      <c r="W20" s="1573"/>
      <c r="X20" s="1566"/>
      <c r="Y20" s="3510"/>
      <c r="Z20" s="1574"/>
      <c r="AA20" s="1575">
        <v>1</v>
      </c>
      <c r="AB20" s="1575">
        <v>1</v>
      </c>
      <c r="AC20" s="1575">
        <v>1</v>
      </c>
    </row>
    <row r="21" spans="1:29" ht="15">
      <c r="A21" s="531"/>
      <c r="B21" s="2591" t="s">
        <v>2556</v>
      </c>
      <c r="C21" s="871" t="str">
        <f>估价对象房地状况!C8</f>
        <v>七通</v>
      </c>
      <c r="D21" s="564">
        <v>100</v>
      </c>
      <c r="E21" s="571"/>
      <c r="F21" s="570">
        <f>SUMIF(82:82,E22,83:83)-SUMIF(82:82,C22,83:83)+100</f>
        <v>100</v>
      </c>
      <c r="G21" s="571"/>
      <c r="H21" s="564">
        <f>SUMIF(82:82,G22,83:83)-SUMIF(82:82,C22,83:83)+100</f>
        <v>100</v>
      </c>
      <c r="I21" s="569"/>
      <c r="J21" s="564">
        <f>SUMIF(82:82,I22,83:83)-SUMIF(82:82,C22,83:83)+100</f>
        <v>100</v>
      </c>
      <c r="K21" s="897"/>
      <c r="L21" s="2140"/>
      <c r="M21" s="2132"/>
      <c r="N21" s="2132"/>
      <c r="O21" s="2139"/>
      <c r="P21" s="3510"/>
      <c r="Q21" s="2577" t="str">
        <f>B21</f>
        <v>基础设施水平</v>
      </c>
      <c r="R21" s="1572" t="s">
        <v>8</v>
      </c>
      <c r="S21" s="1573">
        <f>F21</f>
        <v>100</v>
      </c>
      <c r="T21" s="1572" t="s">
        <v>8</v>
      </c>
      <c r="U21" s="1573">
        <f>H21</f>
        <v>100</v>
      </c>
      <c r="V21" s="1572" t="s">
        <v>8</v>
      </c>
      <c r="W21" s="1573">
        <f>J21</f>
        <v>100</v>
      </c>
      <c r="X21" s="2579"/>
      <c r="Y21" s="3510"/>
      <c r="Z21" s="2578" t="str">
        <f>Q21</f>
        <v>基础设施水平</v>
      </c>
      <c r="AA21" s="1575">
        <f>D21/F21</f>
        <v>1</v>
      </c>
      <c r="AB21" s="1575">
        <f>D21/H21</f>
        <v>1</v>
      </c>
      <c r="AC21" s="1575">
        <f>D21/J21</f>
        <v>1</v>
      </c>
    </row>
    <row r="22" spans="1:29" ht="15">
      <c r="A22" s="531"/>
      <c r="B22" s="921"/>
      <c r="C22" s="872"/>
      <c r="D22" s="554"/>
      <c r="E22" s="575"/>
      <c r="F22" s="556"/>
      <c r="G22" s="575"/>
      <c r="H22" s="554"/>
      <c r="I22" s="575"/>
      <c r="J22" s="554"/>
      <c r="K22" s="2600"/>
      <c r="L22" s="2140"/>
      <c r="M22" s="2132"/>
      <c r="N22" s="2132"/>
      <c r="O22" s="2139"/>
      <c r="P22" s="3510"/>
      <c r="Q22" s="2577"/>
      <c r="R22" s="1572"/>
      <c r="S22" s="1573"/>
      <c r="T22" s="1572"/>
      <c r="U22" s="1573"/>
      <c r="V22" s="1572"/>
      <c r="W22" s="1573"/>
      <c r="X22" s="2579"/>
      <c r="Y22" s="3510"/>
      <c r="Z22" s="2578"/>
      <c r="AA22" s="1575">
        <v>1</v>
      </c>
      <c r="AB22" s="1575">
        <v>1</v>
      </c>
      <c r="AC22" s="1575">
        <v>1</v>
      </c>
    </row>
    <row r="23" spans="1:29" ht="15">
      <c r="A23" s="531"/>
      <c r="B23" s="870" t="s">
        <v>297</v>
      </c>
      <c r="C23" s="899" t="str">
        <f>估价对象房地状况!C9</f>
        <v>一般</v>
      </c>
      <c r="D23" s="558">
        <v>100</v>
      </c>
      <c r="E23" s="561"/>
      <c r="F23" s="562">
        <f>SUMIF(84:84,E24,85:85)-SUMIF(84:84,C24,85:85)+100</f>
        <v>100</v>
      </c>
      <c r="G23" s="563"/>
      <c r="H23" s="558">
        <f>SUMIF(84:84,G24,85:85)-SUMIF(84:84,C24,85:85)+100</f>
        <v>100</v>
      </c>
      <c r="I23" s="561"/>
      <c r="J23" s="558">
        <f>SUMIF(84:84,I24,85:85)-SUMIF(84:84,C24,85:85)+100</f>
        <v>100</v>
      </c>
      <c r="K23" s="897"/>
      <c r="L23" s="2140"/>
      <c r="M23" s="2132"/>
      <c r="N23" s="2132"/>
      <c r="O23" s="2139"/>
      <c r="P23" s="3510"/>
      <c r="Q23" s="1571" t="str">
        <f>B23</f>
        <v>自然及人文环境</v>
      </c>
      <c r="R23" s="1572" t="s">
        <v>8</v>
      </c>
      <c r="S23" s="1573">
        <f>F23</f>
        <v>100</v>
      </c>
      <c r="T23" s="1572" t="s">
        <v>8</v>
      </c>
      <c r="U23" s="1573">
        <f>H23</f>
        <v>100</v>
      </c>
      <c r="V23" s="1572" t="s">
        <v>8</v>
      </c>
      <c r="W23" s="1573">
        <f>J23</f>
        <v>100</v>
      </c>
      <c r="X23" s="1566"/>
      <c r="Y23" s="3510"/>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140"/>
      <c r="M24" s="2132"/>
      <c r="N24" s="2132"/>
      <c r="O24" s="2139"/>
      <c r="P24" s="3510"/>
      <c r="Q24" s="1571"/>
      <c r="R24" s="1572"/>
      <c r="S24" s="1573"/>
      <c r="T24" s="1572"/>
      <c r="U24" s="1573"/>
      <c r="V24" s="1572"/>
      <c r="W24" s="1573"/>
      <c r="X24" s="1566"/>
      <c r="Y24" s="3510"/>
      <c r="Z24" s="1574"/>
      <c r="AA24" s="1575">
        <v>1</v>
      </c>
      <c r="AB24" s="1575">
        <v>1</v>
      </c>
      <c r="AC24" s="1575">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0"/>
      <c r="M25" s="2132"/>
      <c r="N25" s="2132"/>
      <c r="O25" s="2139"/>
      <c r="P25" s="3510"/>
      <c r="Q25" s="1571" t="str">
        <f t="shared" ref="Q25:Q46" si="8">B25</f>
        <v>临街状况</v>
      </c>
      <c r="R25" s="1572" t="s">
        <v>8</v>
      </c>
      <c r="S25" s="1573">
        <f>F25</f>
        <v>100</v>
      </c>
      <c r="T25" s="1572" t="s">
        <v>8</v>
      </c>
      <c r="U25" s="1573">
        <f>H25</f>
        <v>100</v>
      </c>
      <c r="V25" s="1572" t="s">
        <v>8</v>
      </c>
      <c r="W25" s="1573">
        <f>J25</f>
        <v>100</v>
      </c>
      <c r="X25" s="1566"/>
      <c r="Y25" s="3510"/>
      <c r="Z25" s="1574" t="str">
        <f>Q25</f>
        <v>临街状况</v>
      </c>
      <c r="AA25" s="1575">
        <f t="shared" si="3"/>
        <v>1</v>
      </c>
      <c r="AB25" s="1575">
        <f t="shared" si="4"/>
        <v>1</v>
      </c>
      <c r="AC25" s="1575">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0"/>
      <c r="M26" s="2132"/>
      <c r="N26" s="2132"/>
      <c r="O26" s="2139"/>
      <c r="P26" s="3510"/>
      <c r="Q26" s="1571" t="str">
        <f t="shared" si="8"/>
        <v>平面位置/可视性</v>
      </c>
      <c r="R26" s="1572" t="s">
        <v>8</v>
      </c>
      <c r="S26" s="1573">
        <f>F26</f>
        <v>100</v>
      </c>
      <c r="T26" s="1572" t="s">
        <v>8</v>
      </c>
      <c r="U26" s="1573">
        <f>H26</f>
        <v>100</v>
      </c>
      <c r="V26" s="1572" t="s">
        <v>8</v>
      </c>
      <c r="W26" s="1573">
        <f>J26</f>
        <v>100</v>
      </c>
      <c r="X26" s="1566"/>
      <c r="Y26" s="3510"/>
      <c r="Z26" s="1574" t="str">
        <f>Q26</f>
        <v>平面位置/可视性</v>
      </c>
      <c r="AA26" s="1575">
        <f t="shared" si="3"/>
        <v>1</v>
      </c>
      <c r="AB26" s="1575">
        <f t="shared" si="4"/>
        <v>1</v>
      </c>
      <c r="AC26" s="1575">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3"/>
      <c r="M27" s="2134"/>
      <c r="N27" s="2134"/>
      <c r="O27" s="2135"/>
      <c r="P27" s="3510"/>
      <c r="Q27" s="1150" t="str">
        <f t="shared" si="8"/>
        <v>人流量</v>
      </c>
      <c r="R27" s="1567" t="s">
        <v>8</v>
      </c>
      <c r="S27" s="1568">
        <f>F27</f>
        <v>100</v>
      </c>
      <c r="T27" s="1567" t="s">
        <v>8</v>
      </c>
      <c r="U27" s="1568">
        <f>H27</f>
        <v>100</v>
      </c>
      <c r="V27" s="1567" t="s">
        <v>8</v>
      </c>
      <c r="W27" s="1568">
        <f>J27</f>
        <v>100</v>
      </c>
      <c r="X27" s="1569"/>
      <c r="Y27" s="3510"/>
      <c r="Z27" s="1149" t="str">
        <f>Q27</f>
        <v>人流量</v>
      </c>
      <c r="AA27" s="1575">
        <f>D27/F27</f>
        <v>1</v>
      </c>
      <c r="AB27" s="1575">
        <f>D27/H27</f>
        <v>1</v>
      </c>
      <c r="AC27" s="1575">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0"/>
      <c r="M28" s="2132"/>
      <c r="N28" s="2132"/>
      <c r="O28" s="2139"/>
      <c r="P28" s="3510"/>
      <c r="Q28" s="1571" t="str">
        <f t="shared" si="8"/>
        <v>楼层</v>
      </c>
      <c r="R28" s="1572" t="s">
        <v>8</v>
      </c>
      <c r="S28" s="1573">
        <f t="shared" ref="S28:S46" si="9">F28</f>
        <v>100</v>
      </c>
      <c r="T28" s="1572" t="s">
        <v>8</v>
      </c>
      <c r="U28" s="1573">
        <f t="shared" ref="U28:U46" si="10">H28</f>
        <v>100</v>
      </c>
      <c r="V28" s="1572" t="s">
        <v>8</v>
      </c>
      <c r="W28" s="1573">
        <f t="shared" ref="W28:W46" si="11">J28</f>
        <v>100</v>
      </c>
      <c r="X28" s="1566"/>
      <c r="Y28" s="3510"/>
      <c r="Z28" s="1574" t="str">
        <f t="shared" ref="Z28:Z46" si="12">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510"/>
      <c r="Q29" s="1571">
        <f t="shared" si="8"/>
        <v>111</v>
      </c>
      <c r="R29" s="1572" t="s">
        <v>8</v>
      </c>
      <c r="S29" s="1573">
        <f t="shared" si="9"/>
        <v>100</v>
      </c>
      <c r="T29" s="1572" t="s">
        <v>8</v>
      </c>
      <c r="U29" s="1573">
        <f t="shared" si="10"/>
        <v>100</v>
      </c>
      <c r="V29" s="1572" t="s">
        <v>8</v>
      </c>
      <c r="W29" s="1573">
        <f t="shared" si="11"/>
        <v>100</v>
      </c>
      <c r="X29" s="1566"/>
      <c r="Y29" s="3510"/>
      <c r="Z29" s="1574">
        <f t="shared" si="12"/>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510"/>
      <c r="Q30" s="1571">
        <f t="shared" si="8"/>
        <v>111</v>
      </c>
      <c r="R30" s="1572" t="s">
        <v>8</v>
      </c>
      <c r="S30" s="1573">
        <f t="shared" si="9"/>
        <v>100</v>
      </c>
      <c r="T30" s="1572" t="s">
        <v>8</v>
      </c>
      <c r="U30" s="1573">
        <f t="shared" si="10"/>
        <v>100</v>
      </c>
      <c r="V30" s="1572" t="s">
        <v>8</v>
      </c>
      <c r="W30" s="1573">
        <f t="shared" si="11"/>
        <v>100</v>
      </c>
      <c r="X30" s="1566"/>
      <c r="Y30" s="3510"/>
      <c r="Z30" s="1574">
        <f t="shared" si="12"/>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510"/>
      <c r="Q31" s="1571">
        <f t="shared" si="8"/>
        <v>111</v>
      </c>
      <c r="R31" s="1572" t="s">
        <v>8</v>
      </c>
      <c r="S31" s="1573">
        <f t="shared" si="9"/>
        <v>100</v>
      </c>
      <c r="T31" s="1572" t="s">
        <v>8</v>
      </c>
      <c r="U31" s="1573">
        <f t="shared" si="10"/>
        <v>100</v>
      </c>
      <c r="V31" s="1572" t="s">
        <v>8</v>
      </c>
      <c r="W31" s="1573">
        <f t="shared" si="11"/>
        <v>100</v>
      </c>
      <c r="X31" s="1566"/>
      <c r="Y31" s="3510"/>
      <c r="Z31" s="1574">
        <f t="shared" si="12"/>
        <v>111</v>
      </c>
      <c r="AA31" s="1575">
        <f t="shared" si="3"/>
        <v>1</v>
      </c>
      <c r="AB31" s="1575">
        <f t="shared" si="4"/>
        <v>1</v>
      </c>
      <c r="AC31" s="1575">
        <f t="shared" si="5"/>
        <v>1</v>
      </c>
    </row>
    <row r="32" spans="1:29" ht="15">
      <c r="A32" s="2905" t="s">
        <v>2752</v>
      </c>
      <c r="B32" s="171"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0"/>
      <c r="M32" s="2132"/>
      <c r="N32" s="2132"/>
      <c r="O32" s="2139"/>
      <c r="P32" s="3511" t="s">
        <v>550</v>
      </c>
      <c r="Q32" s="1571" t="str">
        <f t="shared" si="8"/>
        <v>商业类型</v>
      </c>
      <c r="R32" s="1572" t="s">
        <v>8</v>
      </c>
      <c r="S32" s="1573">
        <f t="shared" si="9"/>
        <v>100</v>
      </c>
      <c r="T32" s="1572" t="s">
        <v>8</v>
      </c>
      <c r="U32" s="1573">
        <f t="shared" si="10"/>
        <v>100</v>
      </c>
      <c r="V32" s="1572" t="s">
        <v>8</v>
      </c>
      <c r="W32" s="1573">
        <f t="shared" si="11"/>
        <v>100</v>
      </c>
      <c r="X32" s="1566"/>
      <c r="Y32" s="3512" t="s">
        <v>550</v>
      </c>
      <c r="Z32" s="1574" t="str">
        <f t="shared" si="12"/>
        <v>商业类型</v>
      </c>
      <c r="AA32" s="1575">
        <f t="shared" si="3"/>
        <v>1</v>
      </c>
      <c r="AB32" s="1575">
        <f t="shared" si="4"/>
        <v>1</v>
      </c>
      <c r="AC32" s="1575">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8"/>
      <c r="M33" s="2169"/>
      <c r="N33" s="2169"/>
      <c r="O33" s="2141"/>
      <c r="P33" s="3512"/>
      <c r="Q33" s="1604" t="str">
        <f t="shared" si="8"/>
        <v>项目建筑规模</v>
      </c>
      <c r="R33" s="1576" t="s">
        <v>8</v>
      </c>
      <c r="S33" s="1577" t="e">
        <f t="shared" si="9"/>
        <v>#N/A</v>
      </c>
      <c r="T33" s="1576" t="s">
        <v>8</v>
      </c>
      <c r="U33" s="1577" t="e">
        <f t="shared" si="10"/>
        <v>#N/A</v>
      </c>
      <c r="V33" s="1576" t="s">
        <v>8</v>
      </c>
      <c r="W33" s="1577" t="e">
        <f t="shared" si="11"/>
        <v>#N/A</v>
      </c>
      <c r="X33" s="1578"/>
      <c r="Y33" s="3512"/>
      <c r="Z33" s="1579" t="str">
        <f t="shared" si="12"/>
        <v>项目建筑规模</v>
      </c>
      <c r="AA33" s="1575" t="e">
        <f t="shared" si="3"/>
        <v>#N/A</v>
      </c>
      <c r="AB33" s="1575" t="e">
        <f t="shared" si="4"/>
        <v>#N/A</v>
      </c>
      <c r="AC33" s="1575"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0"/>
      <c r="M34" s="2132"/>
      <c r="N34" s="2132"/>
      <c r="O34" s="2139"/>
      <c r="P34" s="3512"/>
      <c r="Q34" s="1571" t="str">
        <f t="shared" si="8"/>
        <v>建筑结构</v>
      </c>
      <c r="R34" s="1572" t="s">
        <v>8</v>
      </c>
      <c r="S34" s="1573">
        <f t="shared" si="9"/>
        <v>100</v>
      </c>
      <c r="T34" s="1572" t="s">
        <v>8</v>
      </c>
      <c r="U34" s="1573">
        <f t="shared" si="10"/>
        <v>100</v>
      </c>
      <c r="V34" s="1572" t="s">
        <v>8</v>
      </c>
      <c r="W34" s="1573">
        <f t="shared" si="11"/>
        <v>100</v>
      </c>
      <c r="X34" s="1566"/>
      <c r="Y34" s="3512"/>
      <c r="Z34" s="1574" t="str">
        <f t="shared" si="12"/>
        <v>建筑结构</v>
      </c>
      <c r="AA34" s="1575">
        <f t="shared" si="3"/>
        <v>1</v>
      </c>
      <c r="AB34" s="1575">
        <f t="shared" si="4"/>
        <v>1</v>
      </c>
      <c r="AC34" s="1575">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0"/>
      <c r="M35" s="2132"/>
      <c r="N35" s="2132"/>
      <c r="O35" s="2139"/>
      <c r="P35" s="3512"/>
      <c r="Q35" s="1571" t="str">
        <f t="shared" si="8"/>
        <v>公共部分装修</v>
      </c>
      <c r="R35" s="1572" t="s">
        <v>8</v>
      </c>
      <c r="S35" s="1573">
        <f t="shared" si="9"/>
        <v>100</v>
      </c>
      <c r="T35" s="1572" t="s">
        <v>8</v>
      </c>
      <c r="U35" s="1573">
        <f t="shared" si="10"/>
        <v>100</v>
      </c>
      <c r="V35" s="1572" t="s">
        <v>8</v>
      </c>
      <c r="W35" s="1573">
        <f t="shared" si="11"/>
        <v>100</v>
      </c>
      <c r="X35" s="1566"/>
      <c r="Y35" s="3512"/>
      <c r="Z35" s="1574" t="str">
        <f t="shared" si="12"/>
        <v>公共部分装修</v>
      </c>
      <c r="AA35" s="1575">
        <f t="shared" si="3"/>
        <v>1</v>
      </c>
      <c r="AB35" s="1575">
        <f t="shared" si="4"/>
        <v>1</v>
      </c>
      <c r="AC35" s="1575">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0"/>
      <c r="M36" s="2132"/>
      <c r="N36" s="2132"/>
      <c r="O36" s="2139"/>
      <c r="P36" s="3512"/>
      <c r="Q36" s="1571" t="str">
        <f t="shared" si="8"/>
        <v>成新度</v>
      </c>
      <c r="R36" s="1572" t="s">
        <v>8</v>
      </c>
      <c r="S36" s="1573" t="e">
        <f t="shared" si="9"/>
        <v>#N/A</v>
      </c>
      <c r="T36" s="1572" t="s">
        <v>8</v>
      </c>
      <c r="U36" s="1573" t="e">
        <f t="shared" si="10"/>
        <v>#N/A</v>
      </c>
      <c r="V36" s="1572" t="s">
        <v>8</v>
      </c>
      <c r="W36" s="1573" t="e">
        <f t="shared" si="11"/>
        <v>#N/A</v>
      </c>
      <c r="X36" s="1566"/>
      <c r="Y36" s="3512"/>
      <c r="Z36" s="1574" t="str">
        <f t="shared" si="12"/>
        <v>成新度</v>
      </c>
      <c r="AA36" s="1575" t="e">
        <f t="shared" si="3"/>
        <v>#N/A</v>
      </c>
      <c r="AB36" s="1575" t="e">
        <f t="shared" si="4"/>
        <v>#N/A</v>
      </c>
      <c r="AC36" s="1575" t="e">
        <f t="shared" si="5"/>
        <v>#N/A</v>
      </c>
    </row>
    <row r="37" spans="1:29" s="1219" customFormat="1" ht="15">
      <c r="A37" s="599"/>
      <c r="B37" s="1893" t="s">
        <v>2563</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3"/>
      <c r="M37" s="2134"/>
      <c r="N37" s="2134"/>
      <c r="O37" s="2135"/>
      <c r="P37" s="3512"/>
      <c r="Q37" s="1150" t="str">
        <f t="shared" si="8"/>
        <v>市政基础设施</v>
      </c>
      <c r="R37" s="1567" t="s">
        <v>8</v>
      </c>
      <c r="S37" s="1568">
        <f t="shared" si="9"/>
        <v>100</v>
      </c>
      <c r="T37" s="1567" t="s">
        <v>8</v>
      </c>
      <c r="U37" s="1568">
        <f t="shared" si="10"/>
        <v>100</v>
      </c>
      <c r="V37" s="1567" t="s">
        <v>8</v>
      </c>
      <c r="W37" s="1568">
        <f t="shared" si="11"/>
        <v>100</v>
      </c>
      <c r="X37" s="1569"/>
      <c r="Y37" s="3512"/>
      <c r="Z37" s="1149" t="str">
        <f t="shared" si="12"/>
        <v>市政基础设施</v>
      </c>
      <c r="AA37" s="1570">
        <f t="shared" si="3"/>
        <v>1</v>
      </c>
      <c r="AB37" s="1570">
        <f t="shared" si="4"/>
        <v>1</v>
      </c>
      <c r="AC37" s="1570">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0"/>
      <c r="M38" s="2132"/>
      <c r="N38" s="2132"/>
      <c r="O38" s="2139"/>
      <c r="P38" s="3512" t="s">
        <v>766</v>
      </c>
      <c r="Q38" s="1571" t="str">
        <f t="shared" si="8"/>
        <v>业态</v>
      </c>
      <c r="R38" s="1572" t="s">
        <v>8</v>
      </c>
      <c r="S38" s="1573">
        <f t="shared" si="9"/>
        <v>100</v>
      </c>
      <c r="T38" s="1572" t="s">
        <v>8</v>
      </c>
      <c r="U38" s="1573">
        <f t="shared" si="10"/>
        <v>100</v>
      </c>
      <c r="V38" s="1572" t="s">
        <v>8</v>
      </c>
      <c r="W38" s="1573">
        <f t="shared" si="11"/>
        <v>100</v>
      </c>
      <c r="X38" s="1566"/>
      <c r="Y38" s="3512" t="s">
        <v>766</v>
      </c>
      <c r="Z38" s="1574" t="str">
        <f t="shared" si="12"/>
        <v>业态</v>
      </c>
      <c r="AA38" s="1575">
        <f t="shared" si="3"/>
        <v>1</v>
      </c>
      <c r="AB38" s="1575">
        <f t="shared" si="4"/>
        <v>1</v>
      </c>
      <c r="AC38" s="1575">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512"/>
      <c r="Q39" s="1571" t="str">
        <f t="shared" si="8"/>
        <v>层高</v>
      </c>
      <c r="R39" s="1572" t="s">
        <v>8</v>
      </c>
      <c r="S39" s="1573">
        <f t="shared" si="9"/>
        <v>100</v>
      </c>
      <c r="T39" s="1572" t="s">
        <v>8</v>
      </c>
      <c r="U39" s="1573">
        <f t="shared" si="10"/>
        <v>100</v>
      </c>
      <c r="V39" s="1572" t="s">
        <v>8</v>
      </c>
      <c r="W39" s="1573">
        <f t="shared" si="11"/>
        <v>100</v>
      </c>
      <c r="X39" s="1566"/>
      <c r="Y39" s="3512"/>
      <c r="Z39" s="1574" t="str">
        <f t="shared" si="12"/>
        <v>层高</v>
      </c>
      <c r="AA39" s="1575">
        <f t="shared" si="3"/>
        <v>1</v>
      </c>
      <c r="AB39" s="1575">
        <f t="shared" si="4"/>
        <v>1</v>
      </c>
      <c r="AC39" s="1575">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0"/>
      <c r="M40" s="2132"/>
      <c r="N40" s="2132"/>
      <c r="O40" s="2139"/>
      <c r="P40" s="3512"/>
      <c r="Q40" s="1571" t="str">
        <f t="shared" si="8"/>
        <v>单套建筑面积</v>
      </c>
      <c r="R40" s="1572" t="s">
        <v>8</v>
      </c>
      <c r="S40" s="1573">
        <f t="shared" si="9"/>
        <v>100</v>
      </c>
      <c r="T40" s="1572" t="s">
        <v>8</v>
      </c>
      <c r="U40" s="1573">
        <f t="shared" si="10"/>
        <v>100</v>
      </c>
      <c r="V40" s="1572" t="s">
        <v>8</v>
      </c>
      <c r="W40" s="1573">
        <f t="shared" si="11"/>
        <v>100</v>
      </c>
      <c r="X40" s="1566"/>
      <c r="Y40" s="3512"/>
      <c r="Z40" s="1574" t="str">
        <f t="shared" si="12"/>
        <v>单套建筑面积</v>
      </c>
      <c r="AA40" s="1575">
        <f t="shared" si="3"/>
        <v>1</v>
      </c>
      <c r="AB40" s="1575">
        <f t="shared" si="4"/>
        <v>1</v>
      </c>
      <c r="AC40" s="1575">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8"/>
      <c r="M41" s="2169"/>
      <c r="N41" s="2169"/>
      <c r="O41" s="2141"/>
      <c r="P41" s="3512"/>
      <c r="Q41" s="1604" t="str">
        <f t="shared" si="8"/>
        <v>进深比</v>
      </c>
      <c r="R41" s="1576" t="s">
        <v>8</v>
      </c>
      <c r="S41" s="1577">
        <f t="shared" si="9"/>
        <v>100</v>
      </c>
      <c r="T41" s="1576" t="s">
        <v>8</v>
      </c>
      <c r="U41" s="1577">
        <f t="shared" si="10"/>
        <v>100</v>
      </c>
      <c r="V41" s="1576" t="s">
        <v>8</v>
      </c>
      <c r="W41" s="1577">
        <f t="shared" si="11"/>
        <v>100</v>
      </c>
      <c r="X41" s="1578"/>
      <c r="Y41" s="3512"/>
      <c r="Z41" s="1579" t="str">
        <f t="shared" si="12"/>
        <v>进深比</v>
      </c>
      <c r="AA41" s="1575">
        <f t="shared" si="3"/>
        <v>1</v>
      </c>
      <c r="AB41" s="1575">
        <f t="shared" si="4"/>
        <v>1</v>
      </c>
      <c r="AC41" s="1575">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0"/>
      <c r="M42" s="2132"/>
      <c r="N42" s="2132"/>
      <c r="O42" s="2139"/>
      <c r="P42" s="3512"/>
      <c r="Q42" s="1571" t="str">
        <f t="shared" si="8"/>
        <v>内部装修</v>
      </c>
      <c r="R42" s="1572" t="s">
        <v>8</v>
      </c>
      <c r="S42" s="1573">
        <f t="shared" si="9"/>
        <v>100</v>
      </c>
      <c r="T42" s="1572" t="s">
        <v>8</v>
      </c>
      <c r="U42" s="1573">
        <f t="shared" si="10"/>
        <v>100</v>
      </c>
      <c r="V42" s="1572" t="s">
        <v>8</v>
      </c>
      <c r="W42" s="1573">
        <f t="shared" si="11"/>
        <v>100</v>
      </c>
      <c r="X42" s="1566"/>
      <c r="Y42" s="3512"/>
      <c r="Z42" s="1574" t="str">
        <f t="shared" si="12"/>
        <v>内部装修</v>
      </c>
      <c r="AA42" s="1575">
        <f t="shared" si="3"/>
        <v>1</v>
      </c>
      <c r="AB42" s="1575">
        <f t="shared" si="4"/>
        <v>1</v>
      </c>
      <c r="AC42" s="1575">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0"/>
      <c r="M43" s="2132"/>
      <c r="N43" s="2132"/>
      <c r="O43" s="2139"/>
      <c r="P43" s="3512"/>
      <c r="Q43" s="1571" t="str">
        <f t="shared" si="8"/>
        <v>内部装修维护情况</v>
      </c>
      <c r="R43" s="1572" t="s">
        <v>8</v>
      </c>
      <c r="S43" s="1573">
        <f t="shared" si="9"/>
        <v>100</v>
      </c>
      <c r="T43" s="1572" t="s">
        <v>8</v>
      </c>
      <c r="U43" s="1573">
        <f t="shared" si="10"/>
        <v>100</v>
      </c>
      <c r="V43" s="1572" t="s">
        <v>8</v>
      </c>
      <c r="W43" s="1573">
        <f t="shared" si="11"/>
        <v>100</v>
      </c>
      <c r="X43" s="1566"/>
      <c r="Y43" s="3512"/>
      <c r="Z43" s="1574" t="str">
        <f t="shared" si="12"/>
        <v>内部装修维护情况</v>
      </c>
      <c r="AA43" s="1575">
        <f t="shared" si="3"/>
        <v>1</v>
      </c>
      <c r="AB43" s="1575">
        <f t="shared" si="4"/>
        <v>1</v>
      </c>
      <c r="AC43" s="1575">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512"/>
      <c r="Q44" s="1150">
        <f t="shared" si="8"/>
        <v>111</v>
      </c>
      <c r="R44" s="1567" t="s">
        <v>8</v>
      </c>
      <c r="S44" s="1568">
        <f t="shared" si="9"/>
        <v>100</v>
      </c>
      <c r="T44" s="1567" t="s">
        <v>8</v>
      </c>
      <c r="U44" s="1568">
        <f t="shared" si="10"/>
        <v>100</v>
      </c>
      <c r="V44" s="1567" t="s">
        <v>8</v>
      </c>
      <c r="W44" s="1568">
        <f t="shared" si="11"/>
        <v>100</v>
      </c>
      <c r="X44" s="1569"/>
      <c r="Y44" s="3512"/>
      <c r="Z44" s="1149">
        <f t="shared" si="12"/>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512"/>
      <c r="Q45" s="1571">
        <f t="shared" si="8"/>
        <v>111</v>
      </c>
      <c r="R45" s="1572" t="s">
        <v>8</v>
      </c>
      <c r="S45" s="1573">
        <f t="shared" si="9"/>
        <v>100</v>
      </c>
      <c r="T45" s="1572" t="s">
        <v>8</v>
      </c>
      <c r="U45" s="1573">
        <f t="shared" si="10"/>
        <v>100</v>
      </c>
      <c r="V45" s="1572" t="s">
        <v>8</v>
      </c>
      <c r="W45" s="1573">
        <f t="shared" si="11"/>
        <v>100</v>
      </c>
      <c r="X45" s="1566"/>
      <c r="Y45" s="3512"/>
      <c r="Z45" s="1574">
        <f t="shared" si="12"/>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613"/>
      <c r="Q46" s="1571">
        <f t="shared" si="8"/>
        <v>111</v>
      </c>
      <c r="R46" s="1572" t="s">
        <v>8</v>
      </c>
      <c r="S46" s="1573">
        <f t="shared" si="9"/>
        <v>100</v>
      </c>
      <c r="T46" s="1572" t="s">
        <v>8</v>
      </c>
      <c r="U46" s="1573">
        <f t="shared" si="10"/>
        <v>100</v>
      </c>
      <c r="V46" s="1572" t="s">
        <v>8</v>
      </c>
      <c r="W46" s="1573">
        <f t="shared" si="11"/>
        <v>100</v>
      </c>
      <c r="X46" s="1566"/>
      <c r="Y46" s="3613"/>
      <c r="Z46" s="1574">
        <f t="shared" si="12"/>
        <v>111</v>
      </c>
      <c r="AA46" s="1575">
        <f t="shared" si="3"/>
        <v>1</v>
      </c>
      <c r="AB46" s="1575">
        <f t="shared" si="4"/>
        <v>1</v>
      </c>
      <c r="AC46" s="1575">
        <f t="shared" si="5"/>
        <v>1</v>
      </c>
    </row>
    <row r="47" spans="1:29" ht="15">
      <c r="A47" s="606" t="s">
        <v>736</v>
      </c>
      <c r="B47" s="886"/>
      <c r="C47" s="2625" t="s">
        <v>1</v>
      </c>
      <c r="D47" s="2626"/>
      <c r="E47" s="2627"/>
      <c r="F47" s="2628"/>
      <c r="G47" s="2629"/>
      <c r="H47" s="2630"/>
      <c r="I47" s="2627"/>
      <c r="J47" s="2630"/>
      <c r="K47" s="1610"/>
      <c r="L47" s="2142"/>
      <c r="M47" s="2143"/>
      <c r="N47" s="2132"/>
      <c r="O47" s="2143"/>
      <c r="P47" s="3507" t="str">
        <f>A47</f>
        <v>成交单价（元/平方米）</v>
      </c>
      <c r="Q47" s="3507"/>
      <c r="R47" s="3612">
        <f>E47</f>
        <v>0</v>
      </c>
      <c r="S47" s="3612"/>
      <c r="T47" s="3612">
        <f>G47</f>
        <v>0</v>
      </c>
      <c r="U47" s="3612"/>
      <c r="V47" s="3612">
        <f>I47</f>
        <v>0</v>
      </c>
      <c r="W47" s="3612"/>
      <c r="X47" s="1558"/>
      <c r="Y47" s="1580"/>
      <c r="Z47" s="1558"/>
      <c r="AA47" s="1558"/>
      <c r="AB47" s="1558"/>
      <c r="AC47" s="1558"/>
    </row>
    <row r="48" spans="1:29" ht="15.75" thickBot="1">
      <c r="A48" s="614" t="s">
        <v>2757</v>
      </c>
      <c r="B48" s="887"/>
      <c r="C48" s="2631" t="e">
        <f>R49</f>
        <v>#DIV/0!</v>
      </c>
      <c r="D48" s="2632"/>
      <c r="E48" s="2633" t="e">
        <f>R48</f>
        <v>#DIV/0!</v>
      </c>
      <c r="F48" s="2633"/>
      <c r="G48" s="2631" t="e">
        <f>T48</f>
        <v>#DIV/0!</v>
      </c>
      <c r="H48" s="2632"/>
      <c r="I48" s="2633" t="e">
        <f>V48</f>
        <v>#DIV/0!</v>
      </c>
      <c r="J48" s="2632"/>
      <c r="K48" s="1611"/>
      <c r="L48" s="2142"/>
      <c r="M48" s="2143"/>
      <c r="N48" s="2132"/>
      <c r="O48" s="2143"/>
      <c r="P48" s="3507" t="str">
        <f>A48</f>
        <v>比较价格（元/平方米）</v>
      </c>
      <c r="Q48" s="3507"/>
      <c r="R48" s="3612" t="e">
        <f>IF(F1="售价",ROUND(PRODUCT(R47,AA7:AA46),0),ROUND(PRODUCT(R47,AA7:AA46),1))</f>
        <v>#DIV/0!</v>
      </c>
      <c r="S48" s="3612"/>
      <c r="T48" s="3612" t="e">
        <f>IF(F1="售价",ROUND(PRODUCT(T47,AB7:AB46),0),ROUND(PRODUCT(T47,AB7:AB46),1))</f>
        <v>#DIV/0!</v>
      </c>
      <c r="U48" s="3612"/>
      <c r="V48" s="3612" t="e">
        <f>IF(F1="售价",ROUND(PRODUCT(V47,AC7:AC46),0),ROUND(PRODUCT(V47,AC7:AC46),1))</f>
        <v>#DIV/0!</v>
      </c>
      <c r="W48" s="3612"/>
      <c r="X48" s="1558"/>
      <c r="Y48" s="1558"/>
      <c r="Z48" s="1558"/>
      <c r="AA48" s="1558"/>
      <c r="AB48" s="1558"/>
      <c r="AC48" s="1558"/>
    </row>
    <row r="49" spans="1:29" ht="15.75" thickBot="1">
      <c r="A49" s="620" t="s">
        <v>2921</v>
      </c>
      <c r="B49" s="621"/>
      <c r="C49" s="2634" t="e">
        <f>R49</f>
        <v>#DIV/0!</v>
      </c>
      <c r="D49" s="2634"/>
      <c r="E49" s="2634"/>
      <c r="F49" s="2634"/>
      <c r="G49" s="2634"/>
      <c r="H49" s="2634"/>
      <c r="I49" s="2634"/>
      <c r="J49" s="2634"/>
      <c r="K49" s="1612"/>
      <c r="L49" s="2142"/>
      <c r="M49" s="2143"/>
      <c r="N49" s="2132"/>
      <c r="O49" s="2143"/>
      <c r="P49" s="3528" t="str">
        <f>A49</f>
        <v>估价对象XX用房的比较价格（楼面单价，元/平方米）</v>
      </c>
      <c r="Q49" s="3529"/>
      <c r="R49" s="3611" t="e">
        <f>IF(F1="售价",ROUND(AVERAGE(R48:V48),0),ROUND(AVERAGE(R48:V48),1))</f>
        <v>#DIV/0!</v>
      </c>
      <c r="S49" s="3611"/>
      <c r="T49" s="3611"/>
      <c r="U49" s="3611"/>
      <c r="V49" s="3611"/>
      <c r="W49" s="3611"/>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3" t="s">
        <v>574</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6" customFormat="1" ht="15">
      <c r="A58" s="644" t="s">
        <v>529</v>
      </c>
      <c r="B58" s="645"/>
      <c r="C58" s="2800" t="str">
        <f>YEAR(C7)&amp;"-"&amp;MONTH(C7)</f>
        <v>2018-12</v>
      </c>
      <c r="D58" s="2802">
        <f>EDATE(C58,-1)</f>
        <v>43405</v>
      </c>
      <c r="E58" s="2802">
        <f t="shared" ref="E58:O58" si="13">EDATE(D58,-1)</f>
        <v>43374</v>
      </c>
      <c r="F58" s="2802">
        <f t="shared" si="13"/>
        <v>43344</v>
      </c>
      <c r="G58" s="2802">
        <f t="shared" si="13"/>
        <v>43313</v>
      </c>
      <c r="H58" s="2802">
        <f t="shared" si="13"/>
        <v>43282</v>
      </c>
      <c r="I58" s="2802">
        <f t="shared" si="13"/>
        <v>43252</v>
      </c>
      <c r="J58" s="2802">
        <f t="shared" si="13"/>
        <v>43221</v>
      </c>
      <c r="K58" s="2802">
        <f t="shared" si="13"/>
        <v>43191</v>
      </c>
      <c r="L58" s="2802">
        <f t="shared" si="13"/>
        <v>43160</v>
      </c>
      <c r="M58" s="2802">
        <f t="shared" si="13"/>
        <v>43132</v>
      </c>
      <c r="N58" s="2802">
        <f t="shared" si="13"/>
        <v>43101</v>
      </c>
      <c r="O58" s="2802">
        <f t="shared" si="13"/>
        <v>43070</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9"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4"/>
    </row>
    <row r="63" spans="1:29">
      <c r="A63" s="663" t="s">
        <v>577</v>
      </c>
      <c r="B63" s="664" t="s">
        <v>534</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（含）-</v>
      </c>
      <c r="D67" s="681" t="str">
        <f t="shared" ref="D67:L67" si="14">D68&amp;"（含）"&amp;"-"&amp;E68</f>
        <v>（含）-</v>
      </c>
      <c r="E67" s="681" t="str">
        <f t="shared" si="14"/>
        <v>（含）-</v>
      </c>
      <c r="F67" s="681" t="str">
        <f t="shared" si="14"/>
        <v>（含）-</v>
      </c>
      <c r="G67" s="681" t="str">
        <f t="shared" si="14"/>
        <v>（含）-</v>
      </c>
      <c r="H67" s="681" t="str">
        <f t="shared" si="14"/>
        <v>（含）-</v>
      </c>
      <c r="I67" s="681" t="str">
        <f t="shared" si="14"/>
        <v>（含）-</v>
      </c>
      <c r="J67" s="681" t="str">
        <f t="shared" si="14"/>
        <v>（含）-</v>
      </c>
      <c r="K67" s="681" t="str">
        <f t="shared" si="14"/>
        <v>（含）-</v>
      </c>
      <c r="L67" s="681" t="str">
        <f t="shared" si="14"/>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5">C69-$K11</f>
        <v>100</v>
      </c>
      <c r="E69" s="678">
        <f t="shared" si="15"/>
        <v>100</v>
      </c>
      <c r="F69" s="678">
        <f t="shared" si="15"/>
        <v>100</v>
      </c>
      <c r="G69" s="678">
        <f t="shared" si="15"/>
        <v>100</v>
      </c>
      <c r="H69" s="678">
        <f t="shared" si="15"/>
        <v>100</v>
      </c>
      <c r="I69" s="678">
        <f t="shared" si="15"/>
        <v>100</v>
      </c>
      <c r="J69" s="678">
        <f t="shared" si="15"/>
        <v>100</v>
      </c>
      <c r="K69" s="678">
        <f t="shared" si="15"/>
        <v>100</v>
      </c>
      <c r="L69" s="678">
        <f t="shared" si="15"/>
        <v>100</v>
      </c>
      <c r="M69" s="679">
        <f t="shared" si="15"/>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2555</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95" t="s">
        <v>2556</v>
      </c>
      <c r="C82" s="2596" t="s">
        <v>2557</v>
      </c>
      <c r="D82" s="2596" t="s">
        <v>2558</v>
      </c>
      <c r="E82" s="2596" t="s">
        <v>2559</v>
      </c>
      <c r="F82" s="2596" t="s">
        <v>2560</v>
      </c>
      <c r="G82" s="2596" t="s">
        <v>2561</v>
      </c>
      <c r="H82" s="673"/>
      <c r="I82" s="673"/>
      <c r="J82" s="673"/>
      <c r="K82" s="673"/>
      <c r="L82" s="673"/>
      <c r="M82" s="2599"/>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672" t="s">
        <v>771</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 t="shared" ref="D87:M87" si="16">C87-$K25</f>
        <v>100</v>
      </c>
      <c r="E87" s="678">
        <f t="shared" si="16"/>
        <v>100</v>
      </c>
      <c r="F87" s="678">
        <f t="shared" si="16"/>
        <v>100</v>
      </c>
      <c r="G87" s="678">
        <f t="shared" si="16"/>
        <v>100</v>
      </c>
      <c r="H87" s="678">
        <f t="shared" si="16"/>
        <v>100</v>
      </c>
      <c r="I87" s="678">
        <f t="shared" si="16"/>
        <v>100</v>
      </c>
      <c r="J87" s="678">
        <f t="shared" si="16"/>
        <v>100</v>
      </c>
      <c r="K87" s="678">
        <f t="shared" si="16"/>
        <v>100</v>
      </c>
      <c r="L87" s="678">
        <f t="shared" si="16"/>
        <v>100</v>
      </c>
      <c r="M87" s="678">
        <f t="shared" si="16"/>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tr">
        <f>B26</f>
        <v>平面位置/可视性</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691"/>
      <c r="D89" s="670"/>
      <c r="E89" s="670"/>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人流量</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711">
        <v>100</v>
      </c>
      <c r="D91" s="678">
        <f>C91-$K27</f>
        <v>100</v>
      </c>
      <c r="E91" s="678">
        <f t="shared" ref="E91:M91" si="17">D91-$K27</f>
        <v>100</v>
      </c>
      <c r="F91" s="678">
        <f t="shared" si="17"/>
        <v>100</v>
      </c>
      <c r="G91" s="678">
        <f t="shared" si="17"/>
        <v>100</v>
      </c>
      <c r="H91" s="678">
        <f t="shared" si="17"/>
        <v>100</v>
      </c>
      <c r="I91" s="678">
        <f t="shared" si="17"/>
        <v>100</v>
      </c>
      <c r="J91" s="678">
        <f t="shared" si="17"/>
        <v>100</v>
      </c>
      <c r="K91" s="678">
        <f t="shared" si="17"/>
        <v>100</v>
      </c>
      <c r="L91" s="678">
        <f t="shared" si="17"/>
        <v>100</v>
      </c>
      <c r="M91" s="678">
        <f t="shared" si="17"/>
        <v>100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c r="D92" s="687"/>
      <c r="E92" s="687"/>
      <c r="F92" s="687"/>
      <c r="G92" s="687"/>
      <c r="H92" s="687"/>
      <c r="I92" s="687"/>
      <c r="J92" s="687"/>
      <c r="K92" s="687"/>
      <c r="L92" s="889"/>
      <c r="M92" s="89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772</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18">C101-$K32</f>
        <v>100</v>
      </c>
      <c r="E101" s="678">
        <f t="shared" si="18"/>
        <v>100</v>
      </c>
      <c r="F101" s="678">
        <f t="shared" si="18"/>
        <v>100</v>
      </c>
      <c r="G101" s="678">
        <f t="shared" si="18"/>
        <v>100</v>
      </c>
      <c r="H101" s="678">
        <f t="shared" si="18"/>
        <v>100</v>
      </c>
      <c r="I101" s="678">
        <f t="shared" si="18"/>
        <v>100</v>
      </c>
      <c r="J101" s="678">
        <f t="shared" si="18"/>
        <v>100</v>
      </c>
      <c r="K101" s="678">
        <f t="shared" si="18"/>
        <v>100</v>
      </c>
      <c r="L101" s="678">
        <f t="shared" si="18"/>
        <v>100</v>
      </c>
      <c r="M101" s="679">
        <f t="shared" si="18"/>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748</v>
      </c>
      <c r="C102" s="707" t="str">
        <f>C103&amp;"(含)"&amp;"-"&amp;D103</f>
        <v>(含)-</v>
      </c>
      <c r="D102" s="707" t="str">
        <f t="shared" ref="D102:L102" si="19">D103&amp;"(含)"&amp;"-"&amp;E103</f>
        <v>(含)-</v>
      </c>
      <c r="E102" s="707" t="str">
        <f t="shared" si="19"/>
        <v>(含)-</v>
      </c>
      <c r="F102" s="707" t="str">
        <f t="shared" si="19"/>
        <v>(含)-</v>
      </c>
      <c r="G102" s="707" t="str">
        <f t="shared" si="19"/>
        <v>(含)-</v>
      </c>
      <c r="H102" s="707" t="str">
        <f t="shared" si="19"/>
        <v>(含)-</v>
      </c>
      <c r="I102" s="707" t="str">
        <f t="shared" si="19"/>
        <v>(含)-</v>
      </c>
      <c r="J102" s="707" t="str">
        <f t="shared" si="19"/>
        <v>(含)-</v>
      </c>
      <c r="K102" s="707" t="str">
        <f t="shared" si="19"/>
        <v>(含)-</v>
      </c>
      <c r="L102" s="707" t="str">
        <f t="shared" si="19"/>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0">C106-$K34</f>
        <v>100</v>
      </c>
      <c r="E106" s="678">
        <f t="shared" si="20"/>
        <v>100</v>
      </c>
      <c r="F106" s="678">
        <f t="shared" si="20"/>
        <v>100</v>
      </c>
      <c r="G106" s="678">
        <f t="shared" si="20"/>
        <v>100</v>
      </c>
      <c r="H106" s="678">
        <f t="shared" si="20"/>
        <v>100</v>
      </c>
      <c r="I106" s="678">
        <f t="shared" si="20"/>
        <v>100</v>
      </c>
      <c r="J106" s="678">
        <f t="shared" si="20"/>
        <v>100</v>
      </c>
      <c r="K106" s="678">
        <f t="shared" si="20"/>
        <v>100</v>
      </c>
      <c r="L106" s="678">
        <f t="shared" si="20"/>
        <v>100</v>
      </c>
      <c r="M106" s="679">
        <f t="shared" si="20"/>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751</v>
      </c>
      <c r="C107" s="687"/>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1">C108-$K35</f>
        <v>100</v>
      </c>
      <c r="E108" s="678">
        <f t="shared" si="21"/>
        <v>100</v>
      </c>
      <c r="F108" s="678">
        <f t="shared" si="21"/>
        <v>100</v>
      </c>
      <c r="G108" s="678">
        <f t="shared" si="21"/>
        <v>100</v>
      </c>
      <c r="H108" s="678">
        <f t="shared" si="21"/>
        <v>100</v>
      </c>
      <c r="I108" s="678">
        <f t="shared" si="21"/>
        <v>100</v>
      </c>
      <c r="J108" s="678">
        <f t="shared" si="21"/>
        <v>100</v>
      </c>
      <c r="K108" s="678">
        <f t="shared" si="21"/>
        <v>100</v>
      </c>
      <c r="L108" s="678">
        <f t="shared" si="21"/>
        <v>100</v>
      </c>
      <c r="M108" s="679">
        <f t="shared" si="21"/>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3">
        <v>0.5</v>
      </c>
      <c r="D110" s="893">
        <v>0.6</v>
      </c>
      <c r="E110" s="893">
        <v>0.7</v>
      </c>
      <c r="F110" s="893">
        <v>0.8</v>
      </c>
      <c r="G110" s="893">
        <v>0.9</v>
      </c>
      <c r="H110" s="893">
        <v>1.0001</v>
      </c>
      <c r="I110" s="904"/>
      <c r="J110" s="904"/>
      <c r="K110" s="905"/>
      <c r="L110" s="906"/>
      <c r="M110" s="907"/>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100</v>
      </c>
      <c r="E111" s="678">
        <f t="shared" ref="E111:M111" si="22">D111+$K36</f>
        <v>100</v>
      </c>
      <c r="F111" s="678">
        <f t="shared" si="22"/>
        <v>100</v>
      </c>
      <c r="G111" s="678">
        <f t="shared" si="22"/>
        <v>100</v>
      </c>
      <c r="H111" s="678">
        <f t="shared" si="22"/>
        <v>100</v>
      </c>
      <c r="I111" s="678">
        <f t="shared" si="22"/>
        <v>100</v>
      </c>
      <c r="J111" s="678">
        <f t="shared" si="22"/>
        <v>100</v>
      </c>
      <c r="K111" s="678">
        <f t="shared" si="22"/>
        <v>100</v>
      </c>
      <c r="L111" s="678">
        <f t="shared" si="22"/>
        <v>100</v>
      </c>
      <c r="M111" s="678">
        <f t="shared" si="22"/>
        <v>100</v>
      </c>
      <c r="N111" s="2164"/>
      <c r="O111" s="2164"/>
      <c r="P111" s="2163"/>
      <c r="Q111" s="2156"/>
      <c r="R111" s="2143"/>
      <c r="S111" s="2143"/>
      <c r="T111" s="2143"/>
      <c r="U111" s="2143"/>
      <c r="V111" s="2143"/>
      <c r="W111" s="2143"/>
      <c r="X111" s="2143"/>
      <c r="Y111" s="2143"/>
      <c r="Z111" s="2143"/>
      <c r="AA111" s="2143"/>
      <c r="AB111" s="2143"/>
      <c r="AC111" s="2143"/>
    </row>
    <row r="112" spans="1:29" s="1338" customFormat="1" ht="15" thickTop="1">
      <c r="A112" s="727"/>
      <c r="B112" s="1894" t="s">
        <v>2554</v>
      </c>
      <c r="C112" s="687"/>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678">
        <v>100</v>
      </c>
      <c r="D113" s="678">
        <f>C113-$K37</f>
        <v>100</v>
      </c>
      <c r="E113" s="678">
        <f t="shared" ref="E113:M113" si="23">D113-$K37</f>
        <v>100</v>
      </c>
      <c r="F113" s="678">
        <f t="shared" si="23"/>
        <v>100</v>
      </c>
      <c r="G113" s="678">
        <f t="shared" si="23"/>
        <v>100</v>
      </c>
      <c r="H113" s="678">
        <f t="shared" si="23"/>
        <v>100</v>
      </c>
      <c r="I113" s="678">
        <f t="shared" si="23"/>
        <v>100</v>
      </c>
      <c r="J113" s="678">
        <f t="shared" si="23"/>
        <v>100</v>
      </c>
      <c r="K113" s="678">
        <f t="shared" si="23"/>
        <v>100</v>
      </c>
      <c r="L113" s="678">
        <f t="shared" si="23"/>
        <v>100</v>
      </c>
      <c r="M113" s="678">
        <f t="shared" si="23"/>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773</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4">C115-$K38</f>
        <v>100</v>
      </c>
      <c r="E115" s="678">
        <f t="shared" si="24"/>
        <v>100</v>
      </c>
      <c r="F115" s="678">
        <f t="shared" si="24"/>
        <v>100</v>
      </c>
      <c r="G115" s="678">
        <f t="shared" si="24"/>
        <v>100</v>
      </c>
      <c r="H115" s="678">
        <f t="shared" si="24"/>
        <v>100</v>
      </c>
      <c r="I115" s="678">
        <f t="shared" si="24"/>
        <v>100</v>
      </c>
      <c r="J115" s="678">
        <f t="shared" si="24"/>
        <v>100</v>
      </c>
      <c r="K115" s="678">
        <f t="shared" si="24"/>
        <v>100</v>
      </c>
      <c r="L115" s="678">
        <f t="shared" si="24"/>
        <v>100</v>
      </c>
      <c r="M115" s="679">
        <f t="shared" si="24"/>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774</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775</v>
      </c>
      <c r="C118" s="908"/>
      <c r="D118" s="908"/>
      <c r="E118" s="908"/>
      <c r="F118" s="908"/>
      <c r="G118" s="908"/>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8" customFormat="1" ht="15" thickTop="1">
      <c r="A120" s="727"/>
      <c r="B120" s="672" t="s">
        <v>776</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711">
        <v>100</v>
      </c>
      <c r="D121" s="678">
        <f>C121-$K41</f>
        <v>100</v>
      </c>
      <c r="E121" s="678">
        <f t="shared" ref="E121:M121" si="25">D121-$K41</f>
        <v>100</v>
      </c>
      <c r="F121" s="678">
        <f t="shared" si="25"/>
        <v>100</v>
      </c>
      <c r="G121" s="678">
        <f t="shared" si="25"/>
        <v>100</v>
      </c>
      <c r="H121" s="678">
        <f t="shared" si="25"/>
        <v>100</v>
      </c>
      <c r="I121" s="678">
        <f t="shared" si="25"/>
        <v>100</v>
      </c>
      <c r="J121" s="678">
        <f t="shared" si="25"/>
        <v>100</v>
      </c>
      <c r="K121" s="678">
        <f t="shared" si="25"/>
        <v>100</v>
      </c>
      <c r="L121" s="678">
        <f t="shared" si="25"/>
        <v>100</v>
      </c>
      <c r="M121" s="679">
        <f t="shared" si="25"/>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6">C123-$K42</f>
        <v>100</v>
      </c>
      <c r="E123" s="678">
        <f t="shared" si="26"/>
        <v>100</v>
      </c>
      <c r="F123" s="678">
        <f t="shared" si="26"/>
        <v>100</v>
      </c>
      <c r="G123" s="678">
        <f t="shared" si="26"/>
        <v>100</v>
      </c>
      <c r="H123" s="678">
        <f t="shared" si="26"/>
        <v>100</v>
      </c>
      <c r="I123" s="678">
        <f t="shared" si="26"/>
        <v>100</v>
      </c>
      <c r="J123" s="678">
        <f t="shared" si="26"/>
        <v>100</v>
      </c>
      <c r="K123" s="678">
        <f t="shared" si="26"/>
        <v>100</v>
      </c>
      <c r="L123" s="678">
        <f t="shared" si="26"/>
        <v>100</v>
      </c>
      <c r="M123" s="679">
        <f t="shared" si="26"/>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87" priority="17" stopIfTrue="1" operator="containsText" text="超过">
      <formula>NOT(ISERROR(SEARCH("超过",F52)))</formula>
    </cfRule>
  </conditionalFormatting>
  <conditionalFormatting sqref="H54">
    <cfRule type="containsText" dxfId="86" priority="15" stopIfTrue="1" operator="containsText" text="超过">
      <formula>NOT(ISERROR(SEARCH("超过",H54)))</formula>
    </cfRule>
  </conditionalFormatting>
  <conditionalFormatting sqref="F54">
    <cfRule type="containsText" dxfId="85" priority="14" stopIfTrue="1" operator="containsText" text="超过">
      <formula>NOT(ISERROR(SEARCH("超过",F54)))</formula>
    </cfRule>
  </conditionalFormatting>
  <conditionalFormatting sqref="F53 H53">
    <cfRule type="containsText" dxfId="84" priority="13" stopIfTrue="1" operator="containsText" text="超过">
      <formula>NOT(ISERROR(SEARCH("超过",F53)))</formula>
    </cfRule>
  </conditionalFormatting>
  <conditionalFormatting sqref="E52">
    <cfRule type="expression" dxfId="83" priority="12" stopIfTrue="1">
      <formula>$F$52="超过30%"</formula>
    </cfRule>
  </conditionalFormatting>
  <conditionalFormatting sqref="E53">
    <cfRule type="expression" dxfId="82" priority="11" stopIfTrue="1">
      <formula>$F$53="超过20%"</formula>
    </cfRule>
  </conditionalFormatting>
  <conditionalFormatting sqref="E54">
    <cfRule type="expression" dxfId="81" priority="10" stopIfTrue="1">
      <formula>$F$54="超过30%"</formula>
    </cfRule>
  </conditionalFormatting>
  <conditionalFormatting sqref="G54">
    <cfRule type="expression" dxfId="80" priority="9" stopIfTrue="1">
      <formula>$H$54="超过30%"</formula>
    </cfRule>
  </conditionalFormatting>
  <conditionalFormatting sqref="G52">
    <cfRule type="expression" dxfId="79" priority="8" stopIfTrue="1">
      <formula>$H$52="超过30%"</formula>
    </cfRule>
  </conditionalFormatting>
  <conditionalFormatting sqref="G53">
    <cfRule type="expression" dxfId="78" priority="7" stopIfTrue="1">
      <formula>$H$53="超过20%"</formula>
    </cfRule>
  </conditionalFormatting>
  <conditionalFormatting sqref="J52">
    <cfRule type="containsText" dxfId="77" priority="6" stopIfTrue="1" operator="containsText" text="超过">
      <formula>NOT(ISERROR(SEARCH("超过",J52)))</formula>
    </cfRule>
  </conditionalFormatting>
  <conditionalFormatting sqref="J54">
    <cfRule type="containsText" dxfId="76" priority="5" stopIfTrue="1" operator="containsText" text="超过">
      <formula>NOT(ISERROR(SEARCH("超过",J54)))</formula>
    </cfRule>
  </conditionalFormatting>
  <conditionalFormatting sqref="J53">
    <cfRule type="containsText" dxfId="75" priority="4" stopIfTrue="1" operator="containsText" text="超过">
      <formula>NOT(ISERROR(SEARCH("超过",J53)))</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19"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c r="E1" s="505"/>
      <c r="F1" s="2805"/>
      <c r="G1" s="1600" t="s">
        <v>721</v>
      </c>
      <c r="H1" s="505"/>
      <c r="I1" s="505"/>
      <c r="J1" s="505"/>
      <c r="K1" s="506"/>
      <c r="L1" s="1561"/>
      <c r="M1" s="1562"/>
      <c r="N1" s="1562"/>
      <c r="O1" s="1562"/>
      <c r="P1" s="2205"/>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5"/>
      <c r="D2" s="2125"/>
      <c r="E2" s="2059"/>
      <c r="F2" s="2127"/>
      <c r="G2" s="2126"/>
      <c r="H2" s="2126"/>
      <c r="I2" s="2126"/>
      <c r="J2" s="2126"/>
      <c r="K2" s="2126"/>
      <c r="L2" s="2129"/>
      <c r="M2" s="2130"/>
      <c r="N2" s="2130"/>
      <c r="O2" s="2130"/>
      <c r="P2" s="2205"/>
      <c r="Q2" s="1563"/>
      <c r="R2" s="1563"/>
      <c r="S2" s="1563"/>
      <c r="T2" s="1563"/>
      <c r="U2" s="1563"/>
      <c r="V2" s="1563"/>
      <c r="W2" s="1563"/>
      <c r="X2" s="1563"/>
      <c r="Y2" s="1563"/>
      <c r="Z2" s="1563"/>
      <c r="AA2" s="1563"/>
      <c r="AB2" s="1563"/>
      <c r="AC2" s="1564"/>
    </row>
    <row r="3" spans="1:29" s="1335" customFormat="1" ht="28.5" customHeight="1" thickBot="1">
      <c r="A3" s="508" t="s">
        <v>519</v>
      </c>
      <c r="B3" s="509" t="e">
        <f>C50</f>
        <v>#DIV/0!</v>
      </c>
      <c r="C3" s="851" t="s">
        <v>722</v>
      </c>
      <c r="D3" s="850">
        <f>SUMIF('数据-汇总表'!$C19:$C33,D1,'数据-汇总表'!$E19:$E33)</f>
        <v>0</v>
      </c>
      <c r="E3" s="2059"/>
      <c r="F3" s="2127"/>
      <c r="G3" s="2126"/>
      <c r="H3" s="2126"/>
      <c r="I3" s="2126"/>
      <c r="J3" s="2126"/>
      <c r="K3" s="2128"/>
      <c r="L3" s="2129"/>
      <c r="M3" s="2130"/>
      <c r="N3" s="2130"/>
      <c r="O3" s="2130"/>
      <c r="P3" s="2205"/>
      <c r="Q3" s="1563"/>
      <c r="R3" s="1563"/>
      <c r="S3" s="1563"/>
      <c r="T3" s="1563"/>
      <c r="U3" s="1563"/>
      <c r="V3" s="1563"/>
      <c r="W3" s="1563"/>
      <c r="X3" s="1563"/>
      <c r="Y3" s="1563"/>
      <c r="Z3" s="1563"/>
      <c r="AA3" s="1563"/>
      <c r="AB3" s="1563"/>
      <c r="AC3" s="1564"/>
    </row>
    <row r="4" spans="1:29" ht="15">
      <c r="A4" s="511" t="s">
        <v>521</v>
      </c>
      <c r="B4" s="512"/>
      <c r="C4" s="3513" t="s">
        <v>522</v>
      </c>
      <c r="D4" s="3514"/>
      <c r="E4" s="3537" t="s">
        <v>523</v>
      </c>
      <c r="F4" s="3538"/>
      <c r="G4" s="3513" t="s">
        <v>524</v>
      </c>
      <c r="H4" s="3514"/>
      <c r="I4" s="3513" t="s">
        <v>525</v>
      </c>
      <c r="J4" s="3514"/>
      <c r="K4" s="513" t="s">
        <v>526</v>
      </c>
      <c r="L4" s="2131"/>
      <c r="M4" s="2132"/>
      <c r="N4" s="2132"/>
      <c r="O4" s="2132"/>
      <c r="P4" s="3614" t="s">
        <v>527</v>
      </c>
      <c r="Q4" s="3516"/>
      <c r="R4" s="3501" t="s">
        <v>523</v>
      </c>
      <c r="S4" s="3502"/>
      <c r="T4" s="3501" t="s">
        <v>524</v>
      </c>
      <c r="U4" s="3502"/>
      <c r="V4" s="3521" t="s">
        <v>525</v>
      </c>
      <c r="W4" s="3521"/>
      <c r="X4" s="1566"/>
      <c r="Y4" s="3501" t="s">
        <v>527</v>
      </c>
      <c r="Z4" s="3502"/>
      <c r="AA4" s="3496" t="s">
        <v>523</v>
      </c>
      <c r="AB4" s="3496" t="s">
        <v>524</v>
      </c>
      <c r="AC4" s="3496" t="s">
        <v>525</v>
      </c>
    </row>
    <row r="5" spans="1:29" ht="15">
      <c r="A5" s="514"/>
      <c r="B5" s="515"/>
      <c r="C5" s="3541" t="s">
        <v>2915</v>
      </c>
      <c r="D5" s="3542"/>
      <c r="E5" s="3539" t="s">
        <v>2916</v>
      </c>
      <c r="F5" s="3540"/>
      <c r="G5" s="3541" t="s">
        <v>2917</v>
      </c>
      <c r="H5" s="3542"/>
      <c r="I5" s="3541" t="s">
        <v>2918</v>
      </c>
      <c r="J5" s="3542"/>
      <c r="K5" s="513"/>
      <c r="L5" s="2131"/>
      <c r="M5" s="2132"/>
      <c r="N5" s="2132"/>
      <c r="O5" s="2132"/>
      <c r="P5" s="3615"/>
      <c r="Q5" s="3518"/>
      <c r="R5" s="3503"/>
      <c r="S5" s="3504"/>
      <c r="T5" s="3503"/>
      <c r="U5" s="3504"/>
      <c r="V5" s="3521"/>
      <c r="W5" s="3521"/>
      <c r="X5" s="1566"/>
      <c r="Y5" s="3503"/>
      <c r="Z5" s="3504"/>
      <c r="AA5" s="3497"/>
      <c r="AB5" s="3497"/>
      <c r="AC5" s="3497"/>
    </row>
    <row r="6" spans="1:29" ht="15.75" thickBot="1">
      <c r="A6" s="516"/>
      <c r="B6" s="517"/>
      <c r="C6" s="3543" t="s">
        <v>2919</v>
      </c>
      <c r="D6" s="3544"/>
      <c r="E6" s="3545" t="s">
        <v>2919</v>
      </c>
      <c r="F6" s="3546"/>
      <c r="G6" s="3543" t="s">
        <v>2919</v>
      </c>
      <c r="H6" s="3544"/>
      <c r="I6" s="3543" t="s">
        <v>2919</v>
      </c>
      <c r="J6" s="3544"/>
      <c r="K6" s="513" t="s">
        <v>528</v>
      </c>
      <c r="L6" s="2131"/>
      <c r="M6" s="2132"/>
      <c r="N6" s="2132"/>
      <c r="O6" s="2132"/>
      <c r="P6" s="3616"/>
      <c r="Q6" s="3520"/>
      <c r="R6" s="3503"/>
      <c r="S6" s="3504"/>
      <c r="T6" s="3505"/>
      <c r="U6" s="3506"/>
      <c r="V6" s="3521"/>
      <c r="W6" s="3521"/>
      <c r="X6" s="1566"/>
      <c r="Y6" s="3505"/>
      <c r="Z6" s="3506"/>
      <c r="AA6" s="3498"/>
      <c r="AB6" s="3498"/>
      <c r="AC6" s="3498"/>
    </row>
    <row r="7" spans="1:29" s="1219" customFormat="1" ht="15.75" thickBot="1">
      <c r="A7" s="2909"/>
      <c r="B7" s="2916" t="s">
        <v>529</v>
      </c>
      <c r="C7" s="518">
        <f>'数据-取费表'!B2</f>
        <v>43444</v>
      </c>
      <c r="D7" s="519">
        <v>100</v>
      </c>
      <c r="E7" s="520"/>
      <c r="F7" s="521">
        <f>SUMIF(59:59,YEAR(E7)&amp;"-"&amp;MONTH(E7),60:60)</f>
        <v>0</v>
      </c>
      <c r="G7" s="520"/>
      <c r="H7" s="519">
        <f>SUMIF(59:59,YEAR(G7)&amp;"-"&amp;MONTH(G7),60:60)</f>
        <v>0</v>
      </c>
      <c r="I7" s="520"/>
      <c r="J7" s="519">
        <f>SUMIF(59:59,YEAR(I7)&amp;"-"&amp;MONTH(I7),60:60)</f>
        <v>0</v>
      </c>
      <c r="K7" s="523"/>
      <c r="L7" s="2133"/>
      <c r="M7" s="2134"/>
      <c r="N7" s="2134"/>
      <c r="O7" s="2134"/>
      <c r="P7" s="3508" t="s">
        <v>530</v>
      </c>
      <c r="Q7" s="3508"/>
      <c r="R7" s="1567" t="s">
        <v>8</v>
      </c>
      <c r="S7" s="1568">
        <f t="shared" ref="S7:S15" si="0">F7</f>
        <v>0</v>
      </c>
      <c r="T7" s="1567" t="s">
        <v>8</v>
      </c>
      <c r="U7" s="1568">
        <f t="shared" ref="U7:U15" si="1">H7</f>
        <v>0</v>
      </c>
      <c r="V7" s="1567" t="s">
        <v>8</v>
      </c>
      <c r="W7" s="1568">
        <f t="shared" ref="W7:W15" si="2">J7</f>
        <v>0</v>
      </c>
      <c r="X7" s="1569"/>
      <c r="Y7" s="3499" t="s">
        <v>530</v>
      </c>
      <c r="Z7" s="3500"/>
      <c r="AA7" s="1570" t="e">
        <f>D7/F7</f>
        <v>#DIV/0!</v>
      </c>
      <c r="AB7" s="1570" t="e">
        <f>D7/H7</f>
        <v>#DIV/0!</v>
      </c>
      <c r="AC7" s="1570" t="e">
        <f>D7/J7</f>
        <v>#DIV/0!</v>
      </c>
    </row>
    <row r="8" spans="1:29" s="1219" customFormat="1" ht="15.75" thickBot="1">
      <c r="A8" s="2910"/>
      <c r="B8" s="2917" t="s">
        <v>531</v>
      </c>
      <c r="C8" s="524" t="s">
        <v>576</v>
      </c>
      <c r="D8" s="519">
        <v>100</v>
      </c>
      <c r="E8" s="524"/>
      <c r="F8" s="521">
        <f>SUMIF(62:62,E8,63:63)-SUMIF(62:62,C8,63:63)+100</f>
        <v>0</v>
      </c>
      <c r="G8" s="524"/>
      <c r="H8" s="519">
        <f>SUMIF(62:62,G8,63:63)-SUMIF(62:62,C8,63:63)+100</f>
        <v>0</v>
      </c>
      <c r="I8" s="524"/>
      <c r="J8" s="519">
        <f>SUMIF(62:62,I8,63:63)-SUMIF(62:62,C8,63:63)+100</f>
        <v>0</v>
      </c>
      <c r="K8" s="523"/>
      <c r="L8" s="2133"/>
      <c r="M8" s="2134"/>
      <c r="N8" s="2134"/>
      <c r="O8" s="2134"/>
      <c r="P8" s="3508" t="s">
        <v>533</v>
      </c>
      <c r="Q8" s="3500"/>
      <c r="R8" s="1567" t="s">
        <v>8</v>
      </c>
      <c r="S8" s="1568">
        <f t="shared" si="0"/>
        <v>0</v>
      </c>
      <c r="T8" s="1567" t="s">
        <v>8</v>
      </c>
      <c r="U8" s="1568">
        <f t="shared" si="1"/>
        <v>0</v>
      </c>
      <c r="V8" s="1567" t="s">
        <v>8</v>
      </c>
      <c r="W8" s="1568">
        <f t="shared" si="2"/>
        <v>0</v>
      </c>
      <c r="X8" s="1569"/>
      <c r="Y8" s="3499" t="s">
        <v>533</v>
      </c>
      <c r="Z8" s="3500"/>
      <c r="AA8" s="1570" t="e">
        <f t="shared" ref="AA8:AA47" si="3">D8/F8</f>
        <v>#DIV/0!</v>
      </c>
      <c r="AB8" s="1570" t="e">
        <f t="shared" ref="AB8:AB47" si="4">D8/H8</f>
        <v>#DIV/0!</v>
      </c>
      <c r="AC8" s="1570" t="e">
        <f t="shared" ref="AC8:AC47" si="5">D8/J8</f>
        <v>#DIV/0!</v>
      </c>
    </row>
    <row r="9" spans="1:29" s="1219" customFormat="1" ht="15">
      <c r="A9" s="2911"/>
      <c r="B9" s="2918" t="s">
        <v>2753</v>
      </c>
      <c r="C9" s="856"/>
      <c r="D9" s="253">
        <v>100</v>
      </c>
      <c r="E9" s="859"/>
      <c r="F9" s="253">
        <f>SUMIF(64:64,E9,65:65)-SUMIF(64:64,C9,65:65)+100</f>
        <v>100</v>
      </c>
      <c r="G9" s="857"/>
      <c r="H9" s="253">
        <f>SUMIF(64:64,G9,65:65)-SUMIF(64:64,C9,65:65)+100</f>
        <v>100</v>
      </c>
      <c r="I9" s="857"/>
      <c r="J9" s="253">
        <f>SUMIF(64:64,I9,65:65)-SUMIF(64:64,C9,65:65)+100</f>
        <v>100</v>
      </c>
      <c r="K9" s="523"/>
      <c r="L9" s="2133"/>
      <c r="M9" s="2134"/>
      <c r="N9" s="2134"/>
      <c r="O9" s="2134"/>
      <c r="P9" s="3507" t="s">
        <v>535</v>
      </c>
      <c r="Q9" s="1150" t="str">
        <f t="shared" ref="Q9:Q15" si="6">B9</f>
        <v>用途</v>
      </c>
      <c r="R9" s="1567" t="s">
        <v>8</v>
      </c>
      <c r="S9" s="1568">
        <f t="shared" si="0"/>
        <v>100</v>
      </c>
      <c r="T9" s="1567" t="s">
        <v>8</v>
      </c>
      <c r="U9" s="1568">
        <f t="shared" si="1"/>
        <v>100</v>
      </c>
      <c r="V9" s="1567" t="s">
        <v>8</v>
      </c>
      <c r="W9" s="1568">
        <f t="shared" si="2"/>
        <v>100</v>
      </c>
      <c r="X9" s="1569"/>
      <c r="Y9" s="3464" t="s">
        <v>536</v>
      </c>
      <c r="Z9" s="1149" t="str">
        <f t="shared" ref="Z9:Z15" si="7">Q9</f>
        <v>用途</v>
      </c>
      <c r="AA9" s="1570">
        <f t="shared" si="3"/>
        <v>1</v>
      </c>
      <c r="AB9" s="1570">
        <f t="shared" si="4"/>
        <v>1</v>
      </c>
      <c r="AC9" s="1570">
        <f t="shared" si="5"/>
        <v>1</v>
      </c>
    </row>
    <row r="10" spans="1:29" s="1337" customFormat="1" ht="27">
      <c r="A10" s="2912"/>
      <c r="B10" s="2917" t="s">
        <v>2754</v>
      </c>
      <c r="C10" s="860"/>
      <c r="D10" s="254">
        <v>100</v>
      </c>
      <c r="E10" s="860"/>
      <c r="F10" s="254">
        <f>SUMIF(66:66,E10,67:67)-SUMIF(66:66,C10,67:67)+100</f>
        <v>100</v>
      </c>
      <c r="G10" s="861"/>
      <c r="H10" s="254">
        <f>SUMIF(66:66,G10,67:67)-SUMIF(66:66,C10,67:67)+100</f>
        <v>100</v>
      </c>
      <c r="I10" s="860"/>
      <c r="J10" s="254">
        <f>SUMIF(66:66,I10,67:67)-SUMIF(66:66,C10,67:67)+100</f>
        <v>100</v>
      </c>
      <c r="K10" s="583"/>
      <c r="L10" s="2136"/>
      <c r="M10" s="2176"/>
      <c r="N10" s="2176"/>
      <c r="O10" s="2176"/>
      <c r="P10" s="3507"/>
      <c r="Q10" s="1150" t="str">
        <f t="shared" si="6"/>
        <v>土地使用年限（年）</v>
      </c>
      <c r="R10" s="1567" t="s">
        <v>8</v>
      </c>
      <c r="S10" s="1568">
        <f t="shared" si="0"/>
        <v>100</v>
      </c>
      <c r="T10" s="1567" t="s">
        <v>8</v>
      </c>
      <c r="U10" s="1568">
        <f t="shared" si="1"/>
        <v>100</v>
      </c>
      <c r="V10" s="1567" t="s">
        <v>8</v>
      </c>
      <c r="W10" s="1568">
        <f t="shared" si="2"/>
        <v>100</v>
      </c>
      <c r="X10" s="1569"/>
      <c r="Y10" s="3464"/>
      <c r="Z10" s="1149" t="str">
        <f t="shared" si="7"/>
        <v>土地使用年限（年）</v>
      </c>
      <c r="AA10" s="1570">
        <f t="shared" si="3"/>
        <v>1</v>
      </c>
      <c r="AB10" s="1570">
        <f t="shared" si="4"/>
        <v>1</v>
      </c>
      <c r="AC10" s="1570">
        <f t="shared" si="5"/>
        <v>1</v>
      </c>
    </row>
    <row r="11" spans="1:29" ht="15">
      <c r="A11" s="2913"/>
      <c r="B11" s="2917" t="s">
        <v>2755</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8"/>
      <c r="M11" s="2132"/>
      <c r="N11" s="2132"/>
      <c r="O11" s="2132"/>
      <c r="P11" s="3507"/>
      <c r="Q11" s="1150" t="str">
        <f t="shared" si="6"/>
        <v>容积率</v>
      </c>
      <c r="R11" s="1567" t="s">
        <v>8</v>
      </c>
      <c r="S11" s="1568" t="e">
        <f t="shared" si="0"/>
        <v>#N/A</v>
      </c>
      <c r="T11" s="1567" t="s">
        <v>8</v>
      </c>
      <c r="U11" s="1568" t="e">
        <f t="shared" si="1"/>
        <v>#N/A</v>
      </c>
      <c r="V11" s="1567" t="s">
        <v>8</v>
      </c>
      <c r="W11" s="1568" t="e">
        <f t="shared" si="2"/>
        <v>#N/A</v>
      </c>
      <c r="X11" s="1569"/>
      <c r="Y11" s="3464"/>
      <c r="Z11" s="1149" t="str">
        <f t="shared" si="7"/>
        <v>容积率</v>
      </c>
      <c r="AA11" s="1570" t="e">
        <f t="shared" si="3"/>
        <v>#N/A</v>
      </c>
      <c r="AB11" s="1570" t="e">
        <f t="shared" si="4"/>
        <v>#N/A</v>
      </c>
      <c r="AC11" s="1570" t="e">
        <f t="shared" si="5"/>
        <v>#N/A</v>
      </c>
    </row>
    <row r="12" spans="1:29" s="1219" customFormat="1" ht="15">
      <c r="A12" s="2914"/>
      <c r="B12" s="2920">
        <v>111</v>
      </c>
      <c r="C12" s="527"/>
      <c r="D12" s="537">
        <v>100</v>
      </c>
      <c r="E12" s="527"/>
      <c r="F12" s="254">
        <f>SUMIF(71:71,E12,72:72)-SUMIF(71:71,C12,72:72)+100</f>
        <v>100</v>
      </c>
      <c r="G12" s="909"/>
      <c r="H12" s="254">
        <f>SUMIF(71:71,G12,72:72)-SUMIF(71:71,C12,72:72)+100</f>
        <v>100</v>
      </c>
      <c r="I12" s="527"/>
      <c r="J12" s="254">
        <f>SUMIF(71:71,I12,72:72)-SUMIF(71:71,C12,72:72)+100</f>
        <v>100</v>
      </c>
      <c r="K12" s="580"/>
      <c r="L12" s="2133"/>
      <c r="M12" s="2134"/>
      <c r="N12" s="2134"/>
      <c r="O12" s="2134"/>
      <c r="P12" s="3507"/>
      <c r="Q12" s="1150">
        <f t="shared" si="6"/>
        <v>111</v>
      </c>
      <c r="R12" s="1567" t="s">
        <v>8</v>
      </c>
      <c r="S12" s="1568">
        <f t="shared" si="0"/>
        <v>100</v>
      </c>
      <c r="T12" s="1567" t="s">
        <v>8</v>
      </c>
      <c r="U12" s="1568">
        <f t="shared" si="1"/>
        <v>100</v>
      </c>
      <c r="V12" s="1567" t="s">
        <v>8</v>
      </c>
      <c r="W12" s="1568">
        <f t="shared" si="2"/>
        <v>100</v>
      </c>
      <c r="X12" s="1569"/>
      <c r="Y12" s="3464"/>
      <c r="Z12" s="1149">
        <f t="shared" si="7"/>
        <v>111</v>
      </c>
      <c r="AA12" s="1570">
        <f>D12/F12</f>
        <v>1</v>
      </c>
      <c r="AB12" s="1570">
        <f>D12/H12</f>
        <v>1</v>
      </c>
      <c r="AC12" s="1570">
        <f>D12/J12</f>
        <v>1</v>
      </c>
    </row>
    <row r="13" spans="1:29" ht="15">
      <c r="A13" s="2914"/>
      <c r="B13" s="2920">
        <v>111</v>
      </c>
      <c r="C13" s="538"/>
      <c r="D13" s="539">
        <v>100</v>
      </c>
      <c r="E13" s="527"/>
      <c r="F13" s="254">
        <f>SUMIF(73:73,E13,74:74)-SUMIF(73:73,C13,74:74)+100</f>
        <v>100</v>
      </c>
      <c r="G13" s="909"/>
      <c r="H13" s="539">
        <f>SUMIF(73:73,G13,74:74)-SUMIF(73:73,C13,74:74)+100</f>
        <v>100</v>
      </c>
      <c r="I13" s="527"/>
      <c r="J13" s="539">
        <f>SUMIF(73:73,I13,74:74)-SUMIF(73:73,C13,74:74)+100</f>
        <v>100</v>
      </c>
      <c r="K13" s="580"/>
      <c r="L13" s="2140"/>
      <c r="M13" s="2132"/>
      <c r="N13" s="2132"/>
      <c r="O13" s="2132"/>
      <c r="P13" s="3507"/>
      <c r="Q13" s="1150">
        <f t="shared" si="6"/>
        <v>111</v>
      </c>
      <c r="R13" s="1567" t="s">
        <v>8</v>
      </c>
      <c r="S13" s="1568">
        <f t="shared" si="0"/>
        <v>100</v>
      </c>
      <c r="T13" s="1567" t="s">
        <v>8</v>
      </c>
      <c r="U13" s="1568">
        <f t="shared" si="1"/>
        <v>100</v>
      </c>
      <c r="V13" s="1567" t="s">
        <v>8</v>
      </c>
      <c r="W13" s="1568">
        <f t="shared" si="2"/>
        <v>100</v>
      </c>
      <c r="X13" s="1569"/>
      <c r="Y13" s="3464"/>
      <c r="Z13" s="1149">
        <f t="shared" si="7"/>
        <v>111</v>
      </c>
      <c r="AA13" s="1570">
        <f t="shared" si="3"/>
        <v>1</v>
      </c>
      <c r="AB13" s="1570">
        <f t="shared" si="4"/>
        <v>1</v>
      </c>
      <c r="AC13" s="1570">
        <f t="shared" si="5"/>
        <v>1</v>
      </c>
    </row>
    <row r="14" spans="1:29" ht="15.75" thickBot="1">
      <c r="A14" s="2915"/>
      <c r="B14" s="2921">
        <v>111</v>
      </c>
      <c r="C14" s="544"/>
      <c r="D14" s="545">
        <v>100</v>
      </c>
      <c r="E14" s="910"/>
      <c r="F14" s="545">
        <f>SUMIF(75:75,E14,76:76)-SUMIF(75:75,C14,76:76)+100</f>
        <v>100</v>
      </c>
      <c r="G14" s="909"/>
      <c r="H14" s="545">
        <f>SUMIF(75:75,G14,76:76)-SUMIF(75:75,C14,76:76)+100</f>
        <v>100</v>
      </c>
      <c r="I14" s="527"/>
      <c r="J14" s="545">
        <f>SUMIF(75:75,I14,76:76)-SUMIF(75:75,C14,76:76)+100</f>
        <v>100</v>
      </c>
      <c r="K14" s="580"/>
      <c r="L14" s="2140"/>
      <c r="M14" s="2132"/>
      <c r="N14" s="2132"/>
      <c r="O14" s="2132"/>
      <c r="P14" s="3507"/>
      <c r="Q14" s="1150">
        <f t="shared" si="6"/>
        <v>111</v>
      </c>
      <c r="R14" s="1567" t="s">
        <v>8</v>
      </c>
      <c r="S14" s="1568">
        <f t="shared" si="0"/>
        <v>100</v>
      </c>
      <c r="T14" s="1567" t="s">
        <v>8</v>
      </c>
      <c r="U14" s="1568">
        <f t="shared" si="1"/>
        <v>100</v>
      </c>
      <c r="V14" s="1567" t="s">
        <v>8</v>
      </c>
      <c r="W14" s="1568">
        <f t="shared" si="2"/>
        <v>100</v>
      </c>
      <c r="X14" s="1569"/>
      <c r="Y14" s="3464"/>
      <c r="Z14" s="1149">
        <f t="shared" si="7"/>
        <v>111</v>
      </c>
      <c r="AA14" s="1570">
        <f t="shared" si="3"/>
        <v>1</v>
      </c>
      <c r="AB14" s="1570">
        <f t="shared" si="4"/>
        <v>1</v>
      </c>
      <c r="AC14" s="1570">
        <f t="shared" si="5"/>
        <v>1</v>
      </c>
    </row>
    <row r="15" spans="1:29" ht="15">
      <c r="A15" s="2907" t="s">
        <v>2751</v>
      </c>
      <c r="B15" s="546" t="s">
        <v>542</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40"/>
      <c r="M15" s="2132"/>
      <c r="N15" s="2132"/>
      <c r="O15" s="2132"/>
      <c r="P15" s="3509" t="s">
        <v>540</v>
      </c>
      <c r="Q15" s="1571" t="str">
        <f t="shared" si="6"/>
        <v>办公集聚程度</v>
      </c>
      <c r="R15" s="1572" t="s">
        <v>8</v>
      </c>
      <c r="S15" s="1573">
        <f t="shared" si="0"/>
        <v>100</v>
      </c>
      <c r="T15" s="1572" t="s">
        <v>8</v>
      </c>
      <c r="U15" s="1573">
        <f t="shared" si="1"/>
        <v>100</v>
      </c>
      <c r="V15" s="1572" t="s">
        <v>8</v>
      </c>
      <c r="W15" s="1573">
        <f t="shared" si="2"/>
        <v>100</v>
      </c>
      <c r="X15" s="1566"/>
      <c r="Y15" s="3509" t="s">
        <v>540</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140"/>
      <c r="M16" s="2132"/>
      <c r="N16" s="2132"/>
      <c r="O16" s="2132"/>
      <c r="P16" s="3510"/>
      <c r="Q16" s="1571"/>
      <c r="R16" s="1572"/>
      <c r="S16" s="1573"/>
      <c r="T16" s="1572"/>
      <c r="U16" s="1573"/>
      <c r="V16" s="1572"/>
      <c r="W16" s="1573"/>
      <c r="X16" s="1566"/>
      <c r="Y16" s="3510"/>
      <c r="Z16" s="1574"/>
      <c r="AA16" s="1575">
        <v>1</v>
      </c>
      <c r="AB16" s="1575">
        <v>1</v>
      </c>
      <c r="AC16" s="1575">
        <v>1</v>
      </c>
    </row>
    <row r="17" spans="1:29" ht="15">
      <c r="A17" s="531"/>
      <c r="B17" s="559" t="s">
        <v>296</v>
      </c>
      <c r="C17" s="572" t="str">
        <f>估价对象房地状况!C6</f>
        <v>一般</v>
      </c>
      <c r="D17" s="558">
        <v>100</v>
      </c>
      <c r="E17" s="563"/>
      <c r="F17" s="558">
        <f>SUMIF(79:79,E18,80:80)-SUMIF(79:79,C18,80:80)+100</f>
        <v>100</v>
      </c>
      <c r="G17" s="561"/>
      <c r="H17" s="564">
        <f>SUMIF(79:79,G18,80:80)-SUMIF(79:79,C18,80:80)+100</f>
        <v>100</v>
      </c>
      <c r="I17" s="561"/>
      <c r="J17" s="564">
        <f>SUMIF(79:79,I18,80:80)-SUMIF(79:79,C18,80:80)+100</f>
        <v>100</v>
      </c>
      <c r="K17" s="897"/>
      <c r="L17" s="2140"/>
      <c r="M17" s="2132"/>
      <c r="N17" s="2132"/>
      <c r="O17" s="2132"/>
      <c r="P17" s="3510"/>
      <c r="Q17" s="1571" t="str">
        <f>B17</f>
        <v>交通便捷度</v>
      </c>
      <c r="R17" s="1572" t="s">
        <v>8</v>
      </c>
      <c r="S17" s="1573">
        <f>F17</f>
        <v>100</v>
      </c>
      <c r="T17" s="1572" t="s">
        <v>8</v>
      </c>
      <c r="U17" s="1573">
        <f>H17</f>
        <v>100</v>
      </c>
      <c r="V17" s="1572" t="s">
        <v>8</v>
      </c>
      <c r="W17" s="1573">
        <f>J17</f>
        <v>100</v>
      </c>
      <c r="X17" s="1566"/>
      <c r="Y17" s="3510"/>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140"/>
      <c r="M18" s="2132"/>
      <c r="N18" s="2132"/>
      <c r="O18" s="2132"/>
      <c r="P18" s="3510"/>
      <c r="Q18" s="1571"/>
      <c r="R18" s="1572"/>
      <c r="S18" s="1573"/>
      <c r="T18" s="1572"/>
      <c r="U18" s="1573"/>
      <c r="V18" s="1572"/>
      <c r="W18" s="1573"/>
      <c r="X18" s="1566"/>
      <c r="Y18" s="3510"/>
      <c r="Z18" s="1574"/>
      <c r="AA18" s="1575">
        <v>1</v>
      </c>
      <c r="AB18" s="1575">
        <v>1</v>
      </c>
      <c r="AC18" s="1575">
        <v>1</v>
      </c>
    </row>
    <row r="19" spans="1:29" ht="15">
      <c r="A19" s="531"/>
      <c r="B19" s="2601" t="s">
        <v>2544</v>
      </c>
      <c r="C19" s="572" t="str">
        <f>估价对象房地状况!C7</f>
        <v>一般</v>
      </c>
      <c r="D19" s="564">
        <v>100</v>
      </c>
      <c r="E19" s="571"/>
      <c r="F19" s="564">
        <f>SUMIF(81:81,E20,82:82)-SUMIF(81:81,C20,82:82)+100</f>
        <v>100</v>
      </c>
      <c r="G19" s="569"/>
      <c r="H19" s="558">
        <f>SUMIF(81:81,G20,82:82)-SUMIF(81:81,C20,82:82)+100</f>
        <v>100</v>
      </c>
      <c r="I19" s="569"/>
      <c r="J19" s="558">
        <f>SUMIF(81:81,I20,82:82)-SUMIF(81:81,C20,82:82)+100</f>
        <v>100</v>
      </c>
      <c r="K19" s="897"/>
      <c r="L19" s="2140"/>
      <c r="M19" s="2132"/>
      <c r="N19" s="2132"/>
      <c r="O19" s="2132"/>
      <c r="P19" s="3510"/>
      <c r="Q19" s="1571" t="str">
        <f>B19</f>
        <v>公共配套设施</v>
      </c>
      <c r="R19" s="1572" t="s">
        <v>8</v>
      </c>
      <c r="S19" s="1573">
        <f>F19</f>
        <v>100</v>
      </c>
      <c r="T19" s="1572" t="s">
        <v>8</v>
      </c>
      <c r="U19" s="1573">
        <f>H19</f>
        <v>100</v>
      </c>
      <c r="V19" s="1572" t="s">
        <v>8</v>
      </c>
      <c r="W19" s="1573">
        <f>J19</f>
        <v>100</v>
      </c>
      <c r="X19" s="1566"/>
      <c r="Y19" s="3510"/>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140"/>
      <c r="M20" s="2132"/>
      <c r="N20" s="2132"/>
      <c r="O20" s="2132"/>
      <c r="P20" s="3510"/>
      <c r="Q20" s="1571"/>
      <c r="R20" s="1572"/>
      <c r="S20" s="1573"/>
      <c r="T20" s="1572"/>
      <c r="U20" s="1573"/>
      <c r="V20" s="1572"/>
      <c r="W20" s="1573"/>
      <c r="X20" s="1566"/>
      <c r="Y20" s="3510"/>
      <c r="Z20" s="1574"/>
      <c r="AA20" s="1575">
        <v>1</v>
      </c>
      <c r="AB20" s="1575">
        <v>1</v>
      </c>
      <c r="AC20" s="1575">
        <v>1</v>
      </c>
    </row>
    <row r="21" spans="1:29" ht="15">
      <c r="A21" s="531"/>
      <c r="B21" s="2589" t="s">
        <v>2556</v>
      </c>
      <c r="C21" s="572" t="str">
        <f>估价对象房地状况!C8</f>
        <v>七通</v>
      </c>
      <c r="D21" s="564">
        <v>100</v>
      </c>
      <c r="E21" s="571"/>
      <c r="F21" s="564">
        <f>SUMIF(83:83,E22,84:84)-SUMIF(83:83,C22,84:84)+100</f>
        <v>100</v>
      </c>
      <c r="G21" s="569"/>
      <c r="H21" s="564">
        <f>SUMIF(83:83,G22,84:84)-SUMIF(83:83,C22,84:84)+100</f>
        <v>100</v>
      </c>
      <c r="I21" s="569"/>
      <c r="J21" s="564">
        <f>SUMIF(83:83,I22,84:84)-SUMIF(83:83,C22,84:84)+100</f>
        <v>100</v>
      </c>
      <c r="K21" s="897"/>
      <c r="L21" s="2140"/>
      <c r="M21" s="2132"/>
      <c r="N21" s="2132"/>
      <c r="O21" s="2132"/>
      <c r="P21" s="3510"/>
      <c r="Q21" s="2577" t="str">
        <f>B21</f>
        <v>基础设施水平</v>
      </c>
      <c r="R21" s="1572" t="s">
        <v>8</v>
      </c>
      <c r="S21" s="1573">
        <f>F21</f>
        <v>100</v>
      </c>
      <c r="T21" s="1572" t="s">
        <v>8</v>
      </c>
      <c r="U21" s="1573">
        <f>H21</f>
        <v>100</v>
      </c>
      <c r="V21" s="1572" t="s">
        <v>8</v>
      </c>
      <c r="W21" s="1573">
        <f>J21</f>
        <v>100</v>
      </c>
      <c r="X21" s="2579"/>
      <c r="Y21" s="3510"/>
      <c r="Z21" s="2578" t="str">
        <f>Q21</f>
        <v>基础设施水平</v>
      </c>
      <c r="AA21" s="1575">
        <f>D21/F21</f>
        <v>1</v>
      </c>
      <c r="AB21" s="1575">
        <f>D21/H21</f>
        <v>1</v>
      </c>
      <c r="AC21" s="1575">
        <f>D21/J21</f>
        <v>1</v>
      </c>
    </row>
    <row r="22" spans="1:29" ht="15">
      <c r="A22" s="531"/>
      <c r="B22" s="577"/>
      <c r="C22" s="566"/>
      <c r="D22" s="554"/>
      <c r="E22" s="575"/>
      <c r="F22" s="554"/>
      <c r="G22" s="553"/>
      <c r="H22" s="554"/>
      <c r="I22" s="553"/>
      <c r="J22" s="554"/>
      <c r="K22" s="2600"/>
      <c r="L22" s="2140"/>
      <c r="M22" s="2132"/>
      <c r="N22" s="2132"/>
      <c r="O22" s="2132"/>
      <c r="P22" s="3510"/>
      <c r="Q22" s="2577"/>
      <c r="R22" s="1572"/>
      <c r="S22" s="1573"/>
      <c r="T22" s="1572"/>
      <c r="U22" s="1573"/>
      <c r="V22" s="1572"/>
      <c r="W22" s="1573"/>
      <c r="X22" s="2579"/>
      <c r="Y22" s="3510"/>
      <c r="Z22" s="2578"/>
      <c r="AA22" s="1575">
        <v>1</v>
      </c>
      <c r="AB22" s="1575">
        <v>1</v>
      </c>
      <c r="AC22" s="1575">
        <v>1</v>
      </c>
    </row>
    <row r="23" spans="1:29" ht="15">
      <c r="A23" s="531"/>
      <c r="B23" s="559" t="s">
        <v>778</v>
      </c>
      <c r="C23" s="572" t="str">
        <f>估价对象房地状况!C9</f>
        <v>一般</v>
      </c>
      <c r="D23" s="558">
        <v>100</v>
      </c>
      <c r="E23" s="563"/>
      <c r="F23" s="558">
        <f>SUMIF(85:85,E24,86:86)-SUMIF(85:85,C24,86:86)+100</f>
        <v>100</v>
      </c>
      <c r="G23" s="561"/>
      <c r="H23" s="558">
        <f>SUMIF(85:85,G24,86:86)-SUMIF(85:85,C24,86:86)+100</f>
        <v>100</v>
      </c>
      <c r="I23" s="561"/>
      <c r="J23" s="558">
        <f>SUMIF(85:85,I24,86:86)-SUMIF(85:85,C24,86:86)+100</f>
        <v>100</v>
      </c>
      <c r="K23" s="897"/>
      <c r="L23" s="2140"/>
      <c r="M23" s="2132"/>
      <c r="N23" s="2132"/>
      <c r="O23" s="2132"/>
      <c r="P23" s="3510"/>
      <c r="Q23" s="1571" t="str">
        <f>B23</f>
        <v>环境质量</v>
      </c>
      <c r="R23" s="1572" t="s">
        <v>8</v>
      </c>
      <c r="S23" s="1573">
        <f>F23</f>
        <v>100</v>
      </c>
      <c r="T23" s="1572" t="s">
        <v>8</v>
      </c>
      <c r="U23" s="1573">
        <f>H23</f>
        <v>100</v>
      </c>
      <c r="V23" s="1572" t="s">
        <v>8</v>
      </c>
      <c r="W23" s="1573">
        <f>J23</f>
        <v>100</v>
      </c>
      <c r="X23" s="1566"/>
      <c r="Y23" s="3510"/>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140"/>
      <c r="M24" s="2132"/>
      <c r="N24" s="2132"/>
      <c r="O24" s="2132"/>
      <c r="P24" s="3510"/>
      <c r="Q24" s="1571"/>
      <c r="R24" s="1572"/>
      <c r="S24" s="1573"/>
      <c r="T24" s="1572"/>
      <c r="U24" s="1573"/>
      <c r="V24" s="1572"/>
      <c r="W24" s="1573"/>
      <c r="X24" s="1566"/>
      <c r="Y24" s="3510"/>
      <c r="Z24" s="1574"/>
      <c r="AA24" s="1575">
        <v>1</v>
      </c>
      <c r="AB24" s="1575">
        <v>1</v>
      </c>
      <c r="AC24" s="1575">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0"/>
      <c r="M25" s="2132"/>
      <c r="N25" s="2132"/>
      <c r="O25" s="2132"/>
      <c r="P25" s="3510"/>
      <c r="Q25" s="1571" t="str">
        <f>B25</f>
        <v>毗邻道路的类型与等级</v>
      </c>
      <c r="R25" s="1572" t="s">
        <v>8</v>
      </c>
      <c r="S25" s="1573">
        <f>F25</f>
        <v>100</v>
      </c>
      <c r="T25" s="1572" t="s">
        <v>8</v>
      </c>
      <c r="U25" s="1573">
        <f>H25</f>
        <v>100</v>
      </c>
      <c r="V25" s="1572" t="s">
        <v>8</v>
      </c>
      <c r="W25" s="1573">
        <f>J25</f>
        <v>100</v>
      </c>
      <c r="X25" s="1566"/>
      <c r="Y25" s="3510"/>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8"/>
      <c r="L26" s="2140"/>
      <c r="M26" s="2132"/>
      <c r="N26" s="2132"/>
      <c r="O26" s="2132"/>
      <c r="P26" s="3510"/>
      <c r="Q26" s="1571"/>
      <c r="R26" s="1572"/>
      <c r="S26" s="1573"/>
      <c r="T26" s="1572"/>
      <c r="U26" s="1573"/>
      <c r="V26" s="1572"/>
      <c r="W26" s="1573"/>
      <c r="X26" s="1566"/>
      <c r="Y26" s="3510"/>
      <c r="Z26" s="1574"/>
      <c r="AA26" s="1575">
        <v>1</v>
      </c>
      <c r="AB26" s="1575">
        <v>1</v>
      </c>
      <c r="AC26" s="1575">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0"/>
      <c r="M27" s="2132"/>
      <c r="N27" s="2132"/>
      <c r="O27" s="2132"/>
      <c r="P27" s="3510"/>
      <c r="Q27" s="1571" t="str">
        <f t="shared" ref="Q27:Q47" si="8">B27</f>
        <v>楼层</v>
      </c>
      <c r="R27" s="1572" t="s">
        <v>8</v>
      </c>
      <c r="S27" s="1573">
        <f>F27</f>
        <v>100</v>
      </c>
      <c r="T27" s="1572" t="s">
        <v>8</v>
      </c>
      <c r="U27" s="1573">
        <f>H27</f>
        <v>100</v>
      </c>
      <c r="V27" s="1572" t="s">
        <v>8</v>
      </c>
      <c r="W27" s="1573">
        <f>J27</f>
        <v>100</v>
      </c>
      <c r="X27" s="1566"/>
      <c r="Y27" s="3510"/>
      <c r="Z27" s="1574" t="str">
        <f>Q27</f>
        <v>楼层</v>
      </c>
      <c r="AA27" s="1575">
        <f t="shared" si="3"/>
        <v>1</v>
      </c>
      <c r="AB27" s="1575">
        <f t="shared" si="4"/>
        <v>1</v>
      </c>
      <c r="AC27" s="1575">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3"/>
      <c r="M28" s="2134"/>
      <c r="N28" s="2134"/>
      <c r="O28" s="2134"/>
      <c r="P28" s="3510"/>
      <c r="Q28" s="1150" t="str">
        <f t="shared" si="8"/>
        <v>朝向</v>
      </c>
      <c r="R28" s="1567" t="s">
        <v>8</v>
      </c>
      <c r="S28" s="1568">
        <f>F28</f>
        <v>100</v>
      </c>
      <c r="T28" s="1567" t="s">
        <v>8</v>
      </c>
      <c r="U28" s="1568">
        <f>H28</f>
        <v>100</v>
      </c>
      <c r="V28" s="1567" t="s">
        <v>8</v>
      </c>
      <c r="W28" s="1568">
        <f>J28</f>
        <v>100</v>
      </c>
      <c r="X28" s="1569"/>
      <c r="Y28" s="3510"/>
      <c r="Z28" s="1149" t="str">
        <f>Q28</f>
        <v>朝向</v>
      </c>
      <c r="AA28" s="1575">
        <f>D28/F28</f>
        <v>1</v>
      </c>
      <c r="AB28" s="1575">
        <f>D28/H28</f>
        <v>1</v>
      </c>
      <c r="AC28" s="1575">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0"/>
      <c r="M29" s="2132"/>
      <c r="N29" s="2132"/>
      <c r="O29" s="2132"/>
      <c r="P29" s="3510"/>
      <c r="Q29" s="1571">
        <f t="shared" si="8"/>
        <v>111</v>
      </c>
      <c r="R29" s="1572" t="s">
        <v>8</v>
      </c>
      <c r="S29" s="1573">
        <f t="shared" ref="S29:S47" si="9">F29</f>
        <v>100</v>
      </c>
      <c r="T29" s="1572" t="s">
        <v>8</v>
      </c>
      <c r="U29" s="1573">
        <f t="shared" ref="U29:U47" si="10">H29</f>
        <v>100</v>
      </c>
      <c r="V29" s="1572" t="s">
        <v>8</v>
      </c>
      <c r="W29" s="1573">
        <f t="shared" ref="W29:W47" si="11">J29</f>
        <v>100</v>
      </c>
      <c r="X29" s="1566"/>
      <c r="Y29" s="3510"/>
      <c r="Z29" s="1574">
        <f t="shared" ref="Z29:Z47" si="12">Q29</f>
        <v>111</v>
      </c>
      <c r="AA29" s="1575">
        <f t="shared" si="3"/>
        <v>1</v>
      </c>
      <c r="AB29" s="1575">
        <f t="shared" si="4"/>
        <v>1</v>
      </c>
      <c r="AC29" s="1575">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0"/>
      <c r="M30" s="2132"/>
      <c r="N30" s="2132"/>
      <c r="O30" s="2132"/>
      <c r="P30" s="3510"/>
      <c r="Q30" s="1571">
        <f t="shared" si="8"/>
        <v>111</v>
      </c>
      <c r="R30" s="1572" t="s">
        <v>8</v>
      </c>
      <c r="S30" s="1573">
        <f t="shared" si="9"/>
        <v>100</v>
      </c>
      <c r="T30" s="1572" t="s">
        <v>8</v>
      </c>
      <c r="U30" s="1573">
        <f t="shared" si="10"/>
        <v>100</v>
      </c>
      <c r="V30" s="1572" t="s">
        <v>8</v>
      </c>
      <c r="W30" s="1573">
        <f t="shared" si="11"/>
        <v>100</v>
      </c>
      <c r="X30" s="1566"/>
      <c r="Y30" s="3510"/>
      <c r="Z30" s="1574">
        <f t="shared" si="12"/>
        <v>111</v>
      </c>
      <c r="AA30" s="1575">
        <f t="shared" si="3"/>
        <v>1</v>
      </c>
      <c r="AB30" s="1575">
        <f t="shared" si="4"/>
        <v>1</v>
      </c>
      <c r="AC30" s="1575">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0"/>
      <c r="M31" s="2132"/>
      <c r="N31" s="2132"/>
      <c r="O31" s="2132"/>
      <c r="P31" s="3510"/>
      <c r="Q31" s="1571">
        <f t="shared" si="8"/>
        <v>111</v>
      </c>
      <c r="R31" s="1572" t="s">
        <v>8</v>
      </c>
      <c r="S31" s="1573">
        <f t="shared" si="9"/>
        <v>100</v>
      </c>
      <c r="T31" s="1572" t="s">
        <v>8</v>
      </c>
      <c r="U31" s="1573">
        <f t="shared" si="10"/>
        <v>100</v>
      </c>
      <c r="V31" s="1572" t="s">
        <v>8</v>
      </c>
      <c r="W31" s="1573">
        <f t="shared" si="11"/>
        <v>100</v>
      </c>
      <c r="X31" s="1566"/>
      <c r="Y31" s="3510"/>
      <c r="Z31" s="1574">
        <f t="shared" si="12"/>
        <v>111</v>
      </c>
      <c r="AA31" s="1575">
        <f t="shared" si="3"/>
        <v>1</v>
      </c>
      <c r="AB31" s="1575">
        <f t="shared" si="4"/>
        <v>1</v>
      </c>
      <c r="AC31" s="1575">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0"/>
      <c r="M32" s="2132"/>
      <c r="N32" s="2132"/>
      <c r="O32" s="2132"/>
      <c r="P32" s="3510"/>
      <c r="Q32" s="1571">
        <f t="shared" si="8"/>
        <v>111</v>
      </c>
      <c r="R32" s="1572" t="s">
        <v>8</v>
      </c>
      <c r="S32" s="1573">
        <f t="shared" si="9"/>
        <v>100</v>
      </c>
      <c r="T32" s="1572" t="s">
        <v>8</v>
      </c>
      <c r="U32" s="1573">
        <f t="shared" si="10"/>
        <v>100</v>
      </c>
      <c r="V32" s="1572" t="s">
        <v>8</v>
      </c>
      <c r="W32" s="1573">
        <f t="shared" si="11"/>
        <v>100</v>
      </c>
      <c r="X32" s="1566"/>
      <c r="Y32" s="3510"/>
      <c r="Z32" s="1574">
        <f t="shared" si="12"/>
        <v>111</v>
      </c>
      <c r="AA32" s="1575">
        <f t="shared" si="3"/>
        <v>1</v>
      </c>
      <c r="AB32" s="1575">
        <f t="shared" si="4"/>
        <v>1</v>
      </c>
      <c r="AC32" s="1575">
        <f t="shared" si="5"/>
        <v>1</v>
      </c>
    </row>
    <row r="33" spans="1:29" ht="15">
      <c r="A33" s="2905" t="s">
        <v>2752</v>
      </c>
      <c r="B33" s="171"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0"/>
      <c r="M33" s="2132"/>
      <c r="N33" s="2132"/>
      <c r="O33" s="2132"/>
      <c r="P33" s="3511" t="s">
        <v>550</v>
      </c>
      <c r="Q33" s="1571" t="str">
        <f t="shared" si="8"/>
        <v>建筑类型</v>
      </c>
      <c r="R33" s="1572" t="s">
        <v>8</v>
      </c>
      <c r="S33" s="1573">
        <f t="shared" si="9"/>
        <v>100</v>
      </c>
      <c r="T33" s="1572" t="s">
        <v>8</v>
      </c>
      <c r="U33" s="1573">
        <f t="shared" si="10"/>
        <v>100</v>
      </c>
      <c r="V33" s="1572" t="s">
        <v>8</v>
      </c>
      <c r="W33" s="1573">
        <f t="shared" si="11"/>
        <v>100</v>
      </c>
      <c r="X33" s="1566"/>
      <c r="Y33" s="3512" t="s">
        <v>550</v>
      </c>
      <c r="Z33" s="1574" t="str">
        <f t="shared" si="12"/>
        <v>建筑类型</v>
      </c>
      <c r="AA33" s="1575">
        <f t="shared" si="3"/>
        <v>1</v>
      </c>
      <c r="AB33" s="1575">
        <f t="shared" si="4"/>
        <v>1</v>
      </c>
      <c r="AC33" s="1575">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8"/>
      <c r="M34" s="2169"/>
      <c r="N34" s="2169"/>
      <c r="O34" s="2169"/>
      <c r="P34" s="3512"/>
      <c r="Q34" s="1604" t="str">
        <f t="shared" si="8"/>
        <v>项目建筑规模</v>
      </c>
      <c r="R34" s="1576" t="s">
        <v>8</v>
      </c>
      <c r="S34" s="1577" t="e">
        <f t="shared" si="9"/>
        <v>#N/A</v>
      </c>
      <c r="T34" s="1576" t="s">
        <v>8</v>
      </c>
      <c r="U34" s="1577" t="e">
        <f t="shared" si="10"/>
        <v>#N/A</v>
      </c>
      <c r="V34" s="1576" t="s">
        <v>8</v>
      </c>
      <c r="W34" s="1577" t="e">
        <f t="shared" si="11"/>
        <v>#N/A</v>
      </c>
      <c r="X34" s="1578"/>
      <c r="Y34" s="3512"/>
      <c r="Z34" s="1579" t="str">
        <f t="shared" si="12"/>
        <v>项目建筑规模</v>
      </c>
      <c r="AA34" s="1575" t="e">
        <f t="shared" si="3"/>
        <v>#N/A</v>
      </c>
      <c r="AB34" s="1575" t="e">
        <f t="shared" si="4"/>
        <v>#N/A</v>
      </c>
      <c r="AC34" s="1575"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0"/>
      <c r="M35" s="2132"/>
      <c r="N35" s="2132"/>
      <c r="O35" s="2132"/>
      <c r="P35" s="3512"/>
      <c r="Q35" s="1571" t="str">
        <f t="shared" si="8"/>
        <v>建筑结构</v>
      </c>
      <c r="R35" s="1572" t="s">
        <v>8</v>
      </c>
      <c r="S35" s="1573">
        <f t="shared" si="9"/>
        <v>100</v>
      </c>
      <c r="T35" s="1572" t="s">
        <v>8</v>
      </c>
      <c r="U35" s="1573">
        <f t="shared" si="10"/>
        <v>100</v>
      </c>
      <c r="V35" s="1572" t="s">
        <v>8</v>
      </c>
      <c r="W35" s="1573">
        <f t="shared" si="11"/>
        <v>100</v>
      </c>
      <c r="X35" s="1566"/>
      <c r="Y35" s="3512"/>
      <c r="Z35" s="1574" t="str">
        <f t="shared" si="12"/>
        <v>建筑结构</v>
      </c>
      <c r="AA35" s="1575">
        <f t="shared" si="3"/>
        <v>1</v>
      </c>
      <c r="AB35" s="1575">
        <f t="shared" si="4"/>
        <v>1</v>
      </c>
      <c r="AC35" s="1575">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0"/>
      <c r="M36" s="2132"/>
      <c r="N36" s="2132"/>
      <c r="O36" s="2132"/>
      <c r="P36" s="3512"/>
      <c r="Q36" s="1571" t="str">
        <f t="shared" si="8"/>
        <v>公共部分装修</v>
      </c>
      <c r="R36" s="1572" t="s">
        <v>8</v>
      </c>
      <c r="S36" s="1573">
        <f t="shared" si="9"/>
        <v>100</v>
      </c>
      <c r="T36" s="1572" t="s">
        <v>8</v>
      </c>
      <c r="U36" s="1573">
        <f t="shared" si="10"/>
        <v>100</v>
      </c>
      <c r="V36" s="1572" t="s">
        <v>8</v>
      </c>
      <c r="W36" s="1573">
        <f t="shared" si="11"/>
        <v>100</v>
      </c>
      <c r="X36" s="1566"/>
      <c r="Y36" s="3512"/>
      <c r="Z36" s="1574" t="str">
        <f t="shared" si="12"/>
        <v>公共部分装修</v>
      </c>
      <c r="AA36" s="1575">
        <f t="shared" si="3"/>
        <v>1</v>
      </c>
      <c r="AB36" s="1575">
        <f t="shared" si="4"/>
        <v>1</v>
      </c>
      <c r="AC36" s="1575">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0"/>
      <c r="M37" s="2132"/>
      <c r="N37" s="2132"/>
      <c r="O37" s="2132"/>
      <c r="P37" s="3512"/>
      <c r="Q37" s="1571" t="str">
        <f t="shared" si="8"/>
        <v>成新度</v>
      </c>
      <c r="R37" s="1572" t="s">
        <v>8</v>
      </c>
      <c r="S37" s="1573" t="e">
        <f t="shared" si="9"/>
        <v>#N/A</v>
      </c>
      <c r="T37" s="1572" t="s">
        <v>8</v>
      </c>
      <c r="U37" s="1573" t="e">
        <f t="shared" si="10"/>
        <v>#N/A</v>
      </c>
      <c r="V37" s="1572" t="s">
        <v>8</v>
      </c>
      <c r="W37" s="1573" t="e">
        <f t="shared" si="11"/>
        <v>#N/A</v>
      </c>
      <c r="X37" s="1566"/>
      <c r="Y37" s="3512"/>
      <c r="Z37" s="1574" t="str">
        <f t="shared" si="12"/>
        <v>成新度</v>
      </c>
      <c r="AA37" s="1575" t="e">
        <f t="shared" si="3"/>
        <v>#N/A</v>
      </c>
      <c r="AB37" s="1575" t="e">
        <f t="shared" si="4"/>
        <v>#N/A</v>
      </c>
      <c r="AC37" s="1575"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3"/>
      <c r="M38" s="2134"/>
      <c r="N38" s="2134"/>
      <c r="O38" s="2134"/>
      <c r="P38" s="3512"/>
      <c r="Q38" s="1150" t="str">
        <f t="shared" si="8"/>
        <v>写字楼等级</v>
      </c>
      <c r="R38" s="1567" t="s">
        <v>8</v>
      </c>
      <c r="S38" s="1568">
        <f t="shared" si="9"/>
        <v>100</v>
      </c>
      <c r="T38" s="1567" t="s">
        <v>8</v>
      </c>
      <c r="U38" s="1568">
        <f t="shared" si="10"/>
        <v>100</v>
      </c>
      <c r="V38" s="1567" t="s">
        <v>8</v>
      </c>
      <c r="W38" s="1568">
        <f t="shared" si="11"/>
        <v>100</v>
      </c>
      <c r="X38" s="1569"/>
      <c r="Y38" s="3512"/>
      <c r="Z38" s="1149" t="str">
        <f t="shared" si="12"/>
        <v>写字楼等级</v>
      </c>
      <c r="AA38" s="1570">
        <f t="shared" si="3"/>
        <v>1</v>
      </c>
      <c r="AB38" s="1570">
        <f t="shared" si="4"/>
        <v>1</v>
      </c>
      <c r="AC38" s="1570">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0"/>
      <c r="M39" s="2132"/>
      <c r="N39" s="2132"/>
      <c r="O39" s="2132"/>
      <c r="P39" s="3512" t="s">
        <v>550</v>
      </c>
      <c r="Q39" s="1571" t="str">
        <f t="shared" si="8"/>
        <v>物业管理</v>
      </c>
      <c r="R39" s="1572" t="s">
        <v>8</v>
      </c>
      <c r="S39" s="1573">
        <f t="shared" si="9"/>
        <v>100</v>
      </c>
      <c r="T39" s="1572" t="s">
        <v>8</v>
      </c>
      <c r="U39" s="1573">
        <f t="shared" si="10"/>
        <v>100</v>
      </c>
      <c r="V39" s="1572" t="s">
        <v>8</v>
      </c>
      <c r="W39" s="1573">
        <f t="shared" si="11"/>
        <v>100</v>
      </c>
      <c r="X39" s="1566"/>
      <c r="Y39" s="3512" t="s">
        <v>550</v>
      </c>
      <c r="Z39" s="1574" t="str">
        <f t="shared" si="12"/>
        <v>物业管理</v>
      </c>
      <c r="AA39" s="1575">
        <f t="shared" si="3"/>
        <v>1</v>
      </c>
      <c r="AB39" s="1575">
        <f t="shared" si="4"/>
        <v>1</v>
      </c>
      <c r="AC39" s="1575">
        <f t="shared" si="5"/>
        <v>1</v>
      </c>
    </row>
    <row r="40" spans="1:29" ht="15">
      <c r="A40" s="593"/>
      <c r="B40" s="1893" t="s">
        <v>2563</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0"/>
      <c r="M40" s="2132"/>
      <c r="N40" s="2132"/>
      <c r="O40" s="2132"/>
      <c r="P40" s="3512"/>
      <c r="Q40" s="1571" t="str">
        <f t="shared" si="8"/>
        <v>市政基础设施</v>
      </c>
      <c r="R40" s="1572" t="s">
        <v>8</v>
      </c>
      <c r="S40" s="1573">
        <f t="shared" si="9"/>
        <v>100</v>
      </c>
      <c r="T40" s="1572" t="s">
        <v>8</v>
      </c>
      <c r="U40" s="1573">
        <f t="shared" si="10"/>
        <v>100</v>
      </c>
      <c r="V40" s="1572" t="s">
        <v>8</v>
      </c>
      <c r="W40" s="1573">
        <f t="shared" si="11"/>
        <v>100</v>
      </c>
      <c r="X40" s="1566"/>
      <c r="Y40" s="3512"/>
      <c r="Z40" s="1574" t="str">
        <f t="shared" si="12"/>
        <v>市政基础设施</v>
      </c>
      <c r="AA40" s="1575">
        <f t="shared" si="3"/>
        <v>1</v>
      </c>
      <c r="AB40" s="1575">
        <f t="shared" si="4"/>
        <v>1</v>
      </c>
      <c r="AC40" s="1575">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0"/>
      <c r="M41" s="2132"/>
      <c r="N41" s="2132"/>
      <c r="O41" s="2132"/>
      <c r="P41" s="3512"/>
      <c r="Q41" s="1571" t="str">
        <f t="shared" si="8"/>
        <v>层高</v>
      </c>
      <c r="R41" s="1572" t="s">
        <v>8</v>
      </c>
      <c r="S41" s="1573">
        <f t="shared" si="9"/>
        <v>100</v>
      </c>
      <c r="T41" s="1572" t="s">
        <v>8</v>
      </c>
      <c r="U41" s="1573">
        <f t="shared" si="10"/>
        <v>100</v>
      </c>
      <c r="V41" s="1572" t="s">
        <v>8</v>
      </c>
      <c r="W41" s="1573">
        <f t="shared" si="11"/>
        <v>100</v>
      </c>
      <c r="X41" s="1566"/>
      <c r="Y41" s="3512"/>
      <c r="Z41" s="1574" t="str">
        <f t="shared" si="12"/>
        <v>层高</v>
      </c>
      <c r="AA41" s="1575">
        <f t="shared" si="3"/>
        <v>1</v>
      </c>
      <c r="AB41" s="1575">
        <f t="shared" si="4"/>
        <v>1</v>
      </c>
      <c r="AC41" s="1575">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8"/>
      <c r="M42" s="2169"/>
      <c r="N42" s="2169"/>
      <c r="O42" s="2169"/>
      <c r="P42" s="3512"/>
      <c r="Q42" s="1604" t="str">
        <f t="shared" si="8"/>
        <v>单套建筑面积</v>
      </c>
      <c r="R42" s="1576" t="s">
        <v>8</v>
      </c>
      <c r="S42" s="1577">
        <f t="shared" si="9"/>
        <v>100</v>
      </c>
      <c r="T42" s="1576" t="s">
        <v>8</v>
      </c>
      <c r="U42" s="1577">
        <f t="shared" si="10"/>
        <v>100</v>
      </c>
      <c r="V42" s="1576" t="s">
        <v>8</v>
      </c>
      <c r="W42" s="1577">
        <f t="shared" si="11"/>
        <v>100</v>
      </c>
      <c r="X42" s="1578"/>
      <c r="Y42" s="3512"/>
      <c r="Z42" s="1579" t="str">
        <f t="shared" si="12"/>
        <v>单套建筑面积</v>
      </c>
      <c r="AA42" s="1575">
        <f t="shared" si="3"/>
        <v>1</v>
      </c>
      <c r="AB42" s="1575">
        <f t="shared" si="4"/>
        <v>1</v>
      </c>
      <c r="AC42" s="1575">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0"/>
      <c r="M43" s="2132"/>
      <c r="N43" s="2132"/>
      <c r="O43" s="2132"/>
      <c r="P43" s="3512"/>
      <c r="Q43" s="1571" t="str">
        <f t="shared" si="8"/>
        <v>内部装修</v>
      </c>
      <c r="R43" s="1572" t="s">
        <v>8</v>
      </c>
      <c r="S43" s="1573">
        <f t="shared" si="9"/>
        <v>100</v>
      </c>
      <c r="T43" s="1572" t="s">
        <v>8</v>
      </c>
      <c r="U43" s="1573">
        <f t="shared" si="10"/>
        <v>100</v>
      </c>
      <c r="V43" s="1572" t="s">
        <v>8</v>
      </c>
      <c r="W43" s="1573">
        <f t="shared" si="11"/>
        <v>100</v>
      </c>
      <c r="X43" s="1566"/>
      <c r="Y43" s="3512"/>
      <c r="Z43" s="1574" t="str">
        <f t="shared" si="12"/>
        <v>内部装修</v>
      </c>
      <c r="AA43" s="1575">
        <f t="shared" si="3"/>
        <v>1</v>
      </c>
      <c r="AB43" s="1575">
        <f t="shared" si="4"/>
        <v>1</v>
      </c>
      <c r="AC43" s="1575">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0"/>
      <c r="M44" s="2132"/>
      <c r="N44" s="2132"/>
      <c r="O44" s="2132"/>
      <c r="P44" s="3512"/>
      <c r="Q44" s="1571" t="str">
        <f t="shared" si="8"/>
        <v>内部装修维护情况</v>
      </c>
      <c r="R44" s="1572" t="s">
        <v>8</v>
      </c>
      <c r="S44" s="1573">
        <f t="shared" si="9"/>
        <v>100</v>
      </c>
      <c r="T44" s="1572" t="s">
        <v>8</v>
      </c>
      <c r="U44" s="1573">
        <f t="shared" si="10"/>
        <v>100</v>
      </c>
      <c r="V44" s="1572" t="s">
        <v>8</v>
      </c>
      <c r="W44" s="1573">
        <f t="shared" si="11"/>
        <v>100</v>
      </c>
      <c r="X44" s="1566"/>
      <c r="Y44" s="3512"/>
      <c r="Z44" s="1574" t="str">
        <f t="shared" si="12"/>
        <v>内部装修维护情况</v>
      </c>
      <c r="AA44" s="1575">
        <f t="shared" si="3"/>
        <v>1</v>
      </c>
      <c r="AB44" s="1575">
        <f t="shared" si="4"/>
        <v>1</v>
      </c>
      <c r="AC44" s="1575">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3"/>
      <c r="M45" s="2134"/>
      <c r="N45" s="2134"/>
      <c r="O45" s="2134"/>
      <c r="P45" s="3512"/>
      <c r="Q45" s="1150">
        <f t="shared" si="8"/>
        <v>111</v>
      </c>
      <c r="R45" s="1567" t="s">
        <v>8</v>
      </c>
      <c r="S45" s="1568">
        <f t="shared" si="9"/>
        <v>100</v>
      </c>
      <c r="T45" s="1567" t="s">
        <v>8</v>
      </c>
      <c r="U45" s="1568">
        <f t="shared" si="10"/>
        <v>100</v>
      </c>
      <c r="V45" s="1567" t="s">
        <v>8</v>
      </c>
      <c r="W45" s="1568">
        <f t="shared" si="11"/>
        <v>100</v>
      </c>
      <c r="X45" s="1569"/>
      <c r="Y45" s="3512"/>
      <c r="Z45" s="1149">
        <f t="shared" si="12"/>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0"/>
      <c r="M46" s="2132"/>
      <c r="N46" s="2132"/>
      <c r="O46" s="2132"/>
      <c r="P46" s="3512"/>
      <c r="Q46" s="1571">
        <f t="shared" si="8"/>
        <v>111</v>
      </c>
      <c r="R46" s="1572" t="s">
        <v>8</v>
      </c>
      <c r="S46" s="1573">
        <f t="shared" si="9"/>
        <v>100</v>
      </c>
      <c r="T46" s="1572" t="s">
        <v>8</v>
      </c>
      <c r="U46" s="1573">
        <f t="shared" si="10"/>
        <v>100</v>
      </c>
      <c r="V46" s="1572" t="s">
        <v>8</v>
      </c>
      <c r="W46" s="1573">
        <f t="shared" si="11"/>
        <v>100</v>
      </c>
      <c r="X46" s="1566"/>
      <c r="Y46" s="3512"/>
      <c r="Z46" s="1574">
        <f t="shared" si="12"/>
        <v>111</v>
      </c>
      <c r="AA46" s="1575">
        <f t="shared" si="3"/>
        <v>1</v>
      </c>
      <c r="AB46" s="1575">
        <f t="shared" si="4"/>
        <v>1</v>
      </c>
      <c r="AC46" s="1575">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0"/>
      <c r="M47" s="2132"/>
      <c r="N47" s="2132"/>
      <c r="O47" s="2132"/>
      <c r="P47" s="3613"/>
      <c r="Q47" s="1571">
        <f t="shared" si="8"/>
        <v>111</v>
      </c>
      <c r="R47" s="1572" t="s">
        <v>8</v>
      </c>
      <c r="S47" s="1573">
        <f t="shared" si="9"/>
        <v>100</v>
      </c>
      <c r="T47" s="1572" t="s">
        <v>8</v>
      </c>
      <c r="U47" s="1573">
        <f t="shared" si="10"/>
        <v>100</v>
      </c>
      <c r="V47" s="1572" t="s">
        <v>8</v>
      </c>
      <c r="W47" s="1573">
        <f t="shared" si="11"/>
        <v>100</v>
      </c>
      <c r="X47" s="1566"/>
      <c r="Y47" s="3613"/>
      <c r="Z47" s="1574">
        <f t="shared" si="12"/>
        <v>111</v>
      </c>
      <c r="AA47" s="1575">
        <f t="shared" si="3"/>
        <v>1</v>
      </c>
      <c r="AB47" s="1575">
        <f t="shared" si="4"/>
        <v>1</v>
      </c>
      <c r="AC47" s="1575">
        <f t="shared" si="5"/>
        <v>1</v>
      </c>
    </row>
    <row r="48" spans="1:29" ht="15">
      <c r="A48" s="606" t="s">
        <v>736</v>
      </c>
      <c r="B48" s="886"/>
      <c r="C48" s="2625" t="s">
        <v>1</v>
      </c>
      <c r="D48" s="2626"/>
      <c r="E48" s="2627"/>
      <c r="F48" s="2628"/>
      <c r="G48" s="2629"/>
      <c r="H48" s="2630"/>
      <c r="I48" s="2627"/>
      <c r="J48" s="2630"/>
      <c r="K48" s="1610"/>
      <c r="L48" s="2142"/>
      <c r="M48" s="2132"/>
      <c r="N48" s="2132"/>
      <c r="O48" s="2132"/>
      <c r="P48" s="3529" t="str">
        <f>A48</f>
        <v>成交单价（元/平方米）</v>
      </c>
      <c r="Q48" s="3507"/>
      <c r="R48" s="3612">
        <f>E48</f>
        <v>0</v>
      </c>
      <c r="S48" s="3612"/>
      <c r="T48" s="3612">
        <f>G48</f>
        <v>0</v>
      </c>
      <c r="U48" s="3612"/>
      <c r="V48" s="3612">
        <f>I48</f>
        <v>0</v>
      </c>
      <c r="W48" s="3612"/>
      <c r="X48" s="1558"/>
      <c r="Y48" s="1580"/>
      <c r="Z48" s="1558"/>
      <c r="AA48" s="1558"/>
      <c r="AB48" s="1558"/>
      <c r="AC48" s="1558"/>
    </row>
    <row r="49" spans="1:29" ht="15.75" thickBot="1">
      <c r="A49" s="614" t="s">
        <v>2757</v>
      </c>
      <c r="B49" s="887"/>
      <c r="C49" s="2631" t="e">
        <f>R50</f>
        <v>#DIV/0!</v>
      </c>
      <c r="D49" s="2632"/>
      <c r="E49" s="2633" t="e">
        <f>R49</f>
        <v>#DIV/0!</v>
      </c>
      <c r="F49" s="2633"/>
      <c r="G49" s="2631" t="e">
        <f>T49</f>
        <v>#DIV/0!</v>
      </c>
      <c r="H49" s="2632"/>
      <c r="I49" s="2633" t="e">
        <f>V49</f>
        <v>#DIV/0!</v>
      </c>
      <c r="J49" s="2632"/>
      <c r="K49" s="1611"/>
      <c r="L49" s="2142"/>
      <c r="M49" s="2132"/>
      <c r="N49" s="2132"/>
      <c r="O49" s="2132"/>
      <c r="P49" s="3529" t="str">
        <f>A49</f>
        <v>比较价格（元/平方米）</v>
      </c>
      <c r="Q49" s="3507"/>
      <c r="R49" s="3612" t="e">
        <f>IF(F1="售价",ROUND(PRODUCT(R48,AA7:AA47),0),ROUND(PRODUCT(R48,AA7:AA47),1))</f>
        <v>#DIV/0!</v>
      </c>
      <c r="S49" s="3612"/>
      <c r="T49" s="3612" t="e">
        <f>IF(F1="售价",ROUND(PRODUCT(T48,AB7:AB47),0),ROUND(PRODUCT(T48,AB7:AB47),1))</f>
        <v>#DIV/0!</v>
      </c>
      <c r="U49" s="3612"/>
      <c r="V49" s="3612" t="e">
        <f>IF(F1="售价",ROUND(PRODUCT(V48,AC7:AC47),0),ROUND(PRODUCT(V48,AC7:AC47),1))</f>
        <v>#DIV/0!</v>
      </c>
      <c r="W49" s="3612"/>
      <c r="X49" s="1558"/>
      <c r="Y49" s="1558"/>
      <c r="Z49" s="1558"/>
      <c r="AA49" s="1558"/>
      <c r="AB49" s="1558"/>
      <c r="AC49" s="1558"/>
    </row>
    <row r="50" spans="1:29" ht="15.75" thickBot="1">
      <c r="A50" s="620" t="s">
        <v>2921</v>
      </c>
      <c r="B50" s="621"/>
      <c r="C50" s="2634" t="e">
        <f>R50</f>
        <v>#DIV/0!</v>
      </c>
      <c r="D50" s="2634"/>
      <c r="E50" s="2634"/>
      <c r="F50" s="2634"/>
      <c r="G50" s="2634"/>
      <c r="H50" s="2634"/>
      <c r="I50" s="2634"/>
      <c r="J50" s="2634"/>
      <c r="K50" s="1612"/>
      <c r="L50" s="2142"/>
      <c r="M50" s="2132"/>
      <c r="N50" s="2132"/>
      <c r="O50" s="2132"/>
      <c r="P50" s="3617" t="str">
        <f>A50</f>
        <v>估价对象XX用房的比较价格（楼面单价，元/平方米）</v>
      </c>
      <c r="Q50" s="3529"/>
      <c r="R50" s="3611" t="e">
        <f>IF(F1="售价",ROUND(AVERAGE(R49:V49),0),ROUND(AVERAGE(R49:V49),1))</f>
        <v>#DIV/0!</v>
      </c>
      <c r="S50" s="3611"/>
      <c r="T50" s="3611"/>
      <c r="U50" s="3611"/>
      <c r="V50" s="3611"/>
      <c r="W50" s="3611"/>
      <c r="X50" s="1558"/>
      <c r="Y50" s="1558"/>
      <c r="Z50" s="1558"/>
      <c r="AA50" s="1558"/>
      <c r="AB50" s="1558"/>
      <c r="AC50" s="1558"/>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4" customFormat="1" ht="13.5" customHeight="1">
      <c r="A55" s="2144"/>
      <c r="B55" s="2144"/>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4"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3" t="s">
        <v>574</v>
      </c>
      <c r="B58" s="1558"/>
      <c r="C58" s="1582"/>
      <c r="D58" s="1582"/>
      <c r="E58" s="1582"/>
      <c r="F58" s="1584"/>
      <c r="G58" s="1584"/>
      <c r="H58" s="1582"/>
      <c r="I58" s="1582"/>
      <c r="J58" s="1582"/>
      <c r="K58" s="1585"/>
      <c r="L58" s="1581"/>
      <c r="M58" s="1582"/>
      <c r="N58" s="1582"/>
      <c r="O58" s="1582"/>
      <c r="P58" s="2208"/>
      <c r="Q58" s="2156"/>
      <c r="R58" s="2143"/>
      <c r="S58" s="2143"/>
      <c r="T58" s="2143"/>
      <c r="U58" s="2143"/>
      <c r="V58" s="2143"/>
      <c r="W58" s="2143"/>
      <c r="X58" s="2143"/>
      <c r="Y58" s="2143"/>
      <c r="Z58" s="2143"/>
      <c r="AA58" s="2143"/>
      <c r="AB58" s="2143"/>
      <c r="AC58" s="2143"/>
    </row>
    <row r="59" spans="1:29" s="1346" customFormat="1" ht="15">
      <c r="A59" s="644" t="s">
        <v>529</v>
      </c>
      <c r="B59" s="645"/>
      <c r="C59" s="2800" t="str">
        <f>YEAR(C7)&amp;"-"&amp;MONTH(C7)</f>
        <v>2018-12</v>
      </c>
      <c r="D59" s="2802">
        <f>EDATE(C59,-1)</f>
        <v>43405</v>
      </c>
      <c r="E59" s="2802">
        <f t="shared" ref="E59:O59" si="13">EDATE(D59,-1)</f>
        <v>43374</v>
      </c>
      <c r="F59" s="2802">
        <f t="shared" si="13"/>
        <v>43344</v>
      </c>
      <c r="G59" s="2802">
        <f t="shared" si="13"/>
        <v>43313</v>
      </c>
      <c r="H59" s="2802">
        <f t="shared" si="13"/>
        <v>43282</v>
      </c>
      <c r="I59" s="2802">
        <f t="shared" si="13"/>
        <v>43252</v>
      </c>
      <c r="J59" s="2802">
        <f t="shared" si="13"/>
        <v>43221</v>
      </c>
      <c r="K59" s="2802">
        <f t="shared" si="13"/>
        <v>43191</v>
      </c>
      <c r="L59" s="2802">
        <f t="shared" si="13"/>
        <v>43160</v>
      </c>
      <c r="M59" s="2802">
        <f t="shared" si="13"/>
        <v>43132</v>
      </c>
      <c r="N59" s="2802">
        <f t="shared" si="13"/>
        <v>43101</v>
      </c>
      <c r="O59" s="2802">
        <f t="shared" si="13"/>
        <v>43070</v>
      </c>
      <c r="P59" s="2209"/>
      <c r="Q59" s="2159"/>
      <c r="R59" s="2159"/>
      <c r="S59" s="2159"/>
      <c r="T59" s="2159"/>
      <c r="U59" s="2159"/>
      <c r="V59" s="2159"/>
      <c r="W59" s="2159"/>
      <c r="X59" s="2159"/>
      <c r="Y59" s="2159"/>
      <c r="Z59" s="2159"/>
      <c r="AA59" s="2159"/>
      <c r="AB59" s="2159"/>
      <c r="AC59" s="2159"/>
    </row>
    <row r="60" spans="1:29" s="1219" customFormat="1" ht="15">
      <c r="A60" s="646"/>
      <c r="B60" s="647"/>
      <c r="C60" s="648">
        <v>100</v>
      </c>
      <c r="D60" s="649"/>
      <c r="E60" s="649"/>
      <c r="F60" s="649"/>
      <c r="G60" s="649"/>
      <c r="H60" s="649"/>
      <c r="I60" s="649"/>
      <c r="J60" s="649"/>
      <c r="K60" s="649"/>
      <c r="L60" s="649"/>
      <c r="M60" s="650"/>
      <c r="N60" s="649"/>
      <c r="O60" s="650"/>
      <c r="P60" s="2210"/>
      <c r="Q60" s="1991"/>
      <c r="R60" s="1991"/>
      <c r="S60" s="1991"/>
      <c r="T60" s="1991"/>
      <c r="U60" s="1991"/>
      <c r="V60" s="1991"/>
      <c r="W60" s="1991"/>
      <c r="X60" s="1991"/>
      <c r="Y60" s="1991"/>
      <c r="Z60" s="1991"/>
      <c r="AA60" s="1991"/>
      <c r="AB60" s="1991"/>
      <c r="AC60" s="1991"/>
    </row>
    <row r="61" spans="1:29" s="1219" customFormat="1" ht="15.75" thickBot="1">
      <c r="A61" s="652" t="s">
        <v>575</v>
      </c>
      <c r="B61" s="653"/>
      <c r="C61" s="654"/>
      <c r="D61" s="655"/>
      <c r="E61" s="655"/>
      <c r="F61" s="655"/>
      <c r="G61" s="655"/>
      <c r="H61" s="655"/>
      <c r="I61" s="655"/>
      <c r="J61" s="655"/>
      <c r="K61" s="655"/>
      <c r="L61" s="655"/>
      <c r="M61" s="656"/>
      <c r="N61" s="655"/>
      <c r="O61" s="656"/>
      <c r="P61" s="2210"/>
      <c r="Q61" s="2156"/>
      <c r="R61" s="1991"/>
      <c r="S61" s="1991"/>
      <c r="T61" s="1991"/>
      <c r="U61" s="1991"/>
      <c r="V61" s="1991"/>
      <c r="W61" s="1991"/>
      <c r="X61" s="1991"/>
      <c r="Y61" s="1991"/>
      <c r="Z61" s="1991"/>
      <c r="AA61" s="1991"/>
      <c r="AB61" s="1991"/>
      <c r="AC61" s="1991"/>
    </row>
    <row r="62" spans="1:29" s="1219" customFormat="1" ht="15">
      <c r="A62" s="658" t="s">
        <v>531</v>
      </c>
      <c r="B62" s="647"/>
      <c r="C62" s="659" t="s">
        <v>576</v>
      </c>
      <c r="D62" s="660"/>
      <c r="E62" s="660"/>
      <c r="F62" s="660"/>
      <c r="G62" s="660"/>
      <c r="H62" s="660"/>
      <c r="I62" s="660"/>
      <c r="J62" s="660"/>
      <c r="K62" s="660"/>
      <c r="L62" s="661"/>
      <c r="M62" s="662"/>
      <c r="N62" s="2160"/>
      <c r="O62" s="2160"/>
      <c r="P62" s="2211"/>
      <c r="Q62" s="2156"/>
      <c r="R62" s="1991"/>
      <c r="S62" s="1991"/>
      <c r="T62" s="1991"/>
      <c r="U62" s="1991"/>
      <c r="V62" s="1991"/>
      <c r="W62" s="1991"/>
      <c r="X62" s="1991"/>
      <c r="Y62" s="1991"/>
      <c r="Z62" s="1991"/>
      <c r="AA62" s="1991"/>
      <c r="AB62" s="1991"/>
      <c r="AC62" s="1991"/>
    </row>
    <row r="63" spans="1:29" s="1219" customFormat="1" ht="15.75" thickBot="1">
      <c r="A63" s="658"/>
      <c r="B63" s="647"/>
      <c r="C63" s="888">
        <v>100</v>
      </c>
      <c r="D63" s="649"/>
      <c r="E63" s="649"/>
      <c r="F63" s="649"/>
      <c r="G63" s="649"/>
      <c r="H63" s="649"/>
      <c r="I63" s="649"/>
      <c r="J63" s="649"/>
      <c r="K63" s="649"/>
      <c r="L63" s="649"/>
      <c r="M63" s="651"/>
      <c r="N63" s="2160"/>
      <c r="O63" s="2160"/>
      <c r="P63" s="2210"/>
      <c r="Q63" s="2156"/>
      <c r="R63" s="1991"/>
      <c r="S63" s="1991"/>
      <c r="T63" s="1991"/>
      <c r="U63" s="1991"/>
      <c r="V63" s="1991"/>
      <c r="W63" s="1991"/>
      <c r="X63" s="1991"/>
      <c r="Y63" s="1991"/>
      <c r="Z63" s="1991"/>
      <c r="AA63" s="1991"/>
      <c r="AB63" s="1991"/>
      <c r="AC63" s="1991"/>
    </row>
    <row r="64" spans="1:29">
      <c r="A64" s="663" t="s">
        <v>577</v>
      </c>
      <c r="B64" s="664" t="s">
        <v>534</v>
      </c>
      <c r="C64" s="703">
        <f>C9</f>
        <v>0</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5.75"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75" thickTop="1">
      <c r="A68" s="668"/>
      <c r="B68" s="680" t="s">
        <v>538</v>
      </c>
      <c r="C68" s="681" t="str">
        <f>C69&amp;"（含）"&amp;"-"&amp;D69</f>
        <v>（含）-</v>
      </c>
      <c r="D68" s="681" t="str">
        <f t="shared" ref="D68:L68" si="14">D69&amp;"（含）"&amp;"-"&amp;E69</f>
        <v>（含）-</v>
      </c>
      <c r="E68" s="681" t="str">
        <f t="shared" si="14"/>
        <v>（含）-</v>
      </c>
      <c r="F68" s="681" t="str">
        <f t="shared" si="14"/>
        <v>（含）-</v>
      </c>
      <c r="G68" s="681" t="str">
        <f t="shared" si="14"/>
        <v>（含）-</v>
      </c>
      <c r="H68" s="681" t="str">
        <f t="shared" si="14"/>
        <v>（含）-</v>
      </c>
      <c r="I68" s="681" t="str">
        <f t="shared" si="14"/>
        <v>（含）-</v>
      </c>
      <c r="J68" s="681" t="str">
        <f t="shared" si="14"/>
        <v>（含）-</v>
      </c>
      <c r="K68" s="681" t="str">
        <f t="shared" si="14"/>
        <v>（含）-</v>
      </c>
      <c r="L68" s="681" t="str">
        <f t="shared" si="14"/>
        <v>（含）-</v>
      </c>
      <c r="M68" s="554"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8"/>
      <c r="B69" s="682"/>
      <c r="C69" s="540"/>
      <c r="D69" s="540"/>
      <c r="E69" s="540"/>
      <c r="F69" s="540"/>
      <c r="G69" s="540"/>
      <c r="H69" s="540"/>
      <c r="I69" s="540"/>
      <c r="J69" s="540"/>
      <c r="K69" s="683"/>
      <c r="L69" s="684"/>
      <c r="M69" s="685"/>
      <c r="N69" s="2162"/>
      <c r="O69" s="2162"/>
      <c r="P69" s="2212"/>
      <c r="Q69" s="2156"/>
      <c r="R69" s="2143"/>
      <c r="S69" s="2143"/>
      <c r="T69" s="2143"/>
      <c r="U69" s="2143"/>
      <c r="V69" s="2143"/>
      <c r="W69" s="2143"/>
      <c r="X69" s="2143"/>
      <c r="Y69" s="2143"/>
      <c r="Z69" s="2143"/>
      <c r="AA69" s="2143"/>
      <c r="AB69" s="2143"/>
      <c r="AC69" s="2143"/>
    </row>
    <row r="70" spans="1:29" ht="15.75" thickBot="1">
      <c r="A70" s="668"/>
      <c r="B70" s="669"/>
      <c r="C70" s="678">
        <v>100</v>
      </c>
      <c r="D70" s="678">
        <f t="shared" ref="D70:M70" si="15">C70-$K11</f>
        <v>100</v>
      </c>
      <c r="E70" s="678">
        <f t="shared" si="15"/>
        <v>100</v>
      </c>
      <c r="F70" s="678">
        <f t="shared" si="15"/>
        <v>100</v>
      </c>
      <c r="G70" s="678">
        <f t="shared" si="15"/>
        <v>100</v>
      </c>
      <c r="H70" s="678">
        <f t="shared" si="15"/>
        <v>100</v>
      </c>
      <c r="I70" s="678">
        <f t="shared" si="15"/>
        <v>100</v>
      </c>
      <c r="J70" s="678">
        <f t="shared" si="15"/>
        <v>100</v>
      </c>
      <c r="K70" s="678">
        <f t="shared" si="15"/>
        <v>100</v>
      </c>
      <c r="L70" s="678">
        <f t="shared" si="15"/>
        <v>100</v>
      </c>
      <c r="M70" s="679">
        <f t="shared" si="15"/>
        <v>100</v>
      </c>
      <c r="N70" s="2164"/>
      <c r="O70" s="2164"/>
      <c r="P70" s="2212"/>
      <c r="Q70" s="2156"/>
      <c r="R70" s="2143"/>
      <c r="S70" s="2143"/>
      <c r="T70" s="2143"/>
      <c r="U70" s="2143"/>
      <c r="V70" s="2143"/>
      <c r="W70" s="2143"/>
      <c r="X70" s="2143"/>
      <c r="Y70" s="2143"/>
      <c r="Z70" s="2143"/>
      <c r="AA70" s="2143"/>
      <c r="AB70" s="2143"/>
      <c r="AC70" s="2143"/>
    </row>
    <row r="71" spans="1:29" s="1338" customFormat="1" ht="15.75"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8" customFormat="1" ht="15.75"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8" customFormat="1" ht="15.75"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8" customFormat="1" ht="15.75"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8" customFormat="1" ht="15.75"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8" customFormat="1" ht="15.75"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c r="A77" s="663" t="s">
        <v>539</v>
      </c>
      <c r="B77" s="664" t="s">
        <v>585</v>
      </c>
      <c r="C77" s="702" t="s">
        <v>579</v>
      </c>
      <c r="D77" s="702" t="s">
        <v>580</v>
      </c>
      <c r="E77" s="702" t="s">
        <v>581</v>
      </c>
      <c r="F77" s="702" t="s">
        <v>582</v>
      </c>
      <c r="G77" s="702" t="s">
        <v>583</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75" thickTop="1">
      <c r="A79" s="668"/>
      <c r="B79" s="672" t="s">
        <v>586</v>
      </c>
      <c r="C79" s="707" t="s">
        <v>579</v>
      </c>
      <c r="D79" s="707" t="s">
        <v>580</v>
      </c>
      <c r="E79" s="707" t="s">
        <v>581</v>
      </c>
      <c r="F79" s="707" t="s">
        <v>582</v>
      </c>
      <c r="G79" s="707" t="s">
        <v>583</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75" thickTop="1">
      <c r="A81" s="668"/>
      <c r="B81" s="1894" t="s">
        <v>2555</v>
      </c>
      <c r="C81" s="707" t="s">
        <v>579</v>
      </c>
      <c r="D81" s="707" t="s">
        <v>580</v>
      </c>
      <c r="E81" s="707" t="s">
        <v>581</v>
      </c>
      <c r="F81" s="707" t="s">
        <v>582</v>
      </c>
      <c r="G81" s="707" t="s">
        <v>583</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75" thickTop="1">
      <c r="A83" s="668"/>
      <c r="B83" s="2595" t="s">
        <v>2556</v>
      </c>
      <c r="C83" s="2596" t="s">
        <v>2557</v>
      </c>
      <c r="D83" s="2596" t="s">
        <v>2558</v>
      </c>
      <c r="E83" s="2596" t="s">
        <v>2559</v>
      </c>
      <c r="F83" s="2596" t="s">
        <v>2560</v>
      </c>
      <c r="G83" s="2596" t="s">
        <v>2561</v>
      </c>
      <c r="H83" s="673"/>
      <c r="I83" s="673"/>
      <c r="J83" s="673"/>
      <c r="K83" s="673"/>
      <c r="L83" s="673"/>
      <c r="M83" s="2599"/>
      <c r="N83" s="2164"/>
      <c r="O83" s="2164"/>
      <c r="P83" s="2212"/>
      <c r="Q83" s="2156"/>
      <c r="R83" s="2143"/>
      <c r="S83" s="2143"/>
      <c r="T83" s="2143"/>
      <c r="U83" s="2143"/>
      <c r="V83" s="2143"/>
      <c r="W83" s="2143"/>
      <c r="X83" s="2143"/>
      <c r="Y83" s="2143"/>
      <c r="Z83" s="2143"/>
      <c r="AA83" s="2143"/>
      <c r="AB83" s="2143"/>
      <c r="AC83" s="2143"/>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4"/>
      <c r="O84" s="2164"/>
      <c r="P84" s="2212"/>
      <c r="Q84" s="2156"/>
      <c r="R84" s="2143"/>
      <c r="S84" s="2143"/>
      <c r="T84" s="2143"/>
      <c r="U84" s="2143"/>
      <c r="V84" s="2143"/>
      <c r="W84" s="2143"/>
      <c r="X84" s="2143"/>
      <c r="Y84" s="2143"/>
      <c r="Z84" s="2143"/>
      <c r="AA84" s="2143"/>
      <c r="AB84" s="2143"/>
      <c r="AC84" s="2143"/>
    </row>
    <row r="85" spans="1:29" ht="15.75" thickTop="1">
      <c r="A85" s="668"/>
      <c r="B85" s="672" t="s">
        <v>784</v>
      </c>
      <c r="C85" s="707" t="s">
        <v>579</v>
      </c>
      <c r="D85" s="707" t="s">
        <v>580</v>
      </c>
      <c r="E85" s="707" t="s">
        <v>581</v>
      </c>
      <c r="F85" s="707" t="s">
        <v>582</v>
      </c>
      <c r="G85" s="707" t="s">
        <v>583</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9" customFormat="1" ht="27.75" thickTop="1">
      <c r="A87" s="708"/>
      <c r="B87" s="672" t="s">
        <v>785</v>
      </c>
      <c r="C87" s="687"/>
      <c r="D87" s="687"/>
      <c r="E87" s="687"/>
      <c r="F87" s="687"/>
      <c r="G87" s="687"/>
      <c r="H87" s="687"/>
      <c r="I87" s="687"/>
      <c r="J87" s="687"/>
      <c r="K87" s="687"/>
      <c r="L87" s="889"/>
      <c r="M87" s="890"/>
      <c r="N87" s="2160"/>
      <c r="O87" s="2160"/>
      <c r="P87" s="2212"/>
      <c r="Q87" s="2156"/>
      <c r="R87" s="1991"/>
      <c r="S87" s="1991"/>
      <c r="T87" s="1991"/>
      <c r="U87" s="1991"/>
      <c r="V87" s="1991"/>
      <c r="W87" s="1991"/>
      <c r="X87" s="1991"/>
      <c r="Y87" s="1991"/>
      <c r="Z87" s="1991"/>
      <c r="AA87" s="1991"/>
      <c r="AB87" s="1991"/>
      <c r="AC87" s="1991"/>
    </row>
    <row r="88" spans="1:29" s="1219" customFormat="1" ht="15.75" thickBot="1">
      <c r="A88" s="708"/>
      <c r="B88" s="677"/>
      <c r="C88" s="711">
        <v>100</v>
      </c>
      <c r="D88" s="678">
        <f t="shared" ref="D88:M88" si="16">C88-$K25</f>
        <v>100</v>
      </c>
      <c r="E88" s="678">
        <f t="shared" si="16"/>
        <v>100</v>
      </c>
      <c r="F88" s="678">
        <f t="shared" si="16"/>
        <v>100</v>
      </c>
      <c r="G88" s="678">
        <f t="shared" si="16"/>
        <v>100</v>
      </c>
      <c r="H88" s="678">
        <f t="shared" si="16"/>
        <v>100</v>
      </c>
      <c r="I88" s="678">
        <f t="shared" si="16"/>
        <v>100</v>
      </c>
      <c r="J88" s="678">
        <f t="shared" si="16"/>
        <v>100</v>
      </c>
      <c r="K88" s="678">
        <f t="shared" si="16"/>
        <v>100</v>
      </c>
      <c r="L88" s="678">
        <f t="shared" si="16"/>
        <v>100</v>
      </c>
      <c r="M88" s="678">
        <f t="shared" si="16"/>
        <v>100</v>
      </c>
      <c r="N88" s="2164"/>
      <c r="O88" s="2164"/>
      <c r="P88" s="2212"/>
      <c r="Q88" s="2156"/>
      <c r="R88" s="1991"/>
      <c r="S88" s="1991"/>
      <c r="T88" s="1991"/>
      <c r="U88" s="1991"/>
      <c r="V88" s="1991"/>
      <c r="W88" s="1991"/>
      <c r="X88" s="1991"/>
      <c r="Y88" s="1991"/>
      <c r="Z88" s="1991"/>
      <c r="AA88" s="1991"/>
      <c r="AB88" s="1991"/>
      <c r="AC88" s="1991"/>
    </row>
    <row r="89" spans="1:29" s="1219" customFormat="1" ht="15.75" thickTop="1">
      <c r="A89" s="708"/>
      <c r="B89" s="672" t="str">
        <f>B27</f>
        <v>楼层</v>
      </c>
      <c r="C89" s="687"/>
      <c r="D89" s="687"/>
      <c r="E89" s="687"/>
      <c r="F89" s="891"/>
      <c r="G89" s="687"/>
      <c r="H89" s="687"/>
      <c r="I89" s="687"/>
      <c r="J89" s="687"/>
      <c r="K89" s="687"/>
      <c r="L89" s="687"/>
      <c r="M89" s="890"/>
      <c r="N89" s="2160"/>
      <c r="O89" s="2160"/>
      <c r="P89" s="2212"/>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C90-$K27</f>
        <v>100</v>
      </c>
      <c r="E90" s="678">
        <f t="shared" ref="E90:M90" si="17">D90-$K27</f>
        <v>100</v>
      </c>
      <c r="F90" s="678">
        <f t="shared" si="17"/>
        <v>100</v>
      </c>
      <c r="G90" s="678">
        <f t="shared" si="17"/>
        <v>100</v>
      </c>
      <c r="H90" s="678">
        <f t="shared" si="17"/>
        <v>100</v>
      </c>
      <c r="I90" s="678">
        <f t="shared" si="17"/>
        <v>100</v>
      </c>
      <c r="J90" s="678">
        <f t="shared" si="17"/>
        <v>100</v>
      </c>
      <c r="K90" s="678">
        <f t="shared" si="17"/>
        <v>100</v>
      </c>
      <c r="L90" s="678">
        <f t="shared" si="17"/>
        <v>100</v>
      </c>
      <c r="M90" s="678">
        <f t="shared" si="17"/>
        <v>100</v>
      </c>
      <c r="N90" s="2164"/>
      <c r="O90" s="2164"/>
      <c r="P90" s="2212"/>
      <c r="Q90" s="2156"/>
      <c r="R90" s="1991"/>
      <c r="S90" s="1991"/>
      <c r="T90" s="1991"/>
      <c r="U90" s="1991"/>
      <c r="V90" s="1991"/>
      <c r="W90" s="1991"/>
      <c r="X90" s="1991"/>
      <c r="Y90" s="1991"/>
      <c r="Z90" s="1991"/>
      <c r="AA90" s="1991"/>
      <c r="AB90" s="1991"/>
      <c r="AC90" s="1991"/>
    </row>
    <row r="91" spans="1:29" s="1338" customFormat="1" ht="15.75"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8" customFormat="1" ht="15.75" thickBot="1">
      <c r="A92" s="686"/>
      <c r="B92" s="677"/>
      <c r="C92" s="711">
        <v>100</v>
      </c>
      <c r="D92" s="678">
        <f t="shared" ref="D92:M92" si="18">C92-$K28</f>
        <v>100</v>
      </c>
      <c r="E92" s="678">
        <f t="shared" si="18"/>
        <v>100</v>
      </c>
      <c r="F92" s="678">
        <f t="shared" si="18"/>
        <v>100</v>
      </c>
      <c r="G92" s="678">
        <f t="shared" si="18"/>
        <v>100</v>
      </c>
      <c r="H92" s="678">
        <f t="shared" si="18"/>
        <v>100</v>
      </c>
      <c r="I92" s="678">
        <f t="shared" si="18"/>
        <v>100</v>
      </c>
      <c r="J92" s="678">
        <f t="shared" si="18"/>
        <v>100</v>
      </c>
      <c r="K92" s="678">
        <f t="shared" si="18"/>
        <v>100</v>
      </c>
      <c r="L92" s="678">
        <f t="shared" si="18"/>
        <v>100</v>
      </c>
      <c r="M92" s="678">
        <f t="shared" si="18"/>
        <v>100</v>
      </c>
      <c r="N92" s="2165"/>
      <c r="O92" s="2165"/>
      <c r="P92" s="2213"/>
      <c r="Q92" s="2167"/>
      <c r="R92" s="2168"/>
      <c r="S92" s="2168"/>
      <c r="T92" s="2168"/>
      <c r="U92" s="2168"/>
      <c r="V92" s="2168"/>
      <c r="W92" s="2168"/>
      <c r="X92" s="2168"/>
      <c r="Y92" s="2168"/>
      <c r="Z92" s="2168"/>
      <c r="AA92" s="2168"/>
      <c r="AB92" s="2168"/>
      <c r="AC92" s="2168"/>
    </row>
    <row r="93" spans="1:29" ht="15.75" thickTop="1">
      <c r="A93" s="668"/>
      <c r="B93" s="672">
        <f>B29</f>
        <v>111</v>
      </c>
      <c r="C93" s="687"/>
      <c r="D93" s="687"/>
      <c r="E93" s="687"/>
      <c r="F93" s="687"/>
      <c r="G93" s="687"/>
      <c r="H93" s="687"/>
      <c r="I93" s="687"/>
      <c r="J93" s="687"/>
      <c r="K93" s="687"/>
      <c r="L93" s="889"/>
      <c r="M93" s="890"/>
      <c r="N93" s="2162"/>
      <c r="O93" s="2162"/>
      <c r="P93" s="2212"/>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70"/>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5.75" thickTop="1">
      <c r="A95" s="668"/>
      <c r="B95" s="672">
        <f>B30</f>
        <v>111</v>
      </c>
      <c r="C95" s="687"/>
      <c r="D95" s="687"/>
      <c r="E95" s="687"/>
      <c r="F95" s="687"/>
      <c r="G95" s="717"/>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5.75" thickBot="1">
      <c r="A96" s="668"/>
      <c r="B96" s="677"/>
      <c r="C96" s="691"/>
      <c r="D96" s="691"/>
      <c r="E96" s="691"/>
      <c r="F96" s="691"/>
      <c r="G96" s="670"/>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5.75"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5.75"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5.75"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5.75" thickBot="1">
      <c r="A100" s="892"/>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c r="A101" s="663" t="s">
        <v>551</v>
      </c>
      <c r="B101" s="664" t="s">
        <v>747</v>
      </c>
      <c r="C101" s="597"/>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19">C102-$K33</f>
        <v>100</v>
      </c>
      <c r="E102" s="678">
        <f t="shared" si="19"/>
        <v>100</v>
      </c>
      <c r="F102" s="678">
        <f t="shared" si="19"/>
        <v>100</v>
      </c>
      <c r="G102" s="678">
        <f t="shared" si="19"/>
        <v>100</v>
      </c>
      <c r="H102" s="678">
        <f t="shared" si="19"/>
        <v>100</v>
      </c>
      <c r="I102" s="678">
        <f t="shared" si="19"/>
        <v>100</v>
      </c>
      <c r="J102" s="678">
        <f t="shared" si="19"/>
        <v>100</v>
      </c>
      <c r="K102" s="678">
        <f t="shared" si="19"/>
        <v>100</v>
      </c>
      <c r="L102" s="678">
        <f t="shared" si="19"/>
        <v>100</v>
      </c>
      <c r="M102" s="679">
        <f t="shared" si="19"/>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8"/>
      <c r="B103" s="672" t="s">
        <v>748</v>
      </c>
      <c r="C103" s="707" t="str">
        <f>C104&amp;"(含)"&amp;"-"&amp;D104</f>
        <v>(含)-</v>
      </c>
      <c r="D103" s="707" t="str">
        <f t="shared" ref="D103:L103" si="20">D104&amp;"(含)"&amp;"-"&amp;E104</f>
        <v>(含)-</v>
      </c>
      <c r="E103" s="707" t="str">
        <f t="shared" si="20"/>
        <v>(含)-</v>
      </c>
      <c r="F103" s="707" t="str">
        <f t="shared" si="20"/>
        <v>(含)-</v>
      </c>
      <c r="G103" s="707" t="str">
        <f t="shared" si="20"/>
        <v>(含)-</v>
      </c>
      <c r="H103" s="707" t="str">
        <f t="shared" si="20"/>
        <v>(含)-</v>
      </c>
      <c r="I103" s="707" t="str">
        <f t="shared" si="20"/>
        <v>(含)-</v>
      </c>
      <c r="J103" s="707" t="str">
        <f t="shared" si="20"/>
        <v>(含)-</v>
      </c>
      <c r="K103" s="707" t="str">
        <f t="shared" si="20"/>
        <v>(含)-</v>
      </c>
      <c r="L103" s="707" t="str">
        <f t="shared" si="20"/>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8" customFormat="1">
      <c r="A104" s="727"/>
      <c r="B104" s="728"/>
      <c r="C104" s="729"/>
      <c r="D104" s="729"/>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8" customFormat="1" ht="15.75"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749</v>
      </c>
      <c r="C106" s="687"/>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 t="shared" ref="D107:M107" si="21">C107-$K35</f>
        <v>100</v>
      </c>
      <c r="E107" s="678">
        <f t="shared" si="21"/>
        <v>100</v>
      </c>
      <c r="F107" s="678">
        <f t="shared" si="21"/>
        <v>100</v>
      </c>
      <c r="G107" s="678">
        <f t="shared" si="21"/>
        <v>100</v>
      </c>
      <c r="H107" s="678">
        <f t="shared" si="21"/>
        <v>100</v>
      </c>
      <c r="I107" s="678">
        <f t="shared" si="21"/>
        <v>100</v>
      </c>
      <c r="J107" s="678">
        <f t="shared" si="21"/>
        <v>100</v>
      </c>
      <c r="K107" s="678">
        <f t="shared" si="21"/>
        <v>100</v>
      </c>
      <c r="L107" s="678">
        <f t="shared" si="21"/>
        <v>100</v>
      </c>
      <c r="M107" s="679">
        <f t="shared" si="21"/>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751</v>
      </c>
      <c r="C108" s="687"/>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 t="shared" ref="D109:M109" si="22">C109-$K36</f>
        <v>100</v>
      </c>
      <c r="E109" s="678">
        <f t="shared" si="22"/>
        <v>100</v>
      </c>
      <c r="F109" s="678">
        <f t="shared" si="22"/>
        <v>100</v>
      </c>
      <c r="G109" s="678">
        <f t="shared" si="22"/>
        <v>100</v>
      </c>
      <c r="H109" s="678">
        <f t="shared" si="22"/>
        <v>100</v>
      </c>
      <c r="I109" s="678">
        <f t="shared" si="22"/>
        <v>100</v>
      </c>
      <c r="J109" s="678">
        <f t="shared" si="22"/>
        <v>100</v>
      </c>
      <c r="K109" s="678">
        <f t="shared" si="22"/>
        <v>100</v>
      </c>
      <c r="L109" s="678">
        <f t="shared" si="22"/>
        <v>100</v>
      </c>
      <c r="M109" s="679">
        <f t="shared" si="22"/>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3">
        <v>0.5</v>
      </c>
      <c r="D111" s="893">
        <v>0.6</v>
      </c>
      <c r="E111" s="893">
        <v>0.7</v>
      </c>
      <c r="F111" s="893">
        <v>0.8</v>
      </c>
      <c r="G111" s="893">
        <v>0.9</v>
      </c>
      <c r="H111" s="893">
        <v>1.0001</v>
      </c>
      <c r="I111" s="904"/>
      <c r="J111" s="904"/>
      <c r="K111" s="905"/>
      <c r="L111" s="906"/>
      <c r="M111" s="907"/>
      <c r="N111" s="2162"/>
      <c r="O111" s="2162"/>
      <c r="P111" s="2212"/>
      <c r="Q111" s="2156"/>
      <c r="R111" s="2143"/>
      <c r="S111" s="2143"/>
      <c r="T111" s="2143"/>
      <c r="U111" s="2143"/>
      <c r="V111" s="2143"/>
      <c r="W111" s="2143"/>
      <c r="X111" s="2143"/>
      <c r="Y111" s="2143"/>
      <c r="Z111" s="2143"/>
      <c r="AA111" s="2143"/>
      <c r="AB111" s="2143"/>
      <c r="AC111" s="2143"/>
    </row>
    <row r="112" spans="1:29" ht="15.75" thickBot="1">
      <c r="A112" s="668"/>
      <c r="B112" s="677"/>
      <c r="C112" s="711">
        <v>100</v>
      </c>
      <c r="D112" s="678">
        <f>C112+$K37</f>
        <v>100</v>
      </c>
      <c r="E112" s="678">
        <f t="shared" ref="E112:M112" si="23">D112+$K37</f>
        <v>100</v>
      </c>
      <c r="F112" s="678">
        <f t="shared" si="23"/>
        <v>100</v>
      </c>
      <c r="G112" s="678">
        <f t="shared" si="23"/>
        <v>100</v>
      </c>
      <c r="H112" s="678">
        <f t="shared" si="23"/>
        <v>100</v>
      </c>
      <c r="I112" s="678">
        <f t="shared" si="23"/>
        <v>100</v>
      </c>
      <c r="J112" s="678">
        <f t="shared" si="23"/>
        <v>100</v>
      </c>
      <c r="K112" s="678">
        <f t="shared" si="23"/>
        <v>100</v>
      </c>
      <c r="L112" s="678">
        <f t="shared" si="23"/>
        <v>100</v>
      </c>
      <c r="M112" s="678">
        <f t="shared" si="23"/>
        <v>100</v>
      </c>
      <c r="N112" s="2164"/>
      <c r="O112" s="2164"/>
      <c r="P112" s="2212"/>
      <c r="Q112" s="2156"/>
      <c r="R112" s="2143"/>
      <c r="S112" s="2143"/>
      <c r="T112" s="2143"/>
      <c r="U112" s="2143"/>
      <c r="V112" s="2143"/>
      <c r="W112" s="2143"/>
      <c r="X112" s="2143"/>
      <c r="Y112" s="2143"/>
      <c r="Z112" s="2143"/>
      <c r="AA112" s="2143"/>
      <c r="AB112" s="2143"/>
      <c r="AC112" s="2143"/>
    </row>
    <row r="113" spans="1:29" s="1338" customFormat="1" ht="15" thickTop="1">
      <c r="A113" s="727"/>
      <c r="B113" s="672" t="s">
        <v>786</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8" customFormat="1" ht="15.75" thickBot="1">
      <c r="A114" s="686"/>
      <c r="B114" s="677"/>
      <c r="C114" s="678">
        <v>100</v>
      </c>
      <c r="D114" s="678">
        <f>C114-$K38</f>
        <v>100</v>
      </c>
      <c r="E114" s="678">
        <f t="shared" ref="E114:M114" si="24">D114-$K38</f>
        <v>100</v>
      </c>
      <c r="F114" s="678">
        <f t="shared" si="24"/>
        <v>100</v>
      </c>
      <c r="G114" s="678">
        <f t="shared" si="24"/>
        <v>100</v>
      </c>
      <c r="H114" s="678">
        <f t="shared" si="24"/>
        <v>100</v>
      </c>
      <c r="I114" s="678">
        <f t="shared" si="24"/>
        <v>100</v>
      </c>
      <c r="J114" s="678">
        <f t="shared" si="24"/>
        <v>100</v>
      </c>
      <c r="K114" s="678">
        <f t="shared" si="24"/>
        <v>100</v>
      </c>
      <c r="L114" s="678">
        <f t="shared" si="24"/>
        <v>100</v>
      </c>
      <c r="M114" s="678">
        <f t="shared" si="24"/>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753</v>
      </c>
      <c r="C115" s="687"/>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5.75" thickBot="1">
      <c r="A116" s="668"/>
      <c r="B116" s="677"/>
      <c r="C116" s="678">
        <v>100</v>
      </c>
      <c r="D116" s="678">
        <f t="shared" ref="D116:M116" si="25">C116-$K39</f>
        <v>100</v>
      </c>
      <c r="E116" s="678">
        <f t="shared" si="25"/>
        <v>100</v>
      </c>
      <c r="F116" s="678">
        <f t="shared" si="25"/>
        <v>100</v>
      </c>
      <c r="G116" s="678">
        <f t="shared" si="25"/>
        <v>100</v>
      </c>
      <c r="H116" s="678">
        <f t="shared" si="25"/>
        <v>100</v>
      </c>
      <c r="I116" s="678">
        <f t="shared" si="25"/>
        <v>100</v>
      </c>
      <c r="J116" s="678">
        <f t="shared" si="25"/>
        <v>100</v>
      </c>
      <c r="K116" s="678">
        <f t="shared" si="25"/>
        <v>100</v>
      </c>
      <c r="L116" s="678">
        <f t="shared" si="25"/>
        <v>100</v>
      </c>
      <c r="M116" s="679">
        <f t="shared" si="25"/>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4" t="s">
        <v>2554</v>
      </c>
      <c r="C117" s="687"/>
      <c r="D117" s="687"/>
      <c r="E117" s="687"/>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6" t="s">
        <v>787</v>
      </c>
      <c r="C119" s="717"/>
      <c r="D119" s="717"/>
      <c r="E119" s="717"/>
      <c r="F119" s="717"/>
      <c r="G119" s="717"/>
      <c r="H119" s="717"/>
      <c r="I119" s="717"/>
      <c r="J119" s="717"/>
      <c r="K119" s="717"/>
      <c r="L119" s="917"/>
      <c r="M119" s="918"/>
      <c r="N119" s="2164"/>
      <c r="O119" s="2164"/>
      <c r="P119" s="2217"/>
      <c r="Q119" s="2204"/>
      <c r="R119" s="2143"/>
      <c r="S119" s="2143"/>
      <c r="T119" s="2143"/>
      <c r="U119" s="2143"/>
      <c r="V119" s="2143"/>
      <c r="W119" s="2143"/>
      <c r="X119" s="2143"/>
      <c r="Y119" s="2143"/>
      <c r="Z119" s="2143"/>
      <c r="AA119" s="2143"/>
      <c r="AB119" s="2143"/>
      <c r="AC119" s="2143"/>
    </row>
    <row r="120" spans="1:29" ht="15.75" thickBot="1">
      <c r="A120" s="668"/>
      <c r="B120" s="677"/>
      <c r="C120" s="711">
        <v>100</v>
      </c>
      <c r="D120" s="678">
        <f>C120-$K41</f>
        <v>100</v>
      </c>
      <c r="E120" s="678">
        <f t="shared" ref="E120:M120" si="26">D120-$K41</f>
        <v>100</v>
      </c>
      <c r="F120" s="678">
        <f t="shared" si="26"/>
        <v>100</v>
      </c>
      <c r="G120" s="678">
        <f t="shared" si="26"/>
        <v>100</v>
      </c>
      <c r="H120" s="678">
        <f t="shared" si="26"/>
        <v>100</v>
      </c>
      <c r="I120" s="678">
        <f t="shared" si="26"/>
        <v>100</v>
      </c>
      <c r="J120" s="678">
        <f t="shared" si="26"/>
        <v>100</v>
      </c>
      <c r="K120" s="678">
        <f t="shared" si="26"/>
        <v>100</v>
      </c>
      <c r="L120" s="678">
        <f t="shared" si="26"/>
        <v>100</v>
      </c>
      <c r="M120" s="678">
        <f t="shared" si="26"/>
        <v>100</v>
      </c>
      <c r="N120" s="2164"/>
      <c r="O120" s="2164"/>
      <c r="P120" s="2212"/>
      <c r="Q120" s="2156"/>
      <c r="R120" s="2143"/>
      <c r="S120" s="2143"/>
      <c r="T120" s="2143"/>
      <c r="U120" s="2143"/>
      <c r="V120" s="2143"/>
      <c r="W120" s="2143"/>
      <c r="X120" s="2143"/>
      <c r="Y120" s="2143"/>
      <c r="Z120" s="2143"/>
      <c r="AA120" s="2143"/>
      <c r="AB120" s="2143"/>
      <c r="AC120" s="2143"/>
    </row>
    <row r="121" spans="1:29" s="1338" customFormat="1" ht="15" thickTop="1">
      <c r="A121" s="727"/>
      <c r="B121" s="672" t="s">
        <v>775</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8" customFormat="1" ht="15.75"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755</v>
      </c>
      <c r="C123" s="687"/>
      <c r="D123" s="687"/>
      <c r="E123" s="687"/>
      <c r="F123" s="717"/>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27">C124-$K43</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8" customFormat="1" ht="15"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8" customFormat="1" ht="15.75"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5"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5"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5.75" thickBot="1">
      <c r="A132" s="892"/>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71" priority="16" stopIfTrue="1" operator="containsText" text="超过">
      <formula>NOT(ISERROR(SEARCH("超过",F53)))</formula>
    </cfRule>
  </conditionalFormatting>
  <conditionalFormatting sqref="H55">
    <cfRule type="containsText" dxfId="70" priority="15" stopIfTrue="1" operator="containsText" text="超过">
      <formula>NOT(ISERROR(SEARCH("超过",H55)))</formula>
    </cfRule>
  </conditionalFormatting>
  <conditionalFormatting sqref="F55">
    <cfRule type="containsText" dxfId="69" priority="14" stopIfTrue="1" operator="containsText" text="超过">
      <formula>NOT(ISERROR(SEARCH("超过",F55)))</formula>
    </cfRule>
  </conditionalFormatting>
  <conditionalFormatting sqref="F54 H54">
    <cfRule type="containsText" dxfId="68" priority="13" stopIfTrue="1" operator="containsText" text="超过">
      <formula>NOT(ISERROR(SEARCH("超过",F54)))</formula>
    </cfRule>
  </conditionalFormatting>
  <conditionalFormatting sqref="E53">
    <cfRule type="expression" dxfId="67" priority="12" stopIfTrue="1">
      <formula>$F$53="超过30%"</formula>
    </cfRule>
  </conditionalFormatting>
  <conditionalFormatting sqref="E54">
    <cfRule type="expression" dxfId="66" priority="11" stopIfTrue="1">
      <formula>$F$54="超过20%"</formula>
    </cfRule>
  </conditionalFormatting>
  <conditionalFormatting sqref="E55">
    <cfRule type="expression" dxfId="65" priority="10" stopIfTrue="1">
      <formula>$F$55="超过30%"</formula>
    </cfRule>
  </conditionalFormatting>
  <conditionalFormatting sqref="G55">
    <cfRule type="expression" dxfId="64" priority="9" stopIfTrue="1">
      <formula>$H$55="超过30%"</formula>
    </cfRule>
  </conditionalFormatting>
  <conditionalFormatting sqref="G53">
    <cfRule type="expression" dxfId="63" priority="8" stopIfTrue="1">
      <formula>$H$53="超过30%"</formula>
    </cfRule>
  </conditionalFormatting>
  <conditionalFormatting sqref="G54">
    <cfRule type="expression" dxfId="62" priority="7" stopIfTrue="1">
      <formula>$H$54="超过20%"</formula>
    </cfRule>
  </conditionalFormatting>
  <conditionalFormatting sqref="J53">
    <cfRule type="containsText" dxfId="61" priority="6" stopIfTrue="1" operator="containsText" text="超过">
      <formula>NOT(ISERROR(SEARCH("超过",J53)))</formula>
    </cfRule>
  </conditionalFormatting>
  <conditionalFormatting sqref="J55">
    <cfRule type="containsText" dxfId="60" priority="5" stopIfTrue="1" operator="containsText" text="超过">
      <formula>NOT(ISERROR(SEARCH("超过",J55)))</formula>
    </cfRule>
  </conditionalFormatting>
  <conditionalFormatting sqref="J54">
    <cfRule type="containsText" dxfId="59" priority="4" stopIfTrue="1" operator="containsText" text="超过">
      <formula>NOT(ISERROR(SEARCH("超过",J54)))</formula>
    </cfRule>
  </conditionalFormatting>
  <conditionalFormatting sqref="I53">
    <cfRule type="expression" dxfId="58" priority="3" stopIfTrue="1">
      <formula>$J$53="超过30%"</formula>
    </cfRule>
  </conditionalFormatting>
  <conditionalFormatting sqref="I54">
    <cfRule type="expression" dxfId="57" priority="2" stopIfTrue="1">
      <formula>$J$53+$J$54="超过20%"</formula>
    </cfRule>
  </conditionalFormatting>
  <conditionalFormatting sqref="I55">
    <cfRule type="expression" dxfId="56"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805"/>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5" customFormat="1" ht="28.5" customHeight="1">
      <c r="A2" s="422" t="s">
        <v>467</v>
      </c>
      <c r="B2" s="849" t="e">
        <f>ROUND(B3*D3/10000,0)</f>
        <v>#DIV/0!</v>
      </c>
      <c r="C2" s="2125"/>
      <c r="D2" s="2125"/>
      <c r="E2" s="2126"/>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427"/>
    </row>
    <row r="3" spans="1:29" s="1335" customFormat="1" ht="28.5" customHeight="1" thickBot="1">
      <c r="A3" s="508" t="s">
        <v>519</v>
      </c>
      <c r="B3" s="509" t="e">
        <f>C43</f>
        <v>#DIV/0!</v>
      </c>
      <c r="C3" s="851" t="s">
        <v>722</v>
      </c>
      <c r="D3" s="850">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7"/>
    </row>
    <row r="4" spans="1:29" ht="15">
      <c r="A4" s="511" t="s">
        <v>521</v>
      </c>
      <c r="B4" s="512"/>
      <c r="C4" s="3513" t="s">
        <v>522</v>
      </c>
      <c r="D4" s="3514"/>
      <c r="E4" s="3537" t="s">
        <v>523</v>
      </c>
      <c r="F4" s="3538"/>
      <c r="G4" s="3513" t="s">
        <v>524</v>
      </c>
      <c r="H4" s="3514"/>
      <c r="I4" s="3513" t="s">
        <v>525</v>
      </c>
      <c r="J4" s="3514"/>
      <c r="K4" s="513" t="s">
        <v>526</v>
      </c>
      <c r="L4" s="2131"/>
      <c r="M4" s="2132"/>
      <c r="N4" s="2132"/>
      <c r="O4" s="2132"/>
      <c r="P4" s="3515" t="s">
        <v>527</v>
      </c>
      <c r="Q4" s="3516"/>
      <c r="R4" s="3501" t="s">
        <v>523</v>
      </c>
      <c r="S4" s="3502"/>
      <c r="T4" s="3501" t="s">
        <v>524</v>
      </c>
      <c r="U4" s="3502"/>
      <c r="V4" s="3521" t="s">
        <v>525</v>
      </c>
      <c r="W4" s="3521"/>
      <c r="X4" s="1566"/>
      <c r="Y4" s="3501" t="s">
        <v>527</v>
      </c>
      <c r="Z4" s="3502"/>
      <c r="AA4" s="3496" t="s">
        <v>523</v>
      </c>
      <c r="AB4" s="3497" t="s">
        <v>524</v>
      </c>
      <c r="AC4" s="3496" t="s">
        <v>525</v>
      </c>
    </row>
    <row r="5" spans="1:29" ht="15">
      <c r="A5" s="514"/>
      <c r="B5" s="515"/>
      <c r="C5" s="3541" t="s">
        <v>2915</v>
      </c>
      <c r="D5" s="3542"/>
      <c r="E5" s="3539" t="s">
        <v>2916</v>
      </c>
      <c r="F5" s="3540"/>
      <c r="G5" s="3541" t="s">
        <v>2917</v>
      </c>
      <c r="H5" s="3542"/>
      <c r="I5" s="3541" t="s">
        <v>2918</v>
      </c>
      <c r="J5" s="3542"/>
      <c r="K5" s="513"/>
      <c r="L5" s="2131"/>
      <c r="M5" s="2132"/>
      <c r="N5" s="2132"/>
      <c r="O5" s="2132"/>
      <c r="P5" s="3517"/>
      <c r="Q5" s="3518"/>
      <c r="R5" s="3503"/>
      <c r="S5" s="3504"/>
      <c r="T5" s="3503"/>
      <c r="U5" s="3504"/>
      <c r="V5" s="3521"/>
      <c r="W5" s="3521"/>
      <c r="X5" s="1566"/>
      <c r="Y5" s="3503"/>
      <c r="Z5" s="3504"/>
      <c r="AA5" s="3497"/>
      <c r="AB5" s="3497"/>
      <c r="AC5" s="3497"/>
    </row>
    <row r="6" spans="1:29" ht="15.75" thickBot="1">
      <c r="A6" s="516"/>
      <c r="B6" s="517"/>
      <c r="C6" s="3543" t="s">
        <v>2919</v>
      </c>
      <c r="D6" s="3544"/>
      <c r="E6" s="3545" t="s">
        <v>2919</v>
      </c>
      <c r="F6" s="3546"/>
      <c r="G6" s="3543" t="s">
        <v>2919</v>
      </c>
      <c r="H6" s="3544"/>
      <c r="I6" s="3543" t="s">
        <v>2919</v>
      </c>
      <c r="J6" s="3544"/>
      <c r="K6" s="513" t="s">
        <v>528</v>
      </c>
      <c r="L6" s="2131"/>
      <c r="M6" s="2132"/>
      <c r="N6" s="2132"/>
      <c r="O6" s="2132"/>
      <c r="P6" s="3519"/>
      <c r="Q6" s="3520"/>
      <c r="R6" s="3503"/>
      <c r="S6" s="3504"/>
      <c r="T6" s="3505"/>
      <c r="U6" s="3506"/>
      <c r="V6" s="3521"/>
      <c r="W6" s="3521"/>
      <c r="X6" s="1566"/>
      <c r="Y6" s="3505"/>
      <c r="Z6" s="3506"/>
      <c r="AA6" s="3498"/>
      <c r="AB6" s="3498"/>
      <c r="AC6" s="3498"/>
    </row>
    <row r="7" spans="1:29" s="1219" customFormat="1" ht="15.75" thickBot="1">
      <c r="A7" s="2909"/>
      <c r="B7" s="2916" t="s">
        <v>529</v>
      </c>
      <c r="C7" s="518">
        <f>'数据-取费表'!B2</f>
        <v>43444</v>
      </c>
      <c r="D7" s="519">
        <v>100</v>
      </c>
      <c r="E7" s="520"/>
      <c r="F7" s="521">
        <f>SUMIF(52:52,YEAR(E7)&amp;"-"&amp;MONTH(E7),53:53)</f>
        <v>0</v>
      </c>
      <c r="G7" s="520"/>
      <c r="H7" s="519">
        <f>SUMIF(52:52,YEAR(G7)&amp;"-"&amp;MONTH(G7),53:53)</f>
        <v>0</v>
      </c>
      <c r="I7" s="520"/>
      <c r="J7" s="519">
        <f>SUMIF(52:52,YEAR(I7)&amp;"-"&amp;MONTH(I7),53:53)</f>
        <v>0</v>
      </c>
      <c r="K7" s="523"/>
      <c r="L7" s="2133"/>
      <c r="M7" s="2134"/>
      <c r="N7" s="2134"/>
      <c r="O7" s="2134"/>
      <c r="P7" s="3499" t="s">
        <v>530</v>
      </c>
      <c r="Q7" s="3508"/>
      <c r="R7" s="1567" t="s">
        <v>8</v>
      </c>
      <c r="S7" s="1568">
        <f t="shared" ref="S7:S15" si="0">F7</f>
        <v>0</v>
      </c>
      <c r="T7" s="1567" t="s">
        <v>8</v>
      </c>
      <c r="U7" s="1568">
        <f t="shared" ref="U7:U15" si="1">H7</f>
        <v>0</v>
      </c>
      <c r="V7" s="1567" t="s">
        <v>8</v>
      </c>
      <c r="W7" s="1568">
        <f t="shared" ref="W7:W15" si="2">J7</f>
        <v>0</v>
      </c>
      <c r="X7" s="1569"/>
      <c r="Y7" s="3499" t="s">
        <v>530</v>
      </c>
      <c r="Z7" s="3500"/>
      <c r="AA7" s="1570" t="e">
        <f>D7/F7</f>
        <v>#DIV/0!</v>
      </c>
      <c r="AB7" s="1570" t="e">
        <f>D7/H7</f>
        <v>#DIV/0!</v>
      </c>
      <c r="AC7" s="1570" t="e">
        <f>D7/J7</f>
        <v>#DIV/0!</v>
      </c>
    </row>
    <row r="8" spans="1:29" s="1219" customFormat="1" ht="15.75" thickBot="1">
      <c r="A8" s="2910"/>
      <c r="B8" s="2917" t="s">
        <v>531</v>
      </c>
      <c r="C8" s="524" t="s">
        <v>576</v>
      </c>
      <c r="D8" s="519">
        <v>100</v>
      </c>
      <c r="E8" s="524"/>
      <c r="F8" s="521">
        <f>SUMIF(55:55,E8,56:56)-SUMIF(55:55,C8,56:56)+100</f>
        <v>0</v>
      </c>
      <c r="G8" s="524"/>
      <c r="H8" s="519">
        <f>SUMIF(55:55,G8,56:56)-SUMIF(55:55,C8,56:56)+100</f>
        <v>0</v>
      </c>
      <c r="I8" s="524"/>
      <c r="J8" s="519">
        <f>SUMIF(55:55,I8,56:56)-SUMIF(55:55,C8,56:56)+100</f>
        <v>0</v>
      </c>
      <c r="K8" s="523"/>
      <c r="L8" s="2133"/>
      <c r="M8" s="2134"/>
      <c r="N8" s="2134"/>
      <c r="O8" s="2134"/>
      <c r="P8" s="3499" t="s">
        <v>533</v>
      </c>
      <c r="Q8" s="3500"/>
      <c r="R8" s="1567" t="s">
        <v>8</v>
      </c>
      <c r="S8" s="1568">
        <f t="shared" si="0"/>
        <v>0</v>
      </c>
      <c r="T8" s="1567" t="s">
        <v>8</v>
      </c>
      <c r="U8" s="1568">
        <f t="shared" si="1"/>
        <v>0</v>
      </c>
      <c r="V8" s="1567" t="s">
        <v>8</v>
      </c>
      <c r="W8" s="1568">
        <f t="shared" si="2"/>
        <v>0</v>
      </c>
      <c r="X8" s="1569"/>
      <c r="Y8" s="3499" t="s">
        <v>533</v>
      </c>
      <c r="Z8" s="3500"/>
      <c r="AA8" s="1570" t="e">
        <f t="shared" ref="AA8:AA40" si="3">D8/F8</f>
        <v>#DIV/0!</v>
      </c>
      <c r="AB8" s="1570" t="e">
        <f t="shared" ref="AB8:AB40" si="4">D8/H8</f>
        <v>#DIV/0!</v>
      </c>
      <c r="AC8" s="1570" t="e">
        <f t="shared" ref="AC8:AC40" si="5">D8/J8</f>
        <v>#DIV/0!</v>
      </c>
    </row>
    <row r="9" spans="1:29" s="1219" customFormat="1" ht="15">
      <c r="A9" s="2911"/>
      <c r="B9" s="2918" t="s">
        <v>2753</v>
      </c>
      <c r="C9" s="856"/>
      <c r="D9" s="253">
        <v>100</v>
      </c>
      <c r="E9" s="859"/>
      <c r="F9" s="253">
        <f>SUMIF(57:57,E9,58:58)-SUMIF(57:57,C9,58:58)+100</f>
        <v>100</v>
      </c>
      <c r="G9" s="857"/>
      <c r="H9" s="253">
        <f>SUMIF(57:57,G9,58:58)-SUMIF(57:57,C9,58:58)+100</f>
        <v>100</v>
      </c>
      <c r="I9" s="857"/>
      <c r="J9" s="253">
        <f>SUMIF(57:57,I9,58:58)-SUMIF(57:57,C9,58:58)+100</f>
        <v>100</v>
      </c>
      <c r="K9" s="523"/>
      <c r="L9" s="2133"/>
      <c r="M9" s="2134"/>
      <c r="N9" s="2134"/>
      <c r="O9" s="2135"/>
      <c r="P9" s="3507" t="s">
        <v>535</v>
      </c>
      <c r="Q9" s="1150" t="str">
        <f t="shared" ref="Q9:Q15" si="6">B9</f>
        <v>用途</v>
      </c>
      <c r="R9" s="1567" t="s">
        <v>8</v>
      </c>
      <c r="S9" s="1568">
        <f t="shared" si="0"/>
        <v>100</v>
      </c>
      <c r="T9" s="1567" t="s">
        <v>8</v>
      </c>
      <c r="U9" s="1568">
        <f t="shared" si="1"/>
        <v>100</v>
      </c>
      <c r="V9" s="1567" t="s">
        <v>8</v>
      </c>
      <c r="W9" s="1568">
        <f t="shared" si="2"/>
        <v>100</v>
      </c>
      <c r="X9" s="1569"/>
      <c r="Y9" s="3464" t="s">
        <v>536</v>
      </c>
      <c r="Z9" s="1149" t="str">
        <f t="shared" ref="Z9:Z15" si="7">Q9</f>
        <v>用途</v>
      </c>
      <c r="AA9" s="1570">
        <f t="shared" si="3"/>
        <v>1</v>
      </c>
      <c r="AB9" s="1570">
        <f t="shared" si="4"/>
        <v>1</v>
      </c>
      <c r="AC9" s="1570">
        <f t="shared" si="5"/>
        <v>1</v>
      </c>
    </row>
    <row r="10" spans="1:29" s="1337" customFormat="1" ht="27">
      <c r="A10" s="2912"/>
      <c r="B10" s="2917" t="s">
        <v>2754</v>
      </c>
      <c r="C10" s="860"/>
      <c r="D10" s="254">
        <v>100</v>
      </c>
      <c r="E10" s="860"/>
      <c r="F10" s="254">
        <f>SUMIF(59:59,E10,60:60)-SUMIF(59:59,C10,60:60)+100</f>
        <v>100</v>
      </c>
      <c r="G10" s="861"/>
      <c r="H10" s="254">
        <f>SUMIF(59:59,G10,60:60)-SUMIF(59:59,C10,60:60)+100</f>
        <v>100</v>
      </c>
      <c r="I10" s="860"/>
      <c r="J10" s="254">
        <f>SUMIF(59:59,I10,60:60)-SUMIF(59:59,C10,60:60)+100</f>
        <v>100</v>
      </c>
      <c r="K10" s="583"/>
      <c r="L10" s="2136"/>
      <c r="M10" s="2176"/>
      <c r="N10" s="2176"/>
      <c r="O10" s="2137"/>
      <c r="P10" s="3507"/>
      <c r="Q10" s="1150" t="str">
        <f t="shared" si="6"/>
        <v>土地使用年限（年）</v>
      </c>
      <c r="R10" s="1567" t="s">
        <v>8</v>
      </c>
      <c r="S10" s="1568">
        <f t="shared" si="0"/>
        <v>100</v>
      </c>
      <c r="T10" s="1567" t="s">
        <v>8</v>
      </c>
      <c r="U10" s="1568">
        <f t="shared" si="1"/>
        <v>100</v>
      </c>
      <c r="V10" s="1567" t="s">
        <v>8</v>
      </c>
      <c r="W10" s="1568">
        <f t="shared" si="2"/>
        <v>100</v>
      </c>
      <c r="X10" s="1569"/>
      <c r="Y10" s="3464"/>
      <c r="Z10" s="1149" t="str">
        <f t="shared" si="7"/>
        <v>土地使用年限（年）</v>
      </c>
      <c r="AA10" s="1570">
        <f t="shared" si="3"/>
        <v>1</v>
      </c>
      <c r="AB10" s="1570">
        <f t="shared" si="4"/>
        <v>1</v>
      </c>
      <c r="AC10" s="1570">
        <f t="shared" si="5"/>
        <v>1</v>
      </c>
    </row>
    <row r="11" spans="1:29" ht="15">
      <c r="A11" s="2913"/>
      <c r="B11" s="2917" t="s">
        <v>2755</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8"/>
      <c r="M11" s="2132"/>
      <c r="N11" s="2132"/>
      <c r="O11" s="2139"/>
      <c r="P11" s="3507"/>
      <c r="Q11" s="1150" t="str">
        <f t="shared" si="6"/>
        <v>容积率</v>
      </c>
      <c r="R11" s="1567" t="s">
        <v>8</v>
      </c>
      <c r="S11" s="1568" t="e">
        <f t="shared" si="0"/>
        <v>#N/A</v>
      </c>
      <c r="T11" s="1567" t="s">
        <v>8</v>
      </c>
      <c r="U11" s="1568" t="e">
        <f t="shared" si="1"/>
        <v>#N/A</v>
      </c>
      <c r="V11" s="1567" t="s">
        <v>8</v>
      </c>
      <c r="W11" s="1568" t="e">
        <f t="shared" si="2"/>
        <v>#N/A</v>
      </c>
      <c r="X11" s="1569"/>
      <c r="Y11" s="3464"/>
      <c r="Z11" s="1149" t="str">
        <f t="shared" si="7"/>
        <v>容积率</v>
      </c>
      <c r="AA11" s="1570" t="e">
        <f t="shared" si="3"/>
        <v>#N/A</v>
      </c>
      <c r="AB11" s="1570" t="e">
        <f t="shared" si="4"/>
        <v>#N/A</v>
      </c>
      <c r="AC11" s="1570" t="e">
        <f t="shared" si="5"/>
        <v>#N/A</v>
      </c>
    </row>
    <row r="12" spans="1:29" s="1219" customFormat="1" ht="15">
      <c r="A12" s="2914"/>
      <c r="B12" s="2920">
        <v>111</v>
      </c>
      <c r="C12" s="527"/>
      <c r="D12" s="537">
        <v>100</v>
      </c>
      <c r="E12" s="538"/>
      <c r="F12" s="254">
        <f>SUMIF(64:64,E12,65:65)-SUMIF(64:64,C12,65:65)+100</f>
        <v>100</v>
      </c>
      <c r="G12" s="919"/>
      <c r="H12" s="254">
        <f>SUMIF(64:64,G12,65:65)-SUMIF(64:64,C12,65:65)+100</f>
        <v>100</v>
      </c>
      <c r="I12" s="879"/>
      <c r="J12" s="254">
        <f>SUMIF(64:64,I12,65:65)-SUMIF(64:64,C12,65:65)+100</f>
        <v>100</v>
      </c>
      <c r="K12" s="580"/>
      <c r="L12" s="2133"/>
      <c r="M12" s="2134"/>
      <c r="N12" s="2134"/>
      <c r="O12" s="2135"/>
      <c r="P12" s="3507"/>
      <c r="Q12" s="1150">
        <f t="shared" si="6"/>
        <v>111</v>
      </c>
      <c r="R12" s="1567" t="s">
        <v>8</v>
      </c>
      <c r="S12" s="1568">
        <f t="shared" si="0"/>
        <v>100</v>
      </c>
      <c r="T12" s="1567" t="s">
        <v>8</v>
      </c>
      <c r="U12" s="1568">
        <f t="shared" si="1"/>
        <v>100</v>
      </c>
      <c r="V12" s="1567" t="s">
        <v>8</v>
      </c>
      <c r="W12" s="1568">
        <f t="shared" si="2"/>
        <v>100</v>
      </c>
      <c r="X12" s="1569"/>
      <c r="Y12" s="3464"/>
      <c r="Z12" s="1149">
        <f t="shared" si="7"/>
        <v>111</v>
      </c>
      <c r="AA12" s="1570">
        <f>D12/F12</f>
        <v>1</v>
      </c>
      <c r="AB12" s="1570">
        <f>D12/H12</f>
        <v>1</v>
      </c>
      <c r="AC12" s="1570">
        <f>D12/J12</f>
        <v>1</v>
      </c>
    </row>
    <row r="13" spans="1:29" ht="15">
      <c r="A13" s="2914"/>
      <c r="B13" s="2920">
        <v>111</v>
      </c>
      <c r="C13" s="538"/>
      <c r="D13" s="539">
        <v>100</v>
      </c>
      <c r="E13" s="538"/>
      <c r="F13" s="254">
        <f>SUMIF(66:66,E13,67:67)-SUMIF(66:66,C13,67:67)+100</f>
        <v>100</v>
      </c>
      <c r="G13" s="919"/>
      <c r="H13" s="539">
        <f>SUMIF(66:66,G13,67:67)-SUMIF(66:66,C13,67:67)+100</f>
        <v>100</v>
      </c>
      <c r="I13" s="879"/>
      <c r="J13" s="539">
        <f>SUMIF(66:66,I13,67:67)-SUMIF(66:66,C13,67:67)+100</f>
        <v>100</v>
      </c>
      <c r="K13" s="580"/>
      <c r="L13" s="2140"/>
      <c r="M13" s="2132"/>
      <c r="N13" s="2132"/>
      <c r="O13" s="2139"/>
      <c r="P13" s="3507"/>
      <c r="Q13" s="1150">
        <f t="shared" si="6"/>
        <v>111</v>
      </c>
      <c r="R13" s="1567" t="s">
        <v>8</v>
      </c>
      <c r="S13" s="1568">
        <f t="shared" si="0"/>
        <v>100</v>
      </c>
      <c r="T13" s="1567" t="s">
        <v>8</v>
      </c>
      <c r="U13" s="1568">
        <f t="shared" si="1"/>
        <v>100</v>
      </c>
      <c r="V13" s="1567" t="s">
        <v>8</v>
      </c>
      <c r="W13" s="1568">
        <f t="shared" si="2"/>
        <v>100</v>
      </c>
      <c r="X13" s="1569"/>
      <c r="Y13" s="3464"/>
      <c r="Z13" s="1149">
        <f t="shared" si="7"/>
        <v>111</v>
      </c>
      <c r="AA13" s="1570">
        <f t="shared" si="3"/>
        <v>1</v>
      </c>
      <c r="AB13" s="1570">
        <f t="shared" si="4"/>
        <v>1</v>
      </c>
      <c r="AC13" s="1570">
        <f t="shared" si="5"/>
        <v>1</v>
      </c>
    </row>
    <row r="14" spans="1:29" ht="15.75" thickBot="1">
      <c r="A14" s="2915"/>
      <c r="B14" s="2921">
        <v>111</v>
      </c>
      <c r="C14" s="544"/>
      <c r="D14" s="545">
        <v>100</v>
      </c>
      <c r="E14" s="544"/>
      <c r="F14" s="545">
        <f>SUMIF(68:68,E14,69:69)-SUMIF(68:68,C14,69:69)+100</f>
        <v>100</v>
      </c>
      <c r="G14" s="919"/>
      <c r="H14" s="545">
        <f>SUMIF(68:68,G14,69:69)-SUMIF(68:68,C14,69:69)+100</f>
        <v>100</v>
      </c>
      <c r="I14" s="879"/>
      <c r="J14" s="545">
        <f>SUMIF(68:68,I14,69:69)-SUMIF(68:68,C14,69:69)+100</f>
        <v>100</v>
      </c>
      <c r="K14" s="580"/>
      <c r="L14" s="2140"/>
      <c r="M14" s="2132"/>
      <c r="N14" s="2132"/>
      <c r="O14" s="2139"/>
      <c r="P14" s="3507"/>
      <c r="Q14" s="1150">
        <f t="shared" si="6"/>
        <v>111</v>
      </c>
      <c r="R14" s="1567" t="s">
        <v>8</v>
      </c>
      <c r="S14" s="1568">
        <f t="shared" si="0"/>
        <v>100</v>
      </c>
      <c r="T14" s="1567" t="s">
        <v>8</v>
      </c>
      <c r="U14" s="1568">
        <f t="shared" si="1"/>
        <v>100</v>
      </c>
      <c r="V14" s="1567" t="s">
        <v>8</v>
      </c>
      <c r="W14" s="1568">
        <f t="shared" si="2"/>
        <v>100</v>
      </c>
      <c r="X14" s="1569"/>
      <c r="Y14" s="3464"/>
      <c r="Z14" s="1149">
        <f t="shared" si="7"/>
        <v>111</v>
      </c>
      <c r="AA14" s="1570">
        <f t="shared" si="3"/>
        <v>1</v>
      </c>
      <c r="AB14" s="1570">
        <f t="shared" si="4"/>
        <v>1</v>
      </c>
      <c r="AC14" s="1570">
        <f t="shared" si="5"/>
        <v>1</v>
      </c>
    </row>
    <row r="15" spans="1:29" ht="15">
      <c r="A15" s="2907" t="s">
        <v>2751</v>
      </c>
      <c r="B15" s="165" t="s">
        <v>789</v>
      </c>
      <c r="C15" s="920">
        <f>估价对象房地状况!G3</f>
        <v>0</v>
      </c>
      <c r="D15" s="548">
        <v>100</v>
      </c>
      <c r="E15" s="549"/>
      <c r="F15" s="550">
        <f>SUMIF(70:70,E16,71:71)-SUMIF(70:70,C16,71:71)+100</f>
        <v>100</v>
      </c>
      <c r="G15" s="551"/>
      <c r="H15" s="548">
        <f>SUMIF(70:70,G16,71:71)-SUMIF(70:70,C16,71:71)+100</f>
        <v>100</v>
      </c>
      <c r="I15" s="549"/>
      <c r="J15" s="548">
        <f>SUMIF(70:70,I16,71:71)-SUMIF(70:70,C16,71:71)+100</f>
        <v>100</v>
      </c>
      <c r="K15" s="897"/>
      <c r="L15" s="2140"/>
      <c r="M15" s="2132"/>
      <c r="N15" s="2132"/>
      <c r="O15" s="2139"/>
      <c r="P15" s="3509" t="s">
        <v>540</v>
      </c>
      <c r="Q15" s="1571" t="str">
        <f t="shared" si="6"/>
        <v>产业集聚程度</v>
      </c>
      <c r="R15" s="1572" t="s">
        <v>8</v>
      </c>
      <c r="S15" s="1573">
        <f t="shared" si="0"/>
        <v>100</v>
      </c>
      <c r="T15" s="1572" t="s">
        <v>8</v>
      </c>
      <c r="U15" s="1573">
        <f t="shared" si="1"/>
        <v>100</v>
      </c>
      <c r="V15" s="1572" t="s">
        <v>8</v>
      </c>
      <c r="W15" s="1573">
        <f t="shared" si="2"/>
        <v>100</v>
      </c>
      <c r="X15" s="1566"/>
      <c r="Y15" s="3509" t="s">
        <v>540</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0"/>
      <c r="M16" s="2132"/>
      <c r="N16" s="2132"/>
      <c r="O16" s="2139"/>
      <c r="P16" s="3510"/>
      <c r="Q16" s="1571"/>
      <c r="R16" s="1572"/>
      <c r="S16" s="1573"/>
      <c r="T16" s="1572"/>
      <c r="U16" s="1573"/>
      <c r="V16" s="1572"/>
      <c r="W16" s="1573"/>
      <c r="X16" s="1566"/>
      <c r="Y16" s="3510"/>
      <c r="Z16" s="1574"/>
      <c r="AA16" s="1575">
        <v>1</v>
      </c>
      <c r="AB16" s="1575">
        <v>1</v>
      </c>
      <c r="AC16" s="1575">
        <v>1</v>
      </c>
    </row>
    <row r="17" spans="1:29" ht="15">
      <c r="A17" s="531"/>
      <c r="B17" s="870" t="s">
        <v>296</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7"/>
      <c r="L17" s="2140"/>
      <c r="M17" s="2132"/>
      <c r="N17" s="2132"/>
      <c r="O17" s="2139"/>
      <c r="P17" s="3510"/>
      <c r="Q17" s="1571" t="str">
        <f>B17</f>
        <v>交通便捷度</v>
      </c>
      <c r="R17" s="1572" t="s">
        <v>8</v>
      </c>
      <c r="S17" s="1573">
        <f>F17</f>
        <v>100</v>
      </c>
      <c r="T17" s="1572" t="s">
        <v>8</v>
      </c>
      <c r="U17" s="1573">
        <f>H17</f>
        <v>100</v>
      </c>
      <c r="V17" s="1572" t="s">
        <v>8</v>
      </c>
      <c r="W17" s="1573">
        <f>J17</f>
        <v>100</v>
      </c>
      <c r="X17" s="1566"/>
      <c r="Y17" s="3510"/>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0"/>
      <c r="M18" s="2132"/>
      <c r="N18" s="2132"/>
      <c r="O18" s="2139"/>
      <c r="P18" s="3510"/>
      <c r="Q18" s="1571"/>
      <c r="R18" s="1572"/>
      <c r="S18" s="1573"/>
      <c r="T18" s="1572"/>
      <c r="U18" s="1573"/>
      <c r="V18" s="1572"/>
      <c r="W18" s="1573"/>
      <c r="X18" s="1566"/>
      <c r="Y18" s="3510"/>
      <c r="Z18" s="1574"/>
      <c r="AA18" s="1575">
        <v>1</v>
      </c>
      <c r="AB18" s="1575">
        <v>1</v>
      </c>
      <c r="AC18" s="1575">
        <v>1</v>
      </c>
    </row>
    <row r="19" spans="1:29" ht="15">
      <c r="A19" s="531"/>
      <c r="B19" s="2601" t="s">
        <v>2544</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7"/>
      <c r="L19" s="2140"/>
      <c r="M19" s="2132"/>
      <c r="N19" s="2132"/>
      <c r="O19" s="2139"/>
      <c r="P19" s="3510"/>
      <c r="Q19" s="1571" t="str">
        <f>B19</f>
        <v>公共配套设施</v>
      </c>
      <c r="R19" s="1572" t="s">
        <v>8</v>
      </c>
      <c r="S19" s="1573">
        <f>F19</f>
        <v>100</v>
      </c>
      <c r="T19" s="1572" t="s">
        <v>8</v>
      </c>
      <c r="U19" s="1573">
        <f>H19</f>
        <v>100</v>
      </c>
      <c r="V19" s="1572" t="s">
        <v>8</v>
      </c>
      <c r="W19" s="1573">
        <f>J19</f>
        <v>100</v>
      </c>
      <c r="X19" s="1566"/>
      <c r="Y19" s="3510"/>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0"/>
      <c r="M20" s="2132"/>
      <c r="N20" s="2132"/>
      <c r="O20" s="2139"/>
      <c r="P20" s="3510"/>
      <c r="Q20" s="1571"/>
      <c r="R20" s="1572"/>
      <c r="S20" s="1573"/>
      <c r="T20" s="1572"/>
      <c r="U20" s="1573"/>
      <c r="V20" s="1572"/>
      <c r="W20" s="1573"/>
      <c r="X20" s="1566"/>
      <c r="Y20" s="3510"/>
      <c r="Z20" s="1574"/>
      <c r="AA20" s="1575">
        <v>1</v>
      </c>
      <c r="AB20" s="1575">
        <v>1</v>
      </c>
      <c r="AC20" s="1575">
        <v>1</v>
      </c>
    </row>
    <row r="21" spans="1:29" ht="15">
      <c r="A21" s="531"/>
      <c r="B21" s="2589" t="s">
        <v>2556</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7"/>
      <c r="L21" s="2140"/>
      <c r="M21" s="2132"/>
      <c r="N21" s="2132"/>
      <c r="O21" s="2139"/>
      <c r="P21" s="3510"/>
      <c r="Q21" s="2577" t="str">
        <f>B21</f>
        <v>基础设施水平</v>
      </c>
      <c r="R21" s="1572" t="s">
        <v>8</v>
      </c>
      <c r="S21" s="1573">
        <f>F21</f>
        <v>100</v>
      </c>
      <c r="T21" s="1572" t="s">
        <v>8</v>
      </c>
      <c r="U21" s="1573">
        <f>H21</f>
        <v>100</v>
      </c>
      <c r="V21" s="1572" t="s">
        <v>8</v>
      </c>
      <c r="W21" s="1573">
        <f>J21</f>
        <v>100</v>
      </c>
      <c r="X21" s="2579"/>
      <c r="Y21" s="3510"/>
      <c r="Z21" s="2578" t="str">
        <f>Q21</f>
        <v>基础设施水平</v>
      </c>
      <c r="AA21" s="1575">
        <f>D21/F21</f>
        <v>1</v>
      </c>
      <c r="AB21" s="1575">
        <f>D21/H21</f>
        <v>1</v>
      </c>
      <c r="AC21" s="1575">
        <f>D21/J21</f>
        <v>1</v>
      </c>
    </row>
    <row r="22" spans="1:29" ht="15">
      <c r="A22" s="531"/>
      <c r="B22" s="577"/>
      <c r="C22" s="872"/>
      <c r="D22" s="554"/>
      <c r="E22" s="575"/>
      <c r="F22" s="556"/>
      <c r="G22" s="575"/>
      <c r="H22" s="554"/>
      <c r="I22" s="575"/>
      <c r="J22" s="554"/>
      <c r="K22" s="2600"/>
      <c r="L22" s="2140"/>
      <c r="M22" s="2132"/>
      <c r="N22" s="2132"/>
      <c r="O22" s="2139"/>
      <c r="P22" s="3510"/>
      <c r="Q22" s="2577"/>
      <c r="R22" s="1572"/>
      <c r="S22" s="1573"/>
      <c r="T22" s="1572"/>
      <c r="U22" s="1573"/>
      <c r="V22" s="1572"/>
      <c r="W22" s="1573"/>
      <c r="X22" s="2579"/>
      <c r="Y22" s="3510"/>
      <c r="Z22" s="2578"/>
      <c r="AA22" s="1575">
        <v>1</v>
      </c>
      <c r="AB22" s="1575">
        <v>1</v>
      </c>
      <c r="AC22" s="1575">
        <v>1</v>
      </c>
    </row>
    <row r="23" spans="1:29" ht="15">
      <c r="A23" s="531"/>
      <c r="B23" s="870" t="s">
        <v>778</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7"/>
      <c r="L23" s="2140"/>
      <c r="M23" s="2132"/>
      <c r="N23" s="2132"/>
      <c r="O23" s="2139"/>
      <c r="P23" s="3510"/>
      <c r="Q23" s="1571" t="str">
        <f>B23</f>
        <v>环境质量</v>
      </c>
      <c r="R23" s="1572" t="s">
        <v>8</v>
      </c>
      <c r="S23" s="1573">
        <f>F23</f>
        <v>100</v>
      </c>
      <c r="T23" s="1572" t="s">
        <v>8</v>
      </c>
      <c r="U23" s="1573">
        <f>H23</f>
        <v>100</v>
      </c>
      <c r="V23" s="1572" t="s">
        <v>8</v>
      </c>
      <c r="W23" s="1573">
        <f>J23</f>
        <v>100</v>
      </c>
      <c r="X23" s="1566"/>
      <c r="Y23" s="3510"/>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0"/>
      <c r="M24" s="2132"/>
      <c r="N24" s="2132"/>
      <c r="O24" s="2139"/>
      <c r="P24" s="3510"/>
      <c r="Q24" s="1571"/>
      <c r="R24" s="1572"/>
      <c r="S24" s="1573"/>
      <c r="T24" s="1572"/>
      <c r="U24" s="1573"/>
      <c r="V24" s="1572"/>
      <c r="W24" s="1573"/>
      <c r="X24" s="1566"/>
      <c r="Y24" s="3510"/>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0"/>
      <c r="M25" s="2132"/>
      <c r="N25" s="2132"/>
      <c r="O25" s="2139"/>
      <c r="P25" s="3510"/>
      <c r="Q25" s="1571">
        <f>B25</f>
        <v>111</v>
      </c>
      <c r="R25" s="1572" t="s">
        <v>8</v>
      </c>
      <c r="S25" s="1573">
        <f>F25</f>
        <v>100</v>
      </c>
      <c r="T25" s="1572" t="s">
        <v>8</v>
      </c>
      <c r="U25" s="1573">
        <f>H25</f>
        <v>100</v>
      </c>
      <c r="V25" s="1572" t="s">
        <v>8</v>
      </c>
      <c r="W25" s="1573">
        <f>J25</f>
        <v>100</v>
      </c>
      <c r="X25" s="1566"/>
      <c r="Y25" s="3510"/>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0"/>
      <c r="M26" s="2132"/>
      <c r="N26" s="2132"/>
      <c r="O26" s="2139"/>
      <c r="P26" s="3510"/>
      <c r="Q26" s="1571">
        <f t="shared" ref="Q26:Q40" si="8">B26</f>
        <v>111</v>
      </c>
      <c r="R26" s="1572" t="s">
        <v>8</v>
      </c>
      <c r="S26" s="1573">
        <f>F26</f>
        <v>100</v>
      </c>
      <c r="T26" s="1572" t="s">
        <v>8</v>
      </c>
      <c r="U26" s="1573">
        <f>H26</f>
        <v>100</v>
      </c>
      <c r="V26" s="1572" t="s">
        <v>8</v>
      </c>
      <c r="W26" s="1573">
        <f>J26</f>
        <v>100</v>
      </c>
      <c r="X26" s="1566"/>
      <c r="Y26" s="3510"/>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3"/>
      <c r="M27" s="2134"/>
      <c r="N27" s="2134"/>
      <c r="O27" s="2135"/>
      <c r="P27" s="3510"/>
      <c r="Q27" s="1150">
        <f t="shared" si="8"/>
        <v>111</v>
      </c>
      <c r="R27" s="1567" t="s">
        <v>8</v>
      </c>
      <c r="S27" s="1568">
        <f>F27</f>
        <v>100</v>
      </c>
      <c r="T27" s="1567" t="s">
        <v>8</v>
      </c>
      <c r="U27" s="1568">
        <f>H27</f>
        <v>100</v>
      </c>
      <c r="V27" s="1567" t="s">
        <v>8</v>
      </c>
      <c r="W27" s="1568">
        <f>J27</f>
        <v>100</v>
      </c>
      <c r="X27" s="1569"/>
      <c r="Y27" s="3510"/>
      <c r="Z27" s="1149">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0"/>
      <c r="M28" s="2132"/>
      <c r="N28" s="2132"/>
      <c r="O28" s="2139"/>
      <c r="P28" s="3510"/>
      <c r="Q28" s="1571">
        <f t="shared" si="8"/>
        <v>111</v>
      </c>
      <c r="R28" s="1572" t="s">
        <v>8</v>
      </c>
      <c r="S28" s="1573">
        <f t="shared" ref="S28:S40" si="9">F28</f>
        <v>100</v>
      </c>
      <c r="T28" s="1572" t="s">
        <v>8</v>
      </c>
      <c r="U28" s="1573">
        <f t="shared" ref="U28:U40" si="10">H28</f>
        <v>100</v>
      </c>
      <c r="V28" s="1572" t="s">
        <v>8</v>
      </c>
      <c r="W28" s="1573">
        <f t="shared" ref="W28:W40" si="11">J28</f>
        <v>100</v>
      </c>
      <c r="X28" s="1566"/>
      <c r="Y28" s="3510"/>
      <c r="Z28" s="1574">
        <f t="shared" ref="Z28:Z40" si="12">Q28</f>
        <v>111</v>
      </c>
      <c r="AA28" s="1575">
        <f t="shared" si="3"/>
        <v>1</v>
      </c>
      <c r="AB28" s="1575">
        <f t="shared" si="4"/>
        <v>1</v>
      </c>
      <c r="AC28" s="1575">
        <f t="shared" si="5"/>
        <v>1</v>
      </c>
    </row>
    <row r="29" spans="1:29" ht="15">
      <c r="A29" s="2905" t="s">
        <v>2752</v>
      </c>
      <c r="B29" s="171" t="s">
        <v>780</v>
      </c>
      <c r="C29" s="915"/>
      <c r="D29" s="596">
        <v>100</v>
      </c>
      <c r="E29" s="915"/>
      <c r="F29" s="574">
        <f>SUMIF(88:88,E29,89:89)-SUMIF(88:88,C29,89:89)+100</f>
        <v>100</v>
      </c>
      <c r="G29" s="915"/>
      <c r="H29" s="539">
        <f>SUMIF(88:88,G29,89:89)-SUMIF(88:88,C29,89:89)+100</f>
        <v>100</v>
      </c>
      <c r="I29" s="915"/>
      <c r="J29" s="596">
        <f>SUMIF(88:88,I29,89:89)-SUMIF(88:88,C29,89:89)+100</f>
        <v>100</v>
      </c>
      <c r="K29" s="583"/>
      <c r="L29" s="2140"/>
      <c r="M29" s="2132"/>
      <c r="N29" s="2132"/>
      <c r="O29" s="2139"/>
      <c r="P29" s="3511" t="s">
        <v>550</v>
      </c>
      <c r="Q29" s="1571" t="str">
        <f t="shared" si="8"/>
        <v>建筑类型</v>
      </c>
      <c r="R29" s="1572" t="s">
        <v>8</v>
      </c>
      <c r="S29" s="1573">
        <f t="shared" si="9"/>
        <v>100</v>
      </c>
      <c r="T29" s="1572" t="s">
        <v>8</v>
      </c>
      <c r="U29" s="1573">
        <f t="shared" si="10"/>
        <v>100</v>
      </c>
      <c r="V29" s="1572" t="s">
        <v>8</v>
      </c>
      <c r="W29" s="1573">
        <f t="shared" si="11"/>
        <v>100</v>
      </c>
      <c r="X29" s="1566"/>
      <c r="Y29" s="3512" t="s">
        <v>550</v>
      </c>
      <c r="Z29" s="1574" t="str">
        <f t="shared" si="12"/>
        <v>建筑类型</v>
      </c>
      <c r="AA29" s="1575">
        <f t="shared" si="3"/>
        <v>1</v>
      </c>
      <c r="AB29" s="1575">
        <f t="shared" si="4"/>
        <v>1</v>
      </c>
      <c r="AC29" s="1575">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8"/>
      <c r="M30" s="2169"/>
      <c r="N30" s="2169"/>
      <c r="O30" s="2141"/>
      <c r="P30" s="3512"/>
      <c r="Q30" s="1604" t="str">
        <f t="shared" si="8"/>
        <v>项目建筑规模</v>
      </c>
      <c r="R30" s="1576" t="s">
        <v>8</v>
      </c>
      <c r="S30" s="1577" t="e">
        <f t="shared" si="9"/>
        <v>#N/A</v>
      </c>
      <c r="T30" s="1576" t="s">
        <v>8</v>
      </c>
      <c r="U30" s="1577" t="e">
        <f t="shared" si="10"/>
        <v>#N/A</v>
      </c>
      <c r="V30" s="1576" t="s">
        <v>8</v>
      </c>
      <c r="W30" s="1577" t="e">
        <f t="shared" si="11"/>
        <v>#N/A</v>
      </c>
      <c r="X30" s="1578"/>
      <c r="Y30" s="3512"/>
      <c r="Z30" s="1579" t="str">
        <f t="shared" si="12"/>
        <v>项目建筑规模</v>
      </c>
      <c r="AA30" s="1575" t="e">
        <f t="shared" si="3"/>
        <v>#N/A</v>
      </c>
      <c r="AB30" s="1575" t="e">
        <f t="shared" si="4"/>
        <v>#N/A</v>
      </c>
      <c r="AC30" s="1575"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0"/>
      <c r="M31" s="2132"/>
      <c r="N31" s="2132"/>
      <c r="O31" s="2139"/>
      <c r="P31" s="3512"/>
      <c r="Q31" s="1571" t="str">
        <f t="shared" si="8"/>
        <v>建筑结构</v>
      </c>
      <c r="R31" s="1572" t="s">
        <v>8</v>
      </c>
      <c r="S31" s="1573">
        <f t="shared" si="9"/>
        <v>100</v>
      </c>
      <c r="T31" s="1572" t="s">
        <v>8</v>
      </c>
      <c r="U31" s="1573">
        <f t="shared" si="10"/>
        <v>100</v>
      </c>
      <c r="V31" s="1572" t="s">
        <v>8</v>
      </c>
      <c r="W31" s="1573">
        <f t="shared" si="11"/>
        <v>100</v>
      </c>
      <c r="X31" s="1566"/>
      <c r="Y31" s="3512"/>
      <c r="Z31" s="1574" t="str">
        <f t="shared" si="12"/>
        <v>建筑结构</v>
      </c>
      <c r="AA31" s="1575">
        <f t="shared" si="3"/>
        <v>1</v>
      </c>
      <c r="AB31" s="1575">
        <f t="shared" si="4"/>
        <v>1</v>
      </c>
      <c r="AC31" s="1575">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0"/>
      <c r="M32" s="2132"/>
      <c r="N32" s="2132"/>
      <c r="O32" s="2139"/>
      <c r="P32" s="3512"/>
      <c r="Q32" s="1571" t="str">
        <f t="shared" si="8"/>
        <v>公共部分装修</v>
      </c>
      <c r="R32" s="1572" t="s">
        <v>8</v>
      </c>
      <c r="S32" s="1573">
        <f t="shared" si="9"/>
        <v>100</v>
      </c>
      <c r="T32" s="1572" t="s">
        <v>8</v>
      </c>
      <c r="U32" s="1573">
        <f t="shared" si="10"/>
        <v>100</v>
      </c>
      <c r="V32" s="1572" t="s">
        <v>8</v>
      </c>
      <c r="W32" s="1573">
        <f t="shared" si="11"/>
        <v>100</v>
      </c>
      <c r="X32" s="1566"/>
      <c r="Y32" s="3512"/>
      <c r="Z32" s="1574" t="str">
        <f t="shared" si="12"/>
        <v>公共部分装修</v>
      </c>
      <c r="AA32" s="1575">
        <f t="shared" si="3"/>
        <v>1</v>
      </c>
      <c r="AB32" s="1575">
        <f t="shared" si="4"/>
        <v>1</v>
      </c>
      <c r="AC32" s="1575">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0"/>
      <c r="M33" s="2132"/>
      <c r="N33" s="2132"/>
      <c r="O33" s="2139"/>
      <c r="P33" s="3512"/>
      <c r="Q33" s="1571" t="str">
        <f t="shared" si="8"/>
        <v>成新度</v>
      </c>
      <c r="R33" s="1572" t="s">
        <v>8</v>
      </c>
      <c r="S33" s="1573" t="e">
        <f t="shared" si="9"/>
        <v>#N/A</v>
      </c>
      <c r="T33" s="1572" t="s">
        <v>8</v>
      </c>
      <c r="U33" s="1573" t="e">
        <f t="shared" si="10"/>
        <v>#N/A</v>
      </c>
      <c r="V33" s="1572" t="s">
        <v>8</v>
      </c>
      <c r="W33" s="1573" t="e">
        <f t="shared" si="11"/>
        <v>#N/A</v>
      </c>
      <c r="X33" s="1566"/>
      <c r="Y33" s="3512"/>
      <c r="Z33" s="1574" t="str">
        <f t="shared" si="12"/>
        <v>成新度</v>
      </c>
      <c r="AA33" s="1575" t="e">
        <f t="shared" si="3"/>
        <v>#N/A</v>
      </c>
      <c r="AB33" s="1575" t="e">
        <f t="shared" si="4"/>
        <v>#N/A</v>
      </c>
      <c r="AC33" s="1575"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3"/>
      <c r="M34" s="2134"/>
      <c r="N34" s="2134"/>
      <c r="O34" s="2135"/>
      <c r="P34" s="3512"/>
      <c r="Q34" s="1150" t="str">
        <f t="shared" si="8"/>
        <v>物业管理</v>
      </c>
      <c r="R34" s="1567" t="s">
        <v>8</v>
      </c>
      <c r="S34" s="1568">
        <f t="shared" si="9"/>
        <v>100</v>
      </c>
      <c r="T34" s="1567" t="s">
        <v>8</v>
      </c>
      <c r="U34" s="1568">
        <f t="shared" si="10"/>
        <v>100</v>
      </c>
      <c r="V34" s="1567" t="s">
        <v>8</v>
      </c>
      <c r="W34" s="1568">
        <f t="shared" si="11"/>
        <v>100</v>
      </c>
      <c r="X34" s="1569"/>
      <c r="Y34" s="3512"/>
      <c r="Z34" s="1149" t="str">
        <f t="shared" si="12"/>
        <v>物业管理</v>
      </c>
      <c r="AA34" s="1570">
        <f t="shared" si="3"/>
        <v>1</v>
      </c>
      <c r="AB34" s="1570">
        <f t="shared" si="4"/>
        <v>1</v>
      </c>
      <c r="AC34" s="1570">
        <f t="shared" si="5"/>
        <v>1</v>
      </c>
    </row>
    <row r="35" spans="1:29" ht="15">
      <c r="A35" s="593"/>
      <c r="B35" s="1893" t="s">
        <v>2563</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0"/>
      <c r="M35" s="2132"/>
      <c r="N35" s="2132"/>
      <c r="O35" s="2139"/>
      <c r="P35" s="3512" t="s">
        <v>550</v>
      </c>
      <c r="Q35" s="1571" t="str">
        <f t="shared" si="8"/>
        <v>市政基础设施</v>
      </c>
      <c r="R35" s="1572" t="s">
        <v>8</v>
      </c>
      <c r="S35" s="1573">
        <f t="shared" si="9"/>
        <v>100</v>
      </c>
      <c r="T35" s="1572" t="s">
        <v>8</v>
      </c>
      <c r="U35" s="1573">
        <f t="shared" si="10"/>
        <v>100</v>
      </c>
      <c r="V35" s="1572" t="s">
        <v>8</v>
      </c>
      <c r="W35" s="1573">
        <f t="shared" si="11"/>
        <v>100</v>
      </c>
      <c r="X35" s="1566"/>
      <c r="Y35" s="3512" t="s">
        <v>550</v>
      </c>
      <c r="Z35" s="1574" t="str">
        <f t="shared" si="12"/>
        <v>市政基础设施</v>
      </c>
      <c r="AA35" s="1575">
        <f t="shared" si="3"/>
        <v>1</v>
      </c>
      <c r="AB35" s="1575">
        <f t="shared" si="4"/>
        <v>1</v>
      </c>
      <c r="AC35" s="1575">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0"/>
      <c r="M36" s="2132"/>
      <c r="N36" s="2132"/>
      <c r="O36" s="2139"/>
      <c r="P36" s="3512"/>
      <c r="Q36" s="1571" t="str">
        <f t="shared" si="8"/>
        <v>内部装修</v>
      </c>
      <c r="R36" s="1572" t="s">
        <v>8</v>
      </c>
      <c r="S36" s="1573">
        <f t="shared" si="9"/>
        <v>100</v>
      </c>
      <c r="T36" s="1572" t="s">
        <v>8</v>
      </c>
      <c r="U36" s="1573">
        <f t="shared" si="10"/>
        <v>100</v>
      </c>
      <c r="V36" s="1572" t="s">
        <v>8</v>
      </c>
      <c r="W36" s="1573">
        <f t="shared" si="11"/>
        <v>100</v>
      </c>
      <c r="X36" s="1566"/>
      <c r="Y36" s="3512"/>
      <c r="Z36" s="1574" t="str">
        <f t="shared" si="12"/>
        <v>内部装修</v>
      </c>
      <c r="AA36" s="1575">
        <f t="shared" si="3"/>
        <v>1</v>
      </c>
      <c r="AB36" s="1575">
        <f t="shared" si="4"/>
        <v>1</v>
      </c>
      <c r="AC36" s="1575">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0"/>
      <c r="M37" s="2132"/>
      <c r="N37" s="2132"/>
      <c r="O37" s="2139"/>
      <c r="P37" s="3512"/>
      <c r="Q37" s="1571" t="str">
        <f t="shared" si="8"/>
        <v>内部装修状况</v>
      </c>
      <c r="R37" s="1572" t="s">
        <v>8</v>
      </c>
      <c r="S37" s="1573">
        <f t="shared" si="9"/>
        <v>100</v>
      </c>
      <c r="T37" s="1572" t="s">
        <v>8</v>
      </c>
      <c r="U37" s="1573">
        <f t="shared" si="10"/>
        <v>100</v>
      </c>
      <c r="V37" s="1572" t="s">
        <v>8</v>
      </c>
      <c r="W37" s="1573">
        <f t="shared" si="11"/>
        <v>100</v>
      </c>
      <c r="X37" s="1566"/>
      <c r="Y37" s="3512"/>
      <c r="Z37" s="1574" t="str">
        <f t="shared" si="12"/>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8"/>
      <c r="M38" s="2169"/>
      <c r="N38" s="2169"/>
      <c r="O38" s="2141"/>
      <c r="P38" s="3512"/>
      <c r="Q38" s="1604">
        <f t="shared" si="8"/>
        <v>111</v>
      </c>
      <c r="R38" s="1576" t="s">
        <v>8</v>
      </c>
      <c r="S38" s="1577">
        <f t="shared" si="9"/>
        <v>100</v>
      </c>
      <c r="T38" s="1576" t="s">
        <v>8</v>
      </c>
      <c r="U38" s="1577">
        <f t="shared" si="10"/>
        <v>100</v>
      </c>
      <c r="V38" s="1576" t="s">
        <v>8</v>
      </c>
      <c r="W38" s="1577">
        <f t="shared" si="11"/>
        <v>100</v>
      </c>
      <c r="X38" s="1578"/>
      <c r="Y38" s="3512"/>
      <c r="Z38" s="1579">
        <f t="shared" si="12"/>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0"/>
      <c r="M39" s="2132"/>
      <c r="N39" s="2132"/>
      <c r="O39" s="2139"/>
      <c r="P39" s="3512"/>
      <c r="Q39" s="1571">
        <f t="shared" si="8"/>
        <v>111</v>
      </c>
      <c r="R39" s="1572" t="s">
        <v>8</v>
      </c>
      <c r="S39" s="1573">
        <f t="shared" si="9"/>
        <v>100</v>
      </c>
      <c r="T39" s="1572" t="s">
        <v>8</v>
      </c>
      <c r="U39" s="1573">
        <f t="shared" si="10"/>
        <v>100</v>
      </c>
      <c r="V39" s="1572" t="s">
        <v>8</v>
      </c>
      <c r="W39" s="1573">
        <f t="shared" si="11"/>
        <v>100</v>
      </c>
      <c r="X39" s="1566"/>
      <c r="Y39" s="3512"/>
      <c r="Z39" s="1574">
        <f t="shared" si="12"/>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0"/>
      <c r="M40" s="2132"/>
      <c r="N40" s="2132"/>
      <c r="O40" s="2139"/>
      <c r="P40" s="3613"/>
      <c r="Q40" s="1571">
        <f t="shared" si="8"/>
        <v>111</v>
      </c>
      <c r="R40" s="1572" t="s">
        <v>8</v>
      </c>
      <c r="S40" s="1573">
        <f t="shared" si="9"/>
        <v>100</v>
      </c>
      <c r="T40" s="1572" t="s">
        <v>8</v>
      </c>
      <c r="U40" s="1573">
        <f t="shared" si="10"/>
        <v>100</v>
      </c>
      <c r="V40" s="1572" t="s">
        <v>8</v>
      </c>
      <c r="W40" s="1573">
        <f t="shared" si="11"/>
        <v>100</v>
      </c>
      <c r="X40" s="1566"/>
      <c r="Y40" s="3613"/>
      <c r="Z40" s="1574">
        <f t="shared" si="12"/>
        <v>111</v>
      </c>
      <c r="AA40" s="1575">
        <f t="shared" si="3"/>
        <v>1</v>
      </c>
      <c r="AB40" s="1575">
        <f t="shared" si="4"/>
        <v>1</v>
      </c>
      <c r="AC40" s="1575">
        <f t="shared" si="5"/>
        <v>1</v>
      </c>
    </row>
    <row r="41" spans="1:29" ht="15">
      <c r="A41" s="606" t="s">
        <v>736</v>
      </c>
      <c r="B41" s="886"/>
      <c r="C41" s="2625" t="s">
        <v>1</v>
      </c>
      <c r="D41" s="2626"/>
      <c r="E41" s="2627"/>
      <c r="F41" s="2628"/>
      <c r="G41" s="2629"/>
      <c r="H41" s="2630"/>
      <c r="I41" s="2627"/>
      <c r="J41" s="2630"/>
      <c r="K41" s="1610"/>
      <c r="L41" s="2142"/>
      <c r="M41" s="2143"/>
      <c r="N41" s="2132"/>
      <c r="O41" s="2143"/>
      <c r="P41" s="3507" t="str">
        <f>A41</f>
        <v>成交单价（元/平方米）</v>
      </c>
      <c r="Q41" s="3507"/>
      <c r="R41" s="3612">
        <f>E41</f>
        <v>0</v>
      </c>
      <c r="S41" s="3612"/>
      <c r="T41" s="3612">
        <f>G41</f>
        <v>0</v>
      </c>
      <c r="U41" s="3612"/>
      <c r="V41" s="3612">
        <f>I41</f>
        <v>0</v>
      </c>
      <c r="W41" s="3612"/>
      <c r="X41" s="1558"/>
      <c r="Y41" s="1580"/>
      <c r="Z41" s="1558"/>
      <c r="AA41" s="1558"/>
      <c r="AB41" s="1558"/>
      <c r="AC41" s="1558"/>
    </row>
    <row r="42" spans="1:29" ht="15.75" thickBot="1">
      <c r="A42" s="614" t="s">
        <v>2757</v>
      </c>
      <c r="B42" s="887"/>
      <c r="C42" s="2631" t="e">
        <f>R43</f>
        <v>#DIV/0!</v>
      </c>
      <c r="D42" s="2632"/>
      <c r="E42" s="2633" t="e">
        <f>R42</f>
        <v>#DIV/0!</v>
      </c>
      <c r="F42" s="2633"/>
      <c r="G42" s="2631" t="e">
        <f>T42</f>
        <v>#DIV/0!</v>
      </c>
      <c r="H42" s="2632"/>
      <c r="I42" s="2633" t="e">
        <f>V42</f>
        <v>#DIV/0!</v>
      </c>
      <c r="J42" s="2632"/>
      <c r="K42" s="1611"/>
      <c r="L42" s="2142"/>
      <c r="M42" s="2143"/>
      <c r="N42" s="2132"/>
      <c r="O42" s="2143"/>
      <c r="P42" s="3507" t="str">
        <f>A42</f>
        <v>比较价格（元/平方米）</v>
      </c>
      <c r="Q42" s="3507"/>
      <c r="R42" s="3612" t="e">
        <f>IF(F1="售价",ROUND(PRODUCT(R41,AA7:AA40),0),ROUND(PRODUCT(R41,AA7:AA40),1))</f>
        <v>#DIV/0!</v>
      </c>
      <c r="S42" s="3612"/>
      <c r="T42" s="3612" t="e">
        <f>IF(F1="售价",ROUND(PRODUCT(T41,AB7:AB40),0),ROUND(PRODUCT(T41,AB7:AB40),1))</f>
        <v>#DIV/0!</v>
      </c>
      <c r="U42" s="3612"/>
      <c r="V42" s="3612" t="e">
        <f>IF(F1="售价",ROUND(PRODUCT(V41,AC7:AC40),0),ROUND(PRODUCT(V41,AC7:AC40),1))</f>
        <v>#DIV/0!</v>
      </c>
      <c r="W42" s="3612"/>
      <c r="X42" s="1558"/>
      <c r="Y42" s="1558"/>
      <c r="Z42" s="1558"/>
      <c r="AA42" s="1558"/>
      <c r="AB42" s="1558"/>
      <c r="AC42" s="1558"/>
    </row>
    <row r="43" spans="1:29" ht="15.75" thickBot="1">
      <c r="A43" s="620" t="s">
        <v>2921</v>
      </c>
      <c r="B43" s="621"/>
      <c r="C43" s="2634" t="e">
        <f>R43</f>
        <v>#DIV/0!</v>
      </c>
      <c r="D43" s="2634"/>
      <c r="E43" s="2634"/>
      <c r="F43" s="2634"/>
      <c r="G43" s="2634"/>
      <c r="H43" s="2634"/>
      <c r="I43" s="2634"/>
      <c r="J43" s="2634"/>
      <c r="K43" s="1612"/>
      <c r="L43" s="2142"/>
      <c r="M43" s="2143"/>
      <c r="N43" s="2143"/>
      <c r="O43" s="2143"/>
      <c r="P43" s="3528" t="str">
        <f>A43</f>
        <v>估价对象XX用房的比较价格（楼面单价，元/平方米）</v>
      </c>
      <c r="Q43" s="3529"/>
      <c r="R43" s="3611" t="e">
        <f>IF(F1="售价",ROUND(AVERAGE(R42:V42),0),ROUND(AVERAGE(R42:V42),1))</f>
        <v>#DIV/0!</v>
      </c>
      <c r="S43" s="3611"/>
      <c r="T43" s="3611"/>
      <c r="U43" s="3611"/>
      <c r="V43" s="3611"/>
      <c r="W43" s="3611"/>
      <c r="X43" s="1558"/>
      <c r="Y43" s="1558"/>
      <c r="Z43" s="1558"/>
      <c r="AA43" s="1558"/>
      <c r="AB43" s="1558"/>
      <c r="AC43" s="1558"/>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4" customFormat="1" ht="13.5" customHeight="1">
      <c r="A48" s="2144"/>
      <c r="B48" s="2144"/>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4"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3" t="s">
        <v>574</v>
      </c>
      <c r="B51" s="1558"/>
      <c r="C51" s="1582"/>
      <c r="D51" s="1582"/>
      <c r="E51" s="1582"/>
      <c r="F51" s="1584"/>
      <c r="G51" s="1584"/>
      <c r="H51" s="1582"/>
      <c r="I51" s="1582"/>
      <c r="J51" s="1582"/>
      <c r="K51" s="1585"/>
      <c r="L51" s="1581"/>
      <c r="M51" s="1582"/>
      <c r="N51" s="1582"/>
      <c r="O51" s="1582"/>
      <c r="P51" s="2155"/>
      <c r="Q51" s="2156"/>
      <c r="R51" s="2143"/>
      <c r="S51" s="2143"/>
      <c r="T51" s="2143"/>
      <c r="U51" s="2143"/>
      <c r="V51" s="2143"/>
      <c r="W51" s="2143"/>
      <c r="X51" s="2143"/>
      <c r="Y51" s="2143"/>
      <c r="Z51" s="2143"/>
      <c r="AA51" s="2143"/>
      <c r="AB51" s="2143"/>
      <c r="AC51" s="2143"/>
    </row>
    <row r="52" spans="1:29" s="1346" customFormat="1" ht="15">
      <c r="A52" s="644" t="s">
        <v>529</v>
      </c>
      <c r="B52" s="645"/>
      <c r="C52" s="2800" t="str">
        <f>YEAR(C7)&amp;"-"&amp;MONTH(C7)</f>
        <v>2018-12</v>
      </c>
      <c r="D52" s="2802">
        <f>EDATE(C52,-1)</f>
        <v>43405</v>
      </c>
      <c r="E52" s="2802">
        <f t="shared" ref="E52:O52" si="13">EDATE(D52,-1)</f>
        <v>43374</v>
      </c>
      <c r="F52" s="2802">
        <f t="shared" si="13"/>
        <v>43344</v>
      </c>
      <c r="G52" s="2802">
        <f t="shared" si="13"/>
        <v>43313</v>
      </c>
      <c r="H52" s="2802">
        <f t="shared" si="13"/>
        <v>43282</v>
      </c>
      <c r="I52" s="2802">
        <f t="shared" si="13"/>
        <v>43252</v>
      </c>
      <c r="J52" s="2802">
        <f t="shared" si="13"/>
        <v>43221</v>
      </c>
      <c r="K52" s="2802">
        <f t="shared" si="13"/>
        <v>43191</v>
      </c>
      <c r="L52" s="2802">
        <f t="shared" si="13"/>
        <v>43160</v>
      </c>
      <c r="M52" s="2802">
        <f t="shared" si="13"/>
        <v>43132</v>
      </c>
      <c r="N52" s="2802">
        <f t="shared" si="13"/>
        <v>43101</v>
      </c>
      <c r="O52" s="2802">
        <f t="shared" si="13"/>
        <v>43070</v>
      </c>
      <c r="P52" s="2158"/>
      <c r="Q52" s="2159"/>
      <c r="R52" s="2159"/>
      <c r="S52" s="2159"/>
      <c r="T52" s="2159"/>
      <c r="U52" s="2159"/>
      <c r="V52" s="2159"/>
      <c r="W52" s="2159"/>
      <c r="X52" s="2159"/>
      <c r="Y52" s="2159"/>
      <c r="Z52" s="2159"/>
      <c r="AA52" s="2159"/>
      <c r="AB52" s="2159"/>
      <c r="AC52" s="2159"/>
    </row>
    <row r="53" spans="1:29" s="1219" customFormat="1" ht="15">
      <c r="A53" s="646"/>
      <c r="B53" s="647"/>
      <c r="C53" s="648">
        <v>100</v>
      </c>
      <c r="D53" s="649"/>
      <c r="E53" s="649"/>
      <c r="F53" s="649"/>
      <c r="G53" s="649"/>
      <c r="H53" s="649"/>
      <c r="I53" s="649"/>
      <c r="J53" s="649"/>
      <c r="K53" s="649"/>
      <c r="L53" s="649"/>
      <c r="M53" s="650"/>
      <c r="N53" s="649"/>
      <c r="O53" s="651"/>
      <c r="P53" s="2156"/>
      <c r="Q53" s="1991"/>
      <c r="R53" s="1991"/>
      <c r="S53" s="1991"/>
      <c r="T53" s="1991"/>
      <c r="U53" s="1991"/>
      <c r="V53" s="1991"/>
      <c r="W53" s="1991"/>
      <c r="X53" s="1991"/>
      <c r="Y53" s="1991"/>
      <c r="Z53" s="1991"/>
      <c r="AA53" s="1991"/>
      <c r="AB53" s="1991"/>
      <c r="AC53" s="1991"/>
    </row>
    <row r="54" spans="1:29" s="1219" customFormat="1" ht="15.75" thickBot="1">
      <c r="A54" s="652" t="s">
        <v>575</v>
      </c>
      <c r="B54" s="653"/>
      <c r="C54" s="654"/>
      <c r="D54" s="655"/>
      <c r="E54" s="655"/>
      <c r="F54" s="655"/>
      <c r="G54" s="655"/>
      <c r="H54" s="655"/>
      <c r="I54" s="655"/>
      <c r="J54" s="655"/>
      <c r="K54" s="655"/>
      <c r="L54" s="655"/>
      <c r="M54" s="656"/>
      <c r="N54" s="655"/>
      <c r="O54" s="657"/>
      <c r="P54" s="2156"/>
      <c r="Q54" s="2156"/>
      <c r="R54" s="1991"/>
      <c r="S54" s="1991"/>
      <c r="T54" s="1991"/>
      <c r="U54" s="1991"/>
      <c r="V54" s="1991"/>
      <c r="W54" s="1991"/>
      <c r="X54" s="1991"/>
      <c r="Y54" s="1991"/>
      <c r="Z54" s="1991"/>
      <c r="AA54" s="1991"/>
      <c r="AB54" s="1991"/>
      <c r="AC54" s="1991"/>
    </row>
    <row r="55" spans="1:29" s="1219" customFormat="1" ht="15">
      <c r="A55" s="658" t="s">
        <v>531</v>
      </c>
      <c r="B55" s="647"/>
      <c r="C55" s="659" t="s">
        <v>576</v>
      </c>
      <c r="D55" s="660"/>
      <c r="E55" s="660"/>
      <c r="F55" s="660"/>
      <c r="G55" s="660"/>
      <c r="H55" s="660"/>
      <c r="I55" s="660"/>
      <c r="J55" s="660"/>
      <c r="K55" s="660"/>
      <c r="L55" s="661"/>
      <c r="M55" s="662"/>
      <c r="N55" s="2160"/>
      <c r="O55" s="2160"/>
      <c r="P55" s="2161"/>
      <c r="Q55" s="2156"/>
      <c r="R55" s="1991"/>
      <c r="S55" s="1991"/>
      <c r="T55" s="1991"/>
      <c r="U55" s="1991"/>
      <c r="V55" s="1991"/>
      <c r="W55" s="1991"/>
      <c r="X55" s="1991"/>
      <c r="Y55" s="1991"/>
      <c r="Z55" s="1991"/>
      <c r="AA55" s="1991"/>
      <c r="AB55" s="1991"/>
      <c r="AC55" s="1991"/>
    </row>
    <row r="56" spans="1:29" s="1219" customFormat="1" ht="15.75" thickBot="1">
      <c r="A56" s="658"/>
      <c r="B56" s="647"/>
      <c r="C56" s="648">
        <v>100</v>
      </c>
      <c r="D56" s="649"/>
      <c r="E56" s="649"/>
      <c r="F56" s="649"/>
      <c r="G56" s="649"/>
      <c r="H56" s="649"/>
      <c r="I56" s="649"/>
      <c r="J56" s="649"/>
      <c r="K56" s="649"/>
      <c r="L56" s="649"/>
      <c r="M56" s="651"/>
      <c r="N56" s="2160"/>
      <c r="O56" s="2160"/>
      <c r="P56" s="2156"/>
      <c r="Q56" s="2156"/>
      <c r="R56" s="1991"/>
      <c r="S56" s="1991"/>
      <c r="T56" s="1991"/>
      <c r="U56" s="1991"/>
      <c r="V56" s="1991"/>
      <c r="W56" s="1991"/>
      <c r="X56" s="1991"/>
      <c r="Y56" s="1991"/>
      <c r="Z56" s="1991"/>
      <c r="AA56" s="1991"/>
      <c r="AB56" s="1991"/>
      <c r="AC56" s="1991"/>
    </row>
    <row r="57" spans="1:29">
      <c r="A57" s="663" t="s">
        <v>577</v>
      </c>
      <c r="B57" s="664" t="s">
        <v>534</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75" thickTop="1">
      <c r="A61" s="668"/>
      <c r="B61" s="680" t="s">
        <v>538</v>
      </c>
      <c r="C61" s="681" t="str">
        <f>C62&amp;"（含）"&amp;"-"&amp;D62</f>
        <v>（含）-</v>
      </c>
      <c r="D61" s="681" t="str">
        <f t="shared" ref="D61:L61" si="14">D62&amp;"（含）"&amp;"-"&amp;E62</f>
        <v>（含）-</v>
      </c>
      <c r="E61" s="681" t="str">
        <f t="shared" si="14"/>
        <v>（含）-</v>
      </c>
      <c r="F61" s="681" t="str">
        <f t="shared" si="14"/>
        <v>（含）-</v>
      </c>
      <c r="G61" s="681" t="str">
        <f t="shared" si="14"/>
        <v>（含）-</v>
      </c>
      <c r="H61" s="681" t="str">
        <f t="shared" si="14"/>
        <v>（含）-</v>
      </c>
      <c r="I61" s="681" t="str">
        <f t="shared" si="14"/>
        <v>（含）-</v>
      </c>
      <c r="J61" s="681" t="str">
        <f t="shared" si="14"/>
        <v>（含）-</v>
      </c>
      <c r="K61" s="681" t="str">
        <f t="shared" si="14"/>
        <v>（含）-</v>
      </c>
      <c r="L61" s="681" t="str">
        <f t="shared" si="14"/>
        <v>（含）-</v>
      </c>
      <c r="M61" s="554"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8"/>
      <c r="B62" s="682"/>
      <c r="C62" s="540"/>
      <c r="D62" s="540"/>
      <c r="E62" s="540"/>
      <c r="F62" s="540"/>
      <c r="G62" s="540"/>
      <c r="H62" s="540"/>
      <c r="I62" s="540"/>
      <c r="J62" s="540"/>
      <c r="K62" s="683"/>
      <c r="L62" s="684"/>
      <c r="M62" s="685"/>
      <c r="N62" s="2162"/>
      <c r="O62" s="2162"/>
      <c r="P62" s="2163"/>
      <c r="Q62" s="2156"/>
      <c r="R62" s="2143"/>
      <c r="S62" s="2143"/>
      <c r="T62" s="2143"/>
      <c r="U62" s="2143"/>
      <c r="V62" s="2143"/>
      <c r="W62" s="2143"/>
      <c r="X62" s="2143"/>
      <c r="Y62" s="2143"/>
      <c r="Z62" s="2143"/>
      <c r="AA62" s="2143"/>
      <c r="AB62" s="2143"/>
      <c r="AC62" s="2143"/>
    </row>
    <row r="63" spans="1:29" ht="15.75" thickBot="1">
      <c r="A63" s="668"/>
      <c r="B63" s="669"/>
      <c r="C63" s="678">
        <v>100</v>
      </c>
      <c r="D63" s="678">
        <f t="shared" ref="D63:M63" si="15">C63-$K11</f>
        <v>100</v>
      </c>
      <c r="E63" s="678">
        <f t="shared" si="15"/>
        <v>100</v>
      </c>
      <c r="F63" s="678">
        <f t="shared" si="15"/>
        <v>100</v>
      </c>
      <c r="G63" s="678">
        <f t="shared" si="15"/>
        <v>100</v>
      </c>
      <c r="H63" s="678">
        <f t="shared" si="15"/>
        <v>100</v>
      </c>
      <c r="I63" s="678">
        <f t="shared" si="15"/>
        <v>100</v>
      </c>
      <c r="J63" s="678">
        <f t="shared" si="15"/>
        <v>100</v>
      </c>
      <c r="K63" s="678">
        <f t="shared" si="15"/>
        <v>100</v>
      </c>
      <c r="L63" s="678">
        <f t="shared" si="15"/>
        <v>100</v>
      </c>
      <c r="M63" s="679">
        <f t="shared" si="15"/>
        <v>100</v>
      </c>
      <c r="N63" s="2164"/>
      <c r="O63" s="2164"/>
      <c r="P63" s="2163"/>
      <c r="Q63" s="2156"/>
      <c r="R63" s="2143"/>
      <c r="S63" s="2143"/>
      <c r="T63" s="2143"/>
      <c r="U63" s="2143"/>
      <c r="V63" s="2143"/>
      <c r="W63" s="2143"/>
      <c r="X63" s="2143"/>
      <c r="Y63" s="2143"/>
      <c r="Z63" s="2143"/>
      <c r="AA63" s="2143"/>
      <c r="AB63" s="2143"/>
      <c r="AC63" s="2143"/>
    </row>
    <row r="64" spans="1:29" s="1338" customFormat="1" ht="15.75"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8" customFormat="1" ht="15.75"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8" customFormat="1" ht="15.75"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8" customFormat="1" ht="15.75"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8" customFormat="1" ht="15.75"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8" customFormat="1" ht="15.75"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c r="A70" s="663" t="s">
        <v>539</v>
      </c>
      <c r="B70" s="664" t="s">
        <v>585</v>
      </c>
      <c r="C70" s="702" t="s">
        <v>579</v>
      </c>
      <c r="D70" s="702" t="s">
        <v>580</v>
      </c>
      <c r="E70" s="702" t="s">
        <v>581</v>
      </c>
      <c r="F70" s="702" t="s">
        <v>582</v>
      </c>
      <c r="G70" s="702" t="s">
        <v>583</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75" thickTop="1">
      <c r="A72" s="668"/>
      <c r="B72" s="672" t="s">
        <v>586</v>
      </c>
      <c r="C72" s="707" t="s">
        <v>579</v>
      </c>
      <c r="D72" s="707" t="s">
        <v>580</v>
      </c>
      <c r="E72" s="707" t="s">
        <v>581</v>
      </c>
      <c r="F72" s="707" t="s">
        <v>582</v>
      </c>
      <c r="G72" s="707" t="s">
        <v>583</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75" thickTop="1">
      <c r="A74" s="668"/>
      <c r="B74" s="1894" t="s">
        <v>2555</v>
      </c>
      <c r="C74" s="707" t="s">
        <v>579</v>
      </c>
      <c r="D74" s="707" t="s">
        <v>580</v>
      </c>
      <c r="E74" s="707" t="s">
        <v>581</v>
      </c>
      <c r="F74" s="707" t="s">
        <v>582</v>
      </c>
      <c r="G74" s="707" t="s">
        <v>583</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2595" t="s">
        <v>2556</v>
      </c>
      <c r="C76" s="2596" t="s">
        <v>2557</v>
      </c>
      <c r="D76" s="2596" t="s">
        <v>2558</v>
      </c>
      <c r="E76" s="2596" t="s">
        <v>2559</v>
      </c>
      <c r="F76" s="2596" t="s">
        <v>2560</v>
      </c>
      <c r="G76" s="2596" t="s">
        <v>2561</v>
      </c>
      <c r="H76" s="934"/>
      <c r="I76" s="934"/>
      <c r="J76" s="934"/>
      <c r="K76" s="934"/>
      <c r="L76" s="934"/>
      <c r="M76" s="558"/>
      <c r="N76" s="2164"/>
      <c r="O76" s="2164"/>
      <c r="P76" s="2163"/>
      <c r="Q76" s="2156"/>
      <c r="R76" s="2143"/>
      <c r="S76" s="2143"/>
      <c r="T76" s="2143"/>
      <c r="U76" s="2143"/>
      <c r="V76" s="2143"/>
      <c r="W76" s="2143"/>
      <c r="X76" s="2143"/>
      <c r="Y76" s="2143"/>
      <c r="Z76" s="2143"/>
      <c r="AA76" s="2143"/>
      <c r="AB76" s="2143"/>
      <c r="AC76" s="214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784</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9" customFormat="1" ht="15.75" thickTop="1">
      <c r="A80" s="708"/>
      <c r="B80" s="672">
        <f>B25</f>
        <v>111</v>
      </c>
      <c r="C80" s="687"/>
      <c r="D80" s="687"/>
      <c r="E80" s="687"/>
      <c r="F80" s="687"/>
      <c r="G80" s="687"/>
      <c r="H80" s="687"/>
      <c r="I80" s="687"/>
      <c r="J80" s="687"/>
      <c r="K80" s="687"/>
      <c r="L80" s="889"/>
      <c r="M80" s="890"/>
      <c r="N80" s="2160"/>
      <c r="O80" s="2160"/>
      <c r="P80" s="2163"/>
      <c r="Q80" s="2156"/>
      <c r="R80" s="1991"/>
      <c r="S80" s="1991"/>
      <c r="T80" s="1991"/>
      <c r="U80" s="1991"/>
      <c r="V80" s="1991"/>
      <c r="W80" s="1991"/>
      <c r="X80" s="1991"/>
      <c r="Y80" s="1991"/>
      <c r="Z80" s="1991"/>
      <c r="AA80" s="1991"/>
      <c r="AB80" s="1991"/>
      <c r="AC80" s="1991"/>
    </row>
    <row r="81" spans="1:29" s="1219" customFormat="1" ht="15.75" thickBot="1">
      <c r="A81" s="708"/>
      <c r="B81" s="677"/>
      <c r="C81" s="691"/>
      <c r="D81" s="670"/>
      <c r="E81" s="670"/>
      <c r="F81" s="670"/>
      <c r="G81" s="670"/>
      <c r="H81" s="670"/>
      <c r="I81" s="670"/>
      <c r="J81" s="670"/>
      <c r="K81" s="670"/>
      <c r="L81" s="670"/>
      <c r="M81" s="671"/>
      <c r="N81" s="2164"/>
      <c r="O81" s="2164"/>
      <c r="P81" s="2163"/>
      <c r="Q81" s="2156"/>
      <c r="R81" s="1991"/>
      <c r="S81" s="1991"/>
      <c r="T81" s="1991"/>
      <c r="U81" s="1991"/>
      <c r="V81" s="1991"/>
      <c r="W81" s="1991"/>
      <c r="X81" s="1991"/>
      <c r="Y81" s="1991"/>
      <c r="Z81" s="1991"/>
      <c r="AA81" s="1991"/>
      <c r="AB81" s="1991"/>
      <c r="AC81" s="1991"/>
    </row>
    <row r="82" spans="1:29" s="1219" customFormat="1" ht="15.75" thickTop="1">
      <c r="A82" s="708"/>
      <c r="B82" s="672">
        <f>B26</f>
        <v>111</v>
      </c>
      <c r="C82" s="687"/>
      <c r="D82" s="687"/>
      <c r="E82" s="687"/>
      <c r="F82" s="687"/>
      <c r="G82" s="687"/>
      <c r="H82" s="687"/>
      <c r="I82" s="687"/>
      <c r="J82" s="687"/>
      <c r="K82" s="687"/>
      <c r="L82" s="889"/>
      <c r="M82" s="890"/>
      <c r="N82" s="2160"/>
      <c r="O82" s="2160"/>
      <c r="P82" s="2163"/>
      <c r="Q82" s="2156"/>
      <c r="R82" s="1991"/>
      <c r="S82" s="1991"/>
      <c r="T82" s="1991"/>
      <c r="U82" s="1991"/>
      <c r="V82" s="1991"/>
      <c r="W82" s="1991"/>
      <c r="X82" s="1991"/>
      <c r="Y82" s="1991"/>
      <c r="Z82" s="1991"/>
      <c r="AA82" s="1991"/>
      <c r="AB82" s="1991"/>
      <c r="AC82" s="1991"/>
    </row>
    <row r="83" spans="1:29" s="1219" customFormat="1" ht="15.75" thickBot="1">
      <c r="A83" s="708"/>
      <c r="B83" s="677"/>
      <c r="C83" s="691"/>
      <c r="D83" s="670"/>
      <c r="E83" s="670"/>
      <c r="F83" s="670"/>
      <c r="G83" s="670"/>
      <c r="H83" s="670"/>
      <c r="I83" s="670"/>
      <c r="J83" s="670"/>
      <c r="K83" s="670"/>
      <c r="L83" s="670"/>
      <c r="M83" s="671"/>
      <c r="N83" s="2164"/>
      <c r="O83" s="2164"/>
      <c r="P83" s="2163"/>
      <c r="Q83" s="2156"/>
      <c r="R83" s="1991"/>
      <c r="S83" s="1991"/>
      <c r="T83" s="1991"/>
      <c r="U83" s="1991"/>
      <c r="V83" s="1991"/>
      <c r="W83" s="1991"/>
      <c r="X83" s="1991"/>
      <c r="Y83" s="1991"/>
      <c r="Z83" s="1991"/>
      <c r="AA83" s="1991"/>
      <c r="AB83" s="1991"/>
      <c r="AC83" s="1991"/>
    </row>
    <row r="84" spans="1:29" s="1338" customFormat="1" ht="15.75" thickTop="1">
      <c r="A84" s="686"/>
      <c r="B84" s="672">
        <f>B27</f>
        <v>111</v>
      </c>
      <c r="C84" s="687"/>
      <c r="D84" s="687"/>
      <c r="E84" s="687"/>
      <c r="F84" s="687"/>
      <c r="G84" s="687"/>
      <c r="H84" s="687"/>
      <c r="I84" s="687"/>
      <c r="J84" s="687"/>
      <c r="K84" s="687"/>
      <c r="L84" s="889"/>
      <c r="M84" s="8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5.75"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5.75" thickBot="1">
      <c r="A87" s="892"/>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c r="A88" s="663" t="s">
        <v>551</v>
      </c>
      <c r="B88" s="664" t="s">
        <v>747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678">
        <v>100</v>
      </c>
      <c r="D89" s="678">
        <f t="shared" ref="D89:M89" si="16">C89-$K29</f>
        <v>100</v>
      </c>
      <c r="E89" s="678">
        <f t="shared" si="16"/>
        <v>100</v>
      </c>
      <c r="F89" s="678">
        <f t="shared" si="16"/>
        <v>100</v>
      </c>
      <c r="G89" s="678">
        <f t="shared" si="16"/>
        <v>100</v>
      </c>
      <c r="H89" s="678">
        <f t="shared" si="16"/>
        <v>100</v>
      </c>
      <c r="I89" s="678">
        <f t="shared" si="16"/>
        <v>100</v>
      </c>
      <c r="J89" s="678">
        <f t="shared" si="16"/>
        <v>100</v>
      </c>
      <c r="K89" s="678">
        <f t="shared" si="16"/>
        <v>100</v>
      </c>
      <c r="L89" s="678">
        <f t="shared" si="16"/>
        <v>100</v>
      </c>
      <c r="M89" s="679">
        <f t="shared" si="16"/>
        <v>100</v>
      </c>
      <c r="N89" s="2164"/>
      <c r="O89" s="2164"/>
      <c r="P89" s="2163"/>
      <c r="Q89" s="2156"/>
      <c r="R89" s="2143"/>
      <c r="S89" s="2143"/>
      <c r="T89" s="2143"/>
      <c r="U89" s="2143"/>
      <c r="V89" s="2143"/>
      <c r="W89" s="2143"/>
      <c r="X89" s="2143"/>
      <c r="Y89" s="2143"/>
      <c r="Z89" s="2143"/>
      <c r="AA89" s="2143"/>
      <c r="AB89" s="2143"/>
      <c r="AC89" s="2143"/>
    </row>
    <row r="90" spans="1:29" ht="15.75" thickTop="1">
      <c r="A90" s="668"/>
      <c r="B90" s="672" t="s">
        <v>748</v>
      </c>
      <c r="C90" s="707" t="str">
        <f>C91&amp;"(含)"&amp;"-"&amp;D91</f>
        <v>(含)-</v>
      </c>
      <c r="D90" s="707" t="str">
        <f t="shared" ref="D90:L90" si="17">D91&amp;"(含)"&amp;"-"&amp;E91</f>
        <v>(含)-</v>
      </c>
      <c r="E90" s="707" t="str">
        <f t="shared" si="17"/>
        <v>(含)-</v>
      </c>
      <c r="F90" s="707" t="str">
        <f t="shared" si="17"/>
        <v>(含)-</v>
      </c>
      <c r="G90" s="707" t="str">
        <f t="shared" si="17"/>
        <v>(含)-</v>
      </c>
      <c r="H90" s="707" t="str">
        <f t="shared" si="17"/>
        <v>(含)-</v>
      </c>
      <c r="I90" s="707" t="str">
        <f t="shared" si="17"/>
        <v>(含)-</v>
      </c>
      <c r="J90" s="707" t="str">
        <f t="shared" si="17"/>
        <v>(含)-</v>
      </c>
      <c r="K90" s="707" t="str">
        <f t="shared" si="17"/>
        <v>(含)-</v>
      </c>
      <c r="L90" s="707" t="str">
        <f t="shared" si="17"/>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8"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749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18">C94-$K31</f>
        <v>100</v>
      </c>
      <c r="E94" s="678">
        <f t="shared" si="18"/>
        <v>100</v>
      </c>
      <c r="F94" s="678">
        <f t="shared" si="18"/>
        <v>100</v>
      </c>
      <c r="G94" s="678">
        <f t="shared" si="18"/>
        <v>100</v>
      </c>
      <c r="H94" s="678">
        <f t="shared" si="18"/>
        <v>100</v>
      </c>
      <c r="I94" s="678">
        <f t="shared" si="18"/>
        <v>100</v>
      </c>
      <c r="J94" s="678">
        <f t="shared" si="18"/>
        <v>100</v>
      </c>
      <c r="K94" s="678">
        <f t="shared" si="18"/>
        <v>100</v>
      </c>
      <c r="L94" s="678">
        <f t="shared" si="18"/>
        <v>100</v>
      </c>
      <c r="M94" s="679">
        <f t="shared" si="18"/>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751</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 t="shared" ref="D96:M96" si="19">C96-$K32</f>
        <v>100</v>
      </c>
      <c r="E96" s="678">
        <f t="shared" si="19"/>
        <v>100</v>
      </c>
      <c r="F96" s="678">
        <f t="shared" si="19"/>
        <v>100</v>
      </c>
      <c r="G96" s="678">
        <f t="shared" si="19"/>
        <v>100</v>
      </c>
      <c r="H96" s="678">
        <f t="shared" si="19"/>
        <v>100</v>
      </c>
      <c r="I96" s="678">
        <f t="shared" si="19"/>
        <v>100</v>
      </c>
      <c r="J96" s="678">
        <f t="shared" si="19"/>
        <v>100</v>
      </c>
      <c r="K96" s="678">
        <f t="shared" si="19"/>
        <v>100</v>
      </c>
      <c r="L96" s="678">
        <f t="shared" si="19"/>
        <v>100</v>
      </c>
      <c r="M96" s="679">
        <f t="shared" si="19"/>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3">
        <v>0.5</v>
      </c>
      <c r="D98" s="893">
        <v>0.6</v>
      </c>
      <c r="E98" s="893">
        <v>0.7</v>
      </c>
      <c r="F98" s="893">
        <v>0.8</v>
      </c>
      <c r="G98" s="893">
        <v>0.9</v>
      </c>
      <c r="H98" s="893">
        <v>1.0001</v>
      </c>
      <c r="I98" s="904"/>
      <c r="J98" s="904"/>
      <c r="K98" s="905"/>
      <c r="L98" s="906"/>
      <c r="M98" s="907"/>
      <c r="N98" s="2162"/>
      <c r="O98" s="2162"/>
      <c r="P98" s="2163"/>
      <c r="Q98" s="2156"/>
      <c r="R98" s="2143"/>
      <c r="S98" s="2143"/>
      <c r="T98" s="2143"/>
      <c r="U98" s="2143"/>
      <c r="V98" s="2143"/>
      <c r="W98" s="2143"/>
      <c r="X98" s="2143"/>
      <c r="Y98" s="2143"/>
      <c r="Z98" s="2143"/>
      <c r="AA98" s="2143"/>
      <c r="AB98" s="2143"/>
      <c r="AC98" s="2143"/>
    </row>
    <row r="99" spans="1:29" ht="15.75" thickBot="1">
      <c r="A99" s="668"/>
      <c r="B99" s="677"/>
      <c r="C99" s="711">
        <v>100</v>
      </c>
      <c r="D99" s="678">
        <f>C99+$K33</f>
        <v>100</v>
      </c>
      <c r="E99" s="678">
        <f t="shared" ref="E99:M99" si="20">D99+$K33</f>
        <v>100</v>
      </c>
      <c r="F99" s="678">
        <f t="shared" si="20"/>
        <v>100</v>
      </c>
      <c r="G99" s="678">
        <f t="shared" si="20"/>
        <v>100</v>
      </c>
      <c r="H99" s="678">
        <f t="shared" si="20"/>
        <v>100</v>
      </c>
      <c r="I99" s="678">
        <f t="shared" si="20"/>
        <v>100</v>
      </c>
      <c r="J99" s="678">
        <f t="shared" si="20"/>
        <v>100</v>
      </c>
      <c r="K99" s="678">
        <f t="shared" si="20"/>
        <v>100</v>
      </c>
      <c r="L99" s="678">
        <f t="shared" si="20"/>
        <v>100</v>
      </c>
      <c r="M99" s="678">
        <f t="shared" si="20"/>
        <v>100</v>
      </c>
      <c r="N99" s="2164"/>
      <c r="O99" s="2164"/>
      <c r="P99" s="2163"/>
      <c r="Q99" s="2156"/>
      <c r="R99" s="2143"/>
      <c r="S99" s="2143"/>
      <c r="T99" s="2143"/>
      <c r="U99" s="2143"/>
      <c r="V99" s="2143"/>
      <c r="W99" s="2143"/>
      <c r="X99" s="2143"/>
      <c r="Y99" s="2143"/>
      <c r="Z99" s="2143"/>
      <c r="AA99" s="2143"/>
      <c r="AB99" s="2143"/>
      <c r="AC99" s="2143"/>
    </row>
    <row r="100" spans="1:29" s="1338" customFormat="1" ht="15" thickTop="1">
      <c r="A100" s="727"/>
      <c r="B100" s="672" t="s">
        <v>753</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8" customFormat="1" ht="15.75" thickBot="1">
      <c r="A101" s="686"/>
      <c r="B101" s="677"/>
      <c r="C101" s="678">
        <v>100</v>
      </c>
      <c r="D101" s="678">
        <f>C101-$K34</f>
        <v>100</v>
      </c>
      <c r="E101" s="678">
        <f t="shared" ref="E101:M101" si="21">D101-$K34</f>
        <v>100</v>
      </c>
      <c r="F101" s="678">
        <f t="shared" si="21"/>
        <v>100</v>
      </c>
      <c r="G101" s="678">
        <f t="shared" si="21"/>
        <v>100</v>
      </c>
      <c r="H101" s="678">
        <f t="shared" si="21"/>
        <v>100</v>
      </c>
      <c r="I101" s="678">
        <f t="shared" si="21"/>
        <v>100</v>
      </c>
      <c r="J101" s="678">
        <f t="shared" si="21"/>
        <v>100</v>
      </c>
      <c r="K101" s="678">
        <f t="shared" si="21"/>
        <v>100</v>
      </c>
      <c r="L101" s="678">
        <f t="shared" si="21"/>
        <v>100</v>
      </c>
      <c r="M101" s="678">
        <f t="shared" si="21"/>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4" t="s">
        <v>2554</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5.75" thickBot="1">
      <c r="A103" s="668"/>
      <c r="B103" s="677"/>
      <c r="C103" s="678">
        <v>100</v>
      </c>
      <c r="D103" s="678">
        <f t="shared" ref="D103:M103" si="22">C103-$K35</f>
        <v>100</v>
      </c>
      <c r="E103" s="678">
        <f t="shared" si="22"/>
        <v>100</v>
      </c>
      <c r="F103" s="678">
        <f t="shared" si="22"/>
        <v>100</v>
      </c>
      <c r="G103" s="678">
        <f t="shared" si="22"/>
        <v>100</v>
      </c>
      <c r="H103" s="678">
        <f t="shared" si="22"/>
        <v>100</v>
      </c>
      <c r="I103" s="678">
        <f t="shared" si="22"/>
        <v>100</v>
      </c>
      <c r="J103" s="678">
        <f t="shared" si="22"/>
        <v>100</v>
      </c>
      <c r="K103" s="678">
        <f t="shared" si="22"/>
        <v>100</v>
      </c>
      <c r="L103" s="678">
        <f t="shared" si="22"/>
        <v>100</v>
      </c>
      <c r="M103" s="679">
        <f t="shared" si="22"/>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755</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5.75" thickBot="1">
      <c r="A107" s="668"/>
      <c r="B107" s="677"/>
      <c r="C107" s="711">
        <v>100</v>
      </c>
      <c r="D107" s="678">
        <f t="shared" ref="D107:M107" si="23">C107-$K37</f>
        <v>100</v>
      </c>
      <c r="E107" s="678">
        <f t="shared" si="23"/>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64"/>
      <c r="O107" s="2164"/>
      <c r="P107" s="2163"/>
      <c r="Q107" s="2156"/>
      <c r="R107" s="2143"/>
      <c r="S107" s="2143"/>
      <c r="T107" s="2143"/>
      <c r="U107" s="2143"/>
      <c r="V107" s="2143"/>
      <c r="W107" s="2143"/>
      <c r="X107" s="2143"/>
      <c r="Y107" s="2143"/>
      <c r="Z107" s="2143"/>
      <c r="AA107" s="2143"/>
      <c r="AB107" s="2143"/>
      <c r="AC107" s="2143"/>
    </row>
    <row r="108" spans="1:29" s="1338" customFormat="1" ht="15"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8" customFormat="1" ht="15.75"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5"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892"/>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55" priority="16" stopIfTrue="1" operator="containsText" text="超过">
      <formula>NOT(ISERROR(SEARCH("超过",F46)))</formula>
    </cfRule>
  </conditionalFormatting>
  <conditionalFormatting sqref="H48">
    <cfRule type="containsText" dxfId="54" priority="15" stopIfTrue="1" operator="containsText" text="超过">
      <formula>NOT(ISERROR(SEARCH("超过",H48)))</formula>
    </cfRule>
  </conditionalFormatting>
  <conditionalFormatting sqref="F48">
    <cfRule type="containsText" dxfId="53" priority="14" stopIfTrue="1" operator="containsText" text="超过">
      <formula>NOT(ISERROR(SEARCH("超过",F48)))</formula>
    </cfRule>
  </conditionalFormatting>
  <conditionalFormatting sqref="F47 H47">
    <cfRule type="containsText" dxfId="52" priority="13" stopIfTrue="1" operator="containsText" text="超过">
      <formula>NOT(ISERROR(SEARCH("超过",F47)))</formula>
    </cfRule>
  </conditionalFormatting>
  <conditionalFormatting sqref="E46">
    <cfRule type="expression" dxfId="51" priority="12" stopIfTrue="1">
      <formula>$F$46="超过30%"</formula>
    </cfRule>
  </conditionalFormatting>
  <conditionalFormatting sqref="E47">
    <cfRule type="expression" dxfId="50" priority="11" stopIfTrue="1">
      <formula>$F$47="超过20%"</formula>
    </cfRule>
  </conditionalFormatting>
  <conditionalFormatting sqref="E48">
    <cfRule type="expression" dxfId="49" priority="10" stopIfTrue="1">
      <formula>$F$48="超过30%"</formula>
    </cfRule>
  </conditionalFormatting>
  <conditionalFormatting sqref="G48">
    <cfRule type="expression" dxfId="48" priority="9" stopIfTrue="1">
      <formula>$H$48="超过30%"</formula>
    </cfRule>
  </conditionalFormatting>
  <conditionalFormatting sqref="G46">
    <cfRule type="expression" dxfId="47" priority="8" stopIfTrue="1">
      <formula>$H$46="超过30%"</formula>
    </cfRule>
  </conditionalFormatting>
  <conditionalFormatting sqref="G47">
    <cfRule type="expression" dxfId="46" priority="7" stopIfTrue="1">
      <formula>$H$47="超过20%"</formula>
    </cfRule>
  </conditionalFormatting>
  <conditionalFormatting sqref="J46">
    <cfRule type="containsText" dxfId="45" priority="6" stopIfTrue="1" operator="containsText" text="超过">
      <formula>NOT(ISERROR(SEARCH("超过",J46)))</formula>
    </cfRule>
  </conditionalFormatting>
  <conditionalFormatting sqref="J48">
    <cfRule type="containsText" dxfId="44" priority="5" stopIfTrue="1" operator="containsText" text="超过">
      <formula>NOT(ISERROR(SEARCH("超过",J48)))</formula>
    </cfRule>
  </conditionalFormatting>
  <conditionalFormatting sqref="J47">
    <cfRule type="containsText" dxfId="43" priority="4" stopIfTrue="1" operator="containsText" text="超过">
      <formula>NOT(ISERROR(SEARCH("超过",J47)))</formula>
    </cfRule>
  </conditionalFormatting>
  <conditionalFormatting sqref="I46">
    <cfRule type="expression" dxfId="42" priority="3" stopIfTrue="1">
      <formula>$J$46="超过30%"</formula>
    </cfRule>
  </conditionalFormatting>
  <conditionalFormatting sqref="I47">
    <cfRule type="expression" dxfId="41" priority="2" stopIfTrue="1">
      <formula>$J$47="超过20%"</formula>
    </cfRule>
  </conditionalFormatting>
  <conditionalFormatting sqref="I48">
    <cfRule type="expression" dxfId="40"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05"/>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IF(B37="元/平方米",ROUND(B3*D3/10000,0),ROUND(F3*C39/10000,0))</f>
        <v>#DIV/0!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5" customFormat="1" ht="28.5" customHeight="1" thickBot="1">
      <c r="A3" s="508" t="s">
        <v>795</v>
      </c>
      <c r="B3" s="509" t="e">
        <f>IF(B37="元/平方米",C39,ROUND(B2*10000/D3,0))</f>
        <v>#DIV/0!</v>
      </c>
      <c r="C3" s="851" t="s">
        <v>796</v>
      </c>
      <c r="D3" s="850">
        <f>SUMIF('数据-汇总表'!$C19:$C33,D1,'数据-汇总表'!$E19:$E33)</f>
        <v>0</v>
      </c>
      <c r="E3" s="1846" t="s">
        <v>2076</v>
      </c>
      <c r="F3" s="850">
        <f>SUMIF('数据-取费表'!A5:A15,D1,'数据-取费表'!AH5:AH15)</f>
        <v>0</v>
      </c>
      <c r="G3" s="2126"/>
      <c r="H3" s="2126"/>
      <c r="I3" s="2126"/>
      <c r="J3" s="2126"/>
      <c r="K3" s="2128"/>
      <c r="L3" s="2129"/>
      <c r="M3" s="2130"/>
      <c r="N3" s="2130"/>
      <c r="O3" s="2130"/>
      <c r="P3" s="1563"/>
      <c r="Q3" s="1563"/>
      <c r="R3" s="1563"/>
      <c r="S3" s="1563"/>
      <c r="T3" s="1563"/>
      <c r="U3" s="1563"/>
      <c r="V3" s="1563"/>
      <c r="W3" s="1563"/>
      <c r="X3" s="1563"/>
      <c r="Y3" s="1563"/>
      <c r="Z3" s="1563"/>
      <c r="AA3" s="1563"/>
      <c r="AB3" s="1565"/>
      <c r="AC3" s="427"/>
    </row>
    <row r="4" spans="1:29" ht="15">
      <c r="A4" s="511" t="s">
        <v>797</v>
      </c>
      <c r="B4" s="512"/>
      <c r="C4" s="3513" t="s">
        <v>798</v>
      </c>
      <c r="D4" s="3514"/>
      <c r="E4" s="3513" t="s">
        <v>799</v>
      </c>
      <c r="F4" s="3514"/>
      <c r="G4" s="3513" t="s">
        <v>800</v>
      </c>
      <c r="H4" s="3514"/>
      <c r="I4" s="3513" t="s">
        <v>801</v>
      </c>
      <c r="J4" s="3514"/>
      <c r="K4" s="513" t="s">
        <v>802</v>
      </c>
      <c r="L4" s="2131"/>
      <c r="M4" s="2132"/>
      <c r="N4" s="2132"/>
      <c r="O4" s="2132"/>
      <c r="P4" s="3515" t="s">
        <v>803</v>
      </c>
      <c r="Q4" s="3516"/>
      <c r="R4" s="3501" t="s">
        <v>799</v>
      </c>
      <c r="S4" s="3502"/>
      <c r="T4" s="3501" t="s">
        <v>800</v>
      </c>
      <c r="U4" s="3502"/>
      <c r="V4" s="3521" t="s">
        <v>801</v>
      </c>
      <c r="W4" s="3521"/>
      <c r="X4" s="1566"/>
      <c r="Y4" s="3501" t="s">
        <v>803</v>
      </c>
      <c r="Z4" s="3502"/>
      <c r="AA4" s="3496" t="s">
        <v>799</v>
      </c>
      <c r="AB4" s="3497" t="s">
        <v>800</v>
      </c>
      <c r="AC4" s="3496" t="s">
        <v>801</v>
      </c>
    </row>
    <row r="5" spans="1:29" ht="15">
      <c r="A5" s="514"/>
      <c r="B5" s="515"/>
      <c r="C5" s="3541" t="s">
        <v>2915</v>
      </c>
      <c r="D5" s="3542"/>
      <c r="E5" s="3541" t="s">
        <v>2916</v>
      </c>
      <c r="F5" s="3542"/>
      <c r="G5" s="3541" t="s">
        <v>2917</v>
      </c>
      <c r="H5" s="3542"/>
      <c r="I5" s="3541" t="s">
        <v>2918</v>
      </c>
      <c r="J5" s="3542"/>
      <c r="K5" s="513"/>
      <c r="L5" s="2131"/>
      <c r="M5" s="2132"/>
      <c r="N5" s="2132"/>
      <c r="O5" s="2132"/>
      <c r="P5" s="3517"/>
      <c r="Q5" s="3518"/>
      <c r="R5" s="3503"/>
      <c r="S5" s="3504"/>
      <c r="T5" s="3503"/>
      <c r="U5" s="3504"/>
      <c r="V5" s="3521"/>
      <c r="W5" s="3521"/>
      <c r="X5" s="1566"/>
      <c r="Y5" s="3503"/>
      <c r="Z5" s="3504"/>
      <c r="AA5" s="3497"/>
      <c r="AB5" s="3497"/>
      <c r="AC5" s="3497"/>
    </row>
    <row r="6" spans="1:29" ht="15.75" thickBot="1">
      <c r="A6" s="516"/>
      <c r="B6" s="517"/>
      <c r="C6" s="3543" t="s">
        <v>2919</v>
      </c>
      <c r="D6" s="3544"/>
      <c r="E6" s="3618" t="s">
        <v>2919</v>
      </c>
      <c r="F6" s="3619"/>
      <c r="G6" s="3543" t="s">
        <v>2919</v>
      </c>
      <c r="H6" s="3544"/>
      <c r="I6" s="3543" t="s">
        <v>2919</v>
      </c>
      <c r="J6" s="3544"/>
      <c r="K6" s="513" t="s">
        <v>528</v>
      </c>
      <c r="L6" s="2131"/>
      <c r="M6" s="2132"/>
      <c r="N6" s="2132"/>
      <c r="O6" s="2132"/>
      <c r="P6" s="3519"/>
      <c r="Q6" s="3520"/>
      <c r="R6" s="3503"/>
      <c r="S6" s="3504"/>
      <c r="T6" s="3505"/>
      <c r="U6" s="3506"/>
      <c r="V6" s="3521"/>
      <c r="W6" s="3521"/>
      <c r="X6" s="1566"/>
      <c r="Y6" s="3505"/>
      <c r="Z6" s="3506"/>
      <c r="AA6" s="3498"/>
      <c r="AB6" s="3498"/>
      <c r="AC6" s="3498"/>
    </row>
    <row r="7" spans="1:29" s="1219" customFormat="1" ht="15.75" thickBot="1">
      <c r="A7" s="2909"/>
      <c r="B7" s="2916" t="s">
        <v>529</v>
      </c>
      <c r="C7" s="518">
        <f>'数据-取费表'!B2</f>
        <v>43444</v>
      </c>
      <c r="D7" s="519">
        <v>100</v>
      </c>
      <c r="E7" s="520"/>
      <c r="F7" s="521">
        <f>SUMIF(48:48,YEAR(E7)&amp;"-"&amp;MONTH(E7),49:49)</f>
        <v>0</v>
      </c>
      <c r="G7" s="522"/>
      <c r="H7" s="519">
        <f>SUMIF(48:48,YEAR(G7)&amp;"-"&amp;MONTH(G7),49:49)</f>
        <v>0</v>
      </c>
      <c r="I7" s="522"/>
      <c r="J7" s="519">
        <f>SUMIF(48:48,YEAR(I7)&amp;"-"&amp;MONTH(I7),49:49)</f>
        <v>0</v>
      </c>
      <c r="K7" s="523"/>
      <c r="L7" s="2133"/>
      <c r="M7" s="2134"/>
      <c r="N7" s="2134"/>
      <c r="O7" s="2134"/>
      <c r="P7" s="3499" t="s">
        <v>530</v>
      </c>
      <c r="Q7" s="3508"/>
      <c r="R7" s="1567" t="s">
        <v>8</v>
      </c>
      <c r="S7" s="1568">
        <f t="shared" ref="S7:S14" si="0">F7</f>
        <v>0</v>
      </c>
      <c r="T7" s="1567" t="s">
        <v>8</v>
      </c>
      <c r="U7" s="1568">
        <f t="shared" ref="U7:U14" si="1">H7</f>
        <v>0</v>
      </c>
      <c r="V7" s="1567" t="s">
        <v>8</v>
      </c>
      <c r="W7" s="1568">
        <f t="shared" ref="W7:W14" si="2">J7</f>
        <v>0</v>
      </c>
      <c r="X7" s="1569"/>
      <c r="Y7" s="3499" t="s">
        <v>530</v>
      </c>
      <c r="Z7" s="3500"/>
      <c r="AA7" s="1570" t="e">
        <f>D7/F7</f>
        <v>#DIV/0!</v>
      </c>
      <c r="AB7" s="1570" t="e">
        <f>D7/H7</f>
        <v>#DIV/0!</v>
      </c>
      <c r="AC7" s="1570" t="e">
        <f>D7/J7</f>
        <v>#DIV/0!</v>
      </c>
    </row>
    <row r="8" spans="1:29" s="1219" customFormat="1" ht="15.75" thickBot="1">
      <c r="A8" s="2910"/>
      <c r="B8" s="2917" t="s">
        <v>531</v>
      </c>
      <c r="C8" s="524" t="s">
        <v>576</v>
      </c>
      <c r="D8" s="519">
        <v>100</v>
      </c>
      <c r="E8" s="524"/>
      <c r="F8" s="521">
        <f>SUMIF(51:51,E8,52:52)-SUMIF(51:51,C8,52:52)+100</f>
        <v>0</v>
      </c>
      <c r="G8" s="524"/>
      <c r="H8" s="519">
        <f>SUMIF(51:51,G8,52:52)-SUMIF(51:51,C8,52:52)+100</f>
        <v>0</v>
      </c>
      <c r="I8" s="524"/>
      <c r="J8" s="519">
        <f>SUMIF(51:51,I8,52:52)-SUMIF(51:51,C8,52:52)+100</f>
        <v>0</v>
      </c>
      <c r="K8" s="523"/>
      <c r="L8" s="2133"/>
      <c r="M8" s="2134"/>
      <c r="N8" s="2134"/>
      <c r="O8" s="2134"/>
      <c r="P8" s="3499" t="s">
        <v>533</v>
      </c>
      <c r="Q8" s="3500"/>
      <c r="R8" s="1567" t="s">
        <v>8</v>
      </c>
      <c r="S8" s="1568">
        <f t="shared" si="0"/>
        <v>0</v>
      </c>
      <c r="T8" s="1567" t="s">
        <v>8</v>
      </c>
      <c r="U8" s="1568">
        <f t="shared" si="1"/>
        <v>0</v>
      </c>
      <c r="V8" s="1567" t="s">
        <v>8</v>
      </c>
      <c r="W8" s="1568">
        <f t="shared" si="2"/>
        <v>0</v>
      </c>
      <c r="X8" s="1569"/>
      <c r="Y8" s="3499" t="s">
        <v>533</v>
      </c>
      <c r="Z8" s="3500"/>
      <c r="AA8" s="1570" t="e">
        <f t="shared" ref="AA8:AA36" si="3">D8/F8</f>
        <v>#DIV/0!</v>
      </c>
      <c r="AB8" s="1570" t="e">
        <f t="shared" ref="AB8:AB36" si="4">D8/H8</f>
        <v>#DIV/0!</v>
      </c>
      <c r="AC8" s="1570" t="e">
        <f t="shared" ref="AC8:AC36" si="5">D8/J8</f>
        <v>#DIV/0!</v>
      </c>
    </row>
    <row r="9" spans="1:29" s="1219" customFormat="1" ht="15">
      <c r="A9" s="2911"/>
      <c r="B9" s="2918" t="s">
        <v>2753</v>
      </c>
      <c r="C9" s="856"/>
      <c r="D9" s="253">
        <v>100</v>
      </c>
      <c r="E9" s="859"/>
      <c r="F9" s="253">
        <f>SUMIF(53:53,E9,54:54)-SUMIF(53:53,C9,54:54)+100</f>
        <v>100</v>
      </c>
      <c r="G9" s="857"/>
      <c r="H9" s="253">
        <f>SUMIF(53:53,G9,54:54)-SUMIF(53:53,C9,54:54)+100</f>
        <v>100</v>
      </c>
      <c r="I9" s="857"/>
      <c r="J9" s="253">
        <f>SUMIF(53:53,I9,54:54)-SUMIF(53:53,C9,54:54)+100</f>
        <v>100</v>
      </c>
      <c r="K9" s="523"/>
      <c r="L9" s="2133"/>
      <c r="M9" s="2134"/>
      <c r="N9" s="2134"/>
      <c r="O9" s="2135"/>
      <c r="P9" s="3507" t="s">
        <v>535</v>
      </c>
      <c r="Q9" s="1150" t="str">
        <f t="shared" ref="Q9:Q14" si="6">B9</f>
        <v>用途</v>
      </c>
      <c r="R9" s="1567" t="s">
        <v>8</v>
      </c>
      <c r="S9" s="1568">
        <f t="shared" si="0"/>
        <v>100</v>
      </c>
      <c r="T9" s="1567" t="s">
        <v>8</v>
      </c>
      <c r="U9" s="1568">
        <f t="shared" si="1"/>
        <v>100</v>
      </c>
      <c r="V9" s="1567" t="s">
        <v>8</v>
      </c>
      <c r="W9" s="1568">
        <f t="shared" si="2"/>
        <v>100</v>
      </c>
      <c r="X9" s="1569"/>
      <c r="Y9" s="3464" t="s">
        <v>536</v>
      </c>
      <c r="Z9" s="1149" t="str">
        <f t="shared" ref="Z9:Z14" si="7">Q9</f>
        <v>用途</v>
      </c>
      <c r="AA9" s="1570">
        <f t="shared" si="3"/>
        <v>1</v>
      </c>
      <c r="AB9" s="1570">
        <f t="shared" si="4"/>
        <v>1</v>
      </c>
      <c r="AC9" s="1570">
        <f t="shared" si="5"/>
        <v>1</v>
      </c>
    </row>
    <row r="10" spans="1:29" s="1337" customFormat="1" ht="27">
      <c r="A10" s="2912"/>
      <c r="B10" s="2917" t="s">
        <v>2754</v>
      </c>
      <c r="C10" s="860"/>
      <c r="D10" s="254">
        <v>100</v>
      </c>
      <c r="E10" s="860"/>
      <c r="F10" s="254">
        <f>SUMIF(55:55,E10,56:56)-SUMIF(55:55,C10,56:56)+100</f>
        <v>100</v>
      </c>
      <c r="G10" s="861"/>
      <c r="H10" s="254">
        <f>SUMIF(55:55,G10,56:56)-SUMIF(55:55,C10,56:56)+100</f>
        <v>100</v>
      </c>
      <c r="I10" s="860"/>
      <c r="J10" s="254">
        <f>SUMIF(55:55,I10,56:56)-SUMIF(55:55,C10,56:56)+100</f>
        <v>100</v>
      </c>
      <c r="K10" s="583"/>
      <c r="L10" s="2136"/>
      <c r="M10" s="2176"/>
      <c r="N10" s="2176"/>
      <c r="O10" s="2137"/>
      <c r="P10" s="3507"/>
      <c r="Q10" s="1150" t="str">
        <f t="shared" si="6"/>
        <v>土地使用年限（年）</v>
      </c>
      <c r="R10" s="1567" t="s">
        <v>8</v>
      </c>
      <c r="S10" s="1568">
        <f t="shared" si="0"/>
        <v>100</v>
      </c>
      <c r="T10" s="1567" t="s">
        <v>8</v>
      </c>
      <c r="U10" s="1568">
        <f t="shared" si="1"/>
        <v>100</v>
      </c>
      <c r="V10" s="1567" t="s">
        <v>8</v>
      </c>
      <c r="W10" s="1568">
        <f t="shared" si="2"/>
        <v>100</v>
      </c>
      <c r="X10" s="1569"/>
      <c r="Y10" s="3464"/>
      <c r="Z10" s="1149" t="str">
        <f t="shared" si="7"/>
        <v>土地使用年限（年）</v>
      </c>
      <c r="AA10" s="1570">
        <f t="shared" si="3"/>
        <v>1</v>
      </c>
      <c r="AB10" s="1570">
        <f t="shared" si="4"/>
        <v>1</v>
      </c>
      <c r="AC10" s="1570">
        <f t="shared" si="5"/>
        <v>1</v>
      </c>
    </row>
    <row r="11" spans="1:29" ht="15">
      <c r="A11" s="2914"/>
      <c r="B11" s="2920">
        <v>111</v>
      </c>
      <c r="C11" s="527"/>
      <c r="D11" s="254">
        <v>100</v>
      </c>
      <c r="E11" s="527"/>
      <c r="F11" s="254">
        <f>SUMIF(57:57,E11,58:58)-SUMIF(57:57,C11,58:58)+100</f>
        <v>100</v>
      </c>
      <c r="G11" s="527"/>
      <c r="H11" s="254">
        <f>SUMIF(57:57,G11,58:58)-SUMIF(57:57,C11,58:58)+100</f>
        <v>100</v>
      </c>
      <c r="I11" s="527"/>
      <c r="J11" s="254">
        <f>SUMIF(57:57,I11,58:58)-SUMIF(57:57,C11,58:58)+100</f>
        <v>100</v>
      </c>
      <c r="K11" s="580"/>
      <c r="L11" s="2138"/>
      <c r="M11" s="2132"/>
      <c r="N11" s="2132"/>
      <c r="O11" s="2139"/>
      <c r="P11" s="3507"/>
      <c r="Q11" s="1150">
        <f t="shared" si="6"/>
        <v>111</v>
      </c>
      <c r="R11" s="1567" t="s">
        <v>8</v>
      </c>
      <c r="S11" s="1568">
        <f t="shared" si="0"/>
        <v>100</v>
      </c>
      <c r="T11" s="1567" t="s">
        <v>8</v>
      </c>
      <c r="U11" s="1568">
        <f t="shared" si="1"/>
        <v>100</v>
      </c>
      <c r="V11" s="1567" t="s">
        <v>8</v>
      </c>
      <c r="W11" s="1568">
        <f t="shared" si="2"/>
        <v>100</v>
      </c>
      <c r="X11" s="1569"/>
      <c r="Y11" s="3464"/>
      <c r="Z11" s="1149">
        <f t="shared" si="7"/>
        <v>111</v>
      </c>
      <c r="AA11" s="1570">
        <f t="shared" si="3"/>
        <v>1</v>
      </c>
      <c r="AB11" s="1570">
        <f t="shared" si="4"/>
        <v>1</v>
      </c>
      <c r="AC11" s="1570">
        <f t="shared" si="5"/>
        <v>1</v>
      </c>
    </row>
    <row r="12" spans="1:29" s="1219" customFormat="1" ht="15">
      <c r="A12" s="2914"/>
      <c r="B12" s="2920">
        <v>111</v>
      </c>
      <c r="C12" s="527"/>
      <c r="D12" s="537">
        <v>100</v>
      </c>
      <c r="E12" s="527"/>
      <c r="F12" s="254">
        <f>SUMIF(59:59,E12,60:60)-SUMIF(59:59,C12,60:60)+100</f>
        <v>100</v>
      </c>
      <c r="G12" s="527"/>
      <c r="H12" s="254">
        <f>SUMIF(59:59,G12,60:60)-SUMIF(59:59,C12,60:60)+100</f>
        <v>100</v>
      </c>
      <c r="I12" s="527"/>
      <c r="J12" s="254">
        <f>SUMIF(59:59,I12,60:60)-SUMIF(59:59,C12,60:60)+100</f>
        <v>100</v>
      </c>
      <c r="K12" s="580"/>
      <c r="L12" s="2133"/>
      <c r="M12" s="2134"/>
      <c r="N12" s="2134"/>
      <c r="O12" s="2135"/>
      <c r="P12" s="3507"/>
      <c r="Q12" s="1150">
        <f t="shared" si="6"/>
        <v>111</v>
      </c>
      <c r="R12" s="1567" t="s">
        <v>8</v>
      </c>
      <c r="S12" s="1568">
        <f t="shared" si="0"/>
        <v>100</v>
      </c>
      <c r="T12" s="1567" t="s">
        <v>8</v>
      </c>
      <c r="U12" s="1568">
        <f t="shared" si="1"/>
        <v>100</v>
      </c>
      <c r="V12" s="1567" t="s">
        <v>8</v>
      </c>
      <c r="W12" s="1568">
        <f t="shared" si="2"/>
        <v>100</v>
      </c>
      <c r="X12" s="1569"/>
      <c r="Y12" s="3464"/>
      <c r="Z12" s="1149">
        <f t="shared" si="7"/>
        <v>111</v>
      </c>
      <c r="AA12" s="1570">
        <f>D12/F12</f>
        <v>1</v>
      </c>
      <c r="AB12" s="1570">
        <f>D12/H12</f>
        <v>1</v>
      </c>
      <c r="AC12" s="1570">
        <f>D12/J12</f>
        <v>1</v>
      </c>
    </row>
    <row r="13" spans="1:29" ht="15.75" thickBot="1">
      <c r="A13" s="2915"/>
      <c r="B13" s="2921">
        <v>111</v>
      </c>
      <c r="C13" s="538"/>
      <c r="D13" s="539">
        <v>100</v>
      </c>
      <c r="E13" s="527"/>
      <c r="F13" s="254">
        <f>SUMIF(61:61,E13,62:62)-SUMIF(61:61,C13,62:62)+100</f>
        <v>100</v>
      </c>
      <c r="G13" s="527"/>
      <c r="H13" s="539">
        <f>SUMIF(61:61,G13,62:62)-SUMIF(61:61,C13,62:62)+100</f>
        <v>100</v>
      </c>
      <c r="I13" s="527"/>
      <c r="J13" s="539">
        <f>SUMIF(61:61,I13,62:62)-SUMIF(61:61,C13,62:62)+100</f>
        <v>100</v>
      </c>
      <c r="K13" s="580"/>
      <c r="L13" s="2140"/>
      <c r="M13" s="2132"/>
      <c r="N13" s="2132"/>
      <c r="O13" s="2139"/>
      <c r="P13" s="3507"/>
      <c r="Q13" s="1150">
        <f t="shared" si="6"/>
        <v>111</v>
      </c>
      <c r="R13" s="1567" t="s">
        <v>8</v>
      </c>
      <c r="S13" s="1568">
        <f t="shared" si="0"/>
        <v>100</v>
      </c>
      <c r="T13" s="1567" t="s">
        <v>8</v>
      </c>
      <c r="U13" s="1568">
        <f t="shared" si="1"/>
        <v>100</v>
      </c>
      <c r="V13" s="1567" t="s">
        <v>8</v>
      </c>
      <c r="W13" s="1568">
        <f t="shared" si="2"/>
        <v>100</v>
      </c>
      <c r="X13" s="1569"/>
      <c r="Y13" s="3464"/>
      <c r="Z13" s="1149">
        <f t="shared" si="7"/>
        <v>111</v>
      </c>
      <c r="AA13" s="1570">
        <f t="shared" si="3"/>
        <v>1</v>
      </c>
      <c r="AB13" s="1570">
        <f t="shared" si="4"/>
        <v>1</v>
      </c>
      <c r="AC13" s="1570">
        <f t="shared" si="5"/>
        <v>1</v>
      </c>
    </row>
    <row r="14" spans="1:29" ht="15">
      <c r="A14" s="2907" t="s">
        <v>2751</v>
      </c>
      <c r="B14" s="546" t="s">
        <v>543</v>
      </c>
      <c r="C14" s="920" t="str">
        <f>IF(B1="工业",估价对象房地状况!G4,估价对象房地状况!C6)</f>
        <v>一般</v>
      </c>
      <c r="D14" s="548">
        <v>100</v>
      </c>
      <c r="E14" s="549"/>
      <c r="F14" s="550">
        <f>SUMIF(63:63,E15,64:64)-SUMIF(63:63,C15,64:64)+100</f>
        <v>100</v>
      </c>
      <c r="G14" s="551"/>
      <c r="H14" s="548">
        <f>SUMIF(63:63,G15,64:64)-SUMIF(63:63,C15,64:64)+100</f>
        <v>100</v>
      </c>
      <c r="I14" s="549"/>
      <c r="J14" s="548">
        <f>SUMIF(63:63,I15,64:64)-SUMIF(63:63,C15,64:64)+100</f>
        <v>100</v>
      </c>
      <c r="K14" s="897"/>
      <c r="L14" s="2140"/>
      <c r="M14" s="2132"/>
      <c r="N14" s="2132"/>
      <c r="O14" s="2139"/>
      <c r="P14" s="3509" t="s">
        <v>540</v>
      </c>
      <c r="Q14" s="1571" t="str">
        <f t="shared" si="6"/>
        <v>交通便捷度</v>
      </c>
      <c r="R14" s="1572" t="s">
        <v>8</v>
      </c>
      <c r="S14" s="1573">
        <f t="shared" si="0"/>
        <v>100</v>
      </c>
      <c r="T14" s="1572" t="s">
        <v>8</v>
      </c>
      <c r="U14" s="1573">
        <f t="shared" si="1"/>
        <v>100</v>
      </c>
      <c r="V14" s="1572" t="s">
        <v>8</v>
      </c>
      <c r="W14" s="1573">
        <f t="shared" si="2"/>
        <v>100</v>
      </c>
      <c r="X14" s="1566"/>
      <c r="Y14" s="3509" t="s">
        <v>540</v>
      </c>
      <c r="Z14" s="1574" t="str">
        <f t="shared" si="7"/>
        <v>交通便捷度</v>
      </c>
      <c r="AA14" s="1575">
        <f t="shared" si="3"/>
        <v>1</v>
      </c>
      <c r="AB14" s="1575">
        <f t="shared" si="4"/>
        <v>1</v>
      </c>
      <c r="AC14" s="1575">
        <f t="shared" si="5"/>
        <v>1</v>
      </c>
    </row>
    <row r="15" spans="1:29" ht="15">
      <c r="A15" s="514"/>
      <c r="B15" s="923"/>
      <c r="C15" s="575"/>
      <c r="D15" s="554"/>
      <c r="E15" s="575"/>
      <c r="F15" s="556"/>
      <c r="G15" s="575"/>
      <c r="H15" s="558"/>
      <c r="I15" s="575"/>
      <c r="J15" s="554"/>
      <c r="K15" s="898"/>
      <c r="L15" s="2140"/>
      <c r="M15" s="2132"/>
      <c r="N15" s="2132"/>
      <c r="O15" s="2139"/>
      <c r="P15" s="3510"/>
      <c r="Q15" s="1571"/>
      <c r="R15" s="1572"/>
      <c r="S15" s="1573"/>
      <c r="T15" s="1572"/>
      <c r="U15" s="1573"/>
      <c r="V15" s="1572"/>
      <c r="W15" s="1573"/>
      <c r="X15" s="1566"/>
      <c r="Y15" s="3510"/>
      <c r="Z15" s="1574"/>
      <c r="AA15" s="1575">
        <v>1</v>
      </c>
      <c r="AB15" s="1575">
        <v>1</v>
      </c>
      <c r="AC15" s="1575">
        <v>1</v>
      </c>
    </row>
    <row r="16" spans="1:29" ht="15">
      <c r="A16" s="514"/>
      <c r="B16" s="2601" t="s">
        <v>2544</v>
      </c>
      <c r="C16" s="871" t="str">
        <f>IF(B1="工业",估价对象房地状况!G5,估价对象房地状况!C7)</f>
        <v>一般</v>
      </c>
      <c r="D16" s="564">
        <v>100</v>
      </c>
      <c r="E16" s="571"/>
      <c r="F16" s="570">
        <f>SUMIF(65:65,E17,66:66)-SUMIF(65:65,C17,66:66)+100</f>
        <v>100</v>
      </c>
      <c r="G16" s="571"/>
      <c r="H16" s="564">
        <f>SUMIF(65:65,G17,66:66)-SUMIF(65:65,C17,66:66)+100</f>
        <v>100</v>
      </c>
      <c r="I16" s="569"/>
      <c r="J16" s="564">
        <f>SUMIF(65:65,I17,66:66)-SUMIF(65:65,C17,66:66)+100</f>
        <v>100</v>
      </c>
      <c r="K16" s="897"/>
      <c r="L16" s="2140"/>
      <c r="M16" s="2132"/>
      <c r="N16" s="2132"/>
      <c r="O16" s="2139"/>
      <c r="P16" s="3510"/>
      <c r="Q16" s="1571" t="str">
        <f>B16</f>
        <v>公共配套设施</v>
      </c>
      <c r="R16" s="1572" t="s">
        <v>8</v>
      </c>
      <c r="S16" s="1573">
        <f>F16</f>
        <v>100</v>
      </c>
      <c r="T16" s="1572" t="s">
        <v>8</v>
      </c>
      <c r="U16" s="1573">
        <f>H16</f>
        <v>100</v>
      </c>
      <c r="V16" s="1572" t="s">
        <v>8</v>
      </c>
      <c r="W16" s="1573">
        <f>J16</f>
        <v>100</v>
      </c>
      <c r="X16" s="1566"/>
      <c r="Y16" s="3510"/>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8"/>
      <c r="L17" s="2140"/>
      <c r="M17" s="2132"/>
      <c r="N17" s="2132"/>
      <c r="O17" s="2139"/>
      <c r="P17" s="3510"/>
      <c r="Q17" s="1571"/>
      <c r="R17" s="1572"/>
      <c r="S17" s="1573"/>
      <c r="T17" s="1572"/>
      <c r="U17" s="1573"/>
      <c r="V17" s="1572"/>
      <c r="W17" s="1573"/>
      <c r="X17" s="1566"/>
      <c r="Y17" s="3510"/>
      <c r="Z17" s="1574"/>
      <c r="AA17" s="1575">
        <v>1</v>
      </c>
      <c r="AB17" s="1575">
        <v>1</v>
      </c>
      <c r="AC17" s="1575">
        <v>1</v>
      </c>
    </row>
    <row r="18" spans="1:29" ht="15">
      <c r="A18" s="514"/>
      <c r="B18" s="2589" t="s">
        <v>2556</v>
      </c>
      <c r="C18" s="871" t="str">
        <f>IF(B1="工业",估价对象房地状况!G6,估价对象房地状况!C8)</f>
        <v>七通</v>
      </c>
      <c r="D18" s="558">
        <v>100</v>
      </c>
      <c r="E18" s="571"/>
      <c r="F18" s="570">
        <f>SUMIF(67:67,E19,68:68)-SUMIF(67:67,C19,68:68)+100</f>
        <v>100</v>
      </c>
      <c r="G18" s="571"/>
      <c r="H18" s="564">
        <f>SUMIF(67:67,G19,68:68)-SUMIF(67:67,C19,68:68)+100</f>
        <v>100</v>
      </c>
      <c r="I18" s="569"/>
      <c r="J18" s="564">
        <f>SUMIF(67:67,I19,68:68)-SUMIF(67:67,C19,68:68)+100</f>
        <v>100</v>
      </c>
      <c r="K18" s="897"/>
      <c r="L18" s="2140"/>
      <c r="M18" s="2132"/>
      <c r="N18" s="2132"/>
      <c r="O18" s="2139"/>
      <c r="P18" s="3510"/>
      <c r="Q18" s="2577" t="str">
        <f>B18</f>
        <v>基础设施水平</v>
      </c>
      <c r="R18" s="1572" t="s">
        <v>8</v>
      </c>
      <c r="S18" s="1573">
        <f>F18</f>
        <v>100</v>
      </c>
      <c r="T18" s="1572" t="s">
        <v>8</v>
      </c>
      <c r="U18" s="1573">
        <f>H18</f>
        <v>100</v>
      </c>
      <c r="V18" s="1572" t="s">
        <v>8</v>
      </c>
      <c r="W18" s="1573">
        <f>J18</f>
        <v>100</v>
      </c>
      <c r="X18" s="2579"/>
      <c r="Y18" s="3510"/>
      <c r="Z18" s="2578" t="str">
        <f>Q18</f>
        <v>基础设施水平</v>
      </c>
      <c r="AA18" s="1575">
        <f>D18/F18</f>
        <v>1</v>
      </c>
      <c r="AB18" s="1575">
        <f>D18/H18</f>
        <v>1</v>
      </c>
      <c r="AC18" s="1575">
        <f>D18/J18</f>
        <v>1</v>
      </c>
    </row>
    <row r="19" spans="1:29" ht="15">
      <c r="A19" s="514"/>
      <c r="B19" s="577"/>
      <c r="C19" s="872"/>
      <c r="D19" s="558"/>
      <c r="E19" s="575"/>
      <c r="F19" s="556"/>
      <c r="G19" s="575"/>
      <c r="H19" s="554"/>
      <c r="I19" s="575"/>
      <c r="J19" s="554"/>
      <c r="K19" s="2600"/>
      <c r="L19" s="2140"/>
      <c r="M19" s="2132"/>
      <c r="N19" s="2132"/>
      <c r="O19" s="2139"/>
      <c r="P19" s="3510"/>
      <c r="Q19" s="2577"/>
      <c r="R19" s="1572"/>
      <c r="S19" s="1573"/>
      <c r="T19" s="1572"/>
      <c r="U19" s="1573"/>
      <c r="V19" s="1572"/>
      <c r="W19" s="1573"/>
      <c r="X19" s="2579"/>
      <c r="Y19" s="3510"/>
      <c r="Z19" s="2578"/>
      <c r="AA19" s="1575">
        <v>1</v>
      </c>
      <c r="AB19" s="1575">
        <v>1</v>
      </c>
      <c r="AC19" s="1575">
        <v>1</v>
      </c>
    </row>
    <row r="20" spans="1:29" ht="15">
      <c r="A20" s="514"/>
      <c r="B20" s="559" t="s">
        <v>804</v>
      </c>
      <c r="C20" s="871" t="str">
        <f>IF(B1="工业",估价对象房地状况!G7,估价对象房地状况!C9)</f>
        <v>一般</v>
      </c>
      <c r="D20" s="564">
        <v>100</v>
      </c>
      <c r="E20" s="561"/>
      <c r="F20" s="562">
        <f>SUMIF(69:69,E21,70:70)-SUMIF(69:69,C21,70:70)+100</f>
        <v>100</v>
      </c>
      <c r="G20" s="563"/>
      <c r="H20" s="558">
        <f>SUMIF(69:69,G21,70:70)-SUMIF(69:69,C21,70:70)+100</f>
        <v>100</v>
      </c>
      <c r="I20" s="561"/>
      <c r="J20" s="558">
        <f>SUMIF(69:69,I21,70:70)-SUMIF(69:69,C21,70:70)+100</f>
        <v>100</v>
      </c>
      <c r="K20" s="897"/>
      <c r="L20" s="2140"/>
      <c r="M20" s="2132"/>
      <c r="N20" s="2132"/>
      <c r="O20" s="2139"/>
      <c r="P20" s="3510"/>
      <c r="Q20" s="1571" t="str">
        <f>B20</f>
        <v>自然及人文环境</v>
      </c>
      <c r="R20" s="1572" t="s">
        <v>8</v>
      </c>
      <c r="S20" s="1573">
        <f>F20</f>
        <v>100</v>
      </c>
      <c r="T20" s="1572" t="s">
        <v>8</v>
      </c>
      <c r="U20" s="1573">
        <f>H20</f>
        <v>100</v>
      </c>
      <c r="V20" s="1572" t="s">
        <v>8</v>
      </c>
      <c r="W20" s="1573">
        <f>J20</f>
        <v>100</v>
      </c>
      <c r="X20" s="1566"/>
      <c r="Y20" s="3510"/>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8"/>
      <c r="L21" s="2140"/>
      <c r="M21" s="2132"/>
      <c r="N21" s="2132"/>
      <c r="O21" s="2139"/>
      <c r="P21" s="3510"/>
      <c r="Q21" s="1571"/>
      <c r="R21" s="1572"/>
      <c r="S21" s="1573"/>
      <c r="T21" s="1572"/>
      <c r="U21" s="1573"/>
      <c r="V21" s="1572"/>
      <c r="W21" s="1573"/>
      <c r="X21" s="1566"/>
      <c r="Y21" s="3510"/>
      <c r="Z21" s="1574"/>
      <c r="AA21" s="1575">
        <v>1</v>
      </c>
      <c r="AB21" s="1575">
        <v>1</v>
      </c>
      <c r="AC21" s="1575">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0"/>
      <c r="M22" s="2132"/>
      <c r="N22" s="2132"/>
      <c r="O22" s="2139"/>
      <c r="P22" s="3510"/>
      <c r="Q22" s="1571" t="str">
        <f>B22</f>
        <v>楼层</v>
      </c>
      <c r="R22" s="1572" t="s">
        <v>8</v>
      </c>
      <c r="S22" s="1573">
        <f>F22</f>
        <v>100</v>
      </c>
      <c r="T22" s="1572" t="s">
        <v>8</v>
      </c>
      <c r="U22" s="1573">
        <f>H22</f>
        <v>100</v>
      </c>
      <c r="V22" s="1572" t="s">
        <v>8</v>
      </c>
      <c r="W22" s="1573">
        <f>J22</f>
        <v>100</v>
      </c>
      <c r="X22" s="1566"/>
      <c r="Y22" s="3510"/>
      <c r="Z22" s="1574" t="str">
        <f>Q22</f>
        <v>楼层</v>
      </c>
      <c r="AA22" s="1575">
        <f t="shared" si="3"/>
        <v>1</v>
      </c>
      <c r="AB22" s="1575">
        <f t="shared" si="4"/>
        <v>1</v>
      </c>
      <c r="AC22" s="1575">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0"/>
      <c r="M23" s="2132"/>
      <c r="N23" s="2132"/>
      <c r="O23" s="2139"/>
      <c r="P23" s="3510"/>
      <c r="Q23" s="1571">
        <f>B23</f>
        <v>111</v>
      </c>
      <c r="R23" s="1572" t="s">
        <v>8</v>
      </c>
      <c r="S23" s="1573">
        <f>F23</f>
        <v>100</v>
      </c>
      <c r="T23" s="1572" t="s">
        <v>8</v>
      </c>
      <c r="U23" s="1573">
        <f>H23</f>
        <v>100</v>
      </c>
      <c r="V23" s="1572" t="s">
        <v>8</v>
      </c>
      <c r="W23" s="1573">
        <f>J23</f>
        <v>100</v>
      </c>
      <c r="X23" s="1566"/>
      <c r="Y23" s="3510"/>
      <c r="Z23" s="1574">
        <f>Q23</f>
        <v>111</v>
      </c>
      <c r="AA23" s="1575">
        <f t="shared" si="3"/>
        <v>1</v>
      </c>
      <c r="AB23" s="1575">
        <f t="shared" si="4"/>
        <v>1</v>
      </c>
      <c r="AC23" s="1575">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0"/>
      <c r="M24" s="2132"/>
      <c r="N24" s="2132"/>
      <c r="O24" s="2139"/>
      <c r="P24" s="3510"/>
      <c r="Q24" s="1571">
        <f t="shared" ref="Q24:Q36" si="8">B24</f>
        <v>111</v>
      </c>
      <c r="R24" s="1572" t="s">
        <v>8</v>
      </c>
      <c r="S24" s="1573">
        <f>F24</f>
        <v>100</v>
      </c>
      <c r="T24" s="1572" t="s">
        <v>8</v>
      </c>
      <c r="U24" s="1573">
        <f>H24</f>
        <v>100</v>
      </c>
      <c r="V24" s="1572" t="s">
        <v>8</v>
      </c>
      <c r="W24" s="1573">
        <f>J24</f>
        <v>100</v>
      </c>
      <c r="X24" s="1566"/>
      <c r="Y24" s="3510"/>
      <c r="Z24" s="1574">
        <f>Q24</f>
        <v>111</v>
      </c>
      <c r="AA24" s="1575">
        <f t="shared" si="3"/>
        <v>1</v>
      </c>
      <c r="AB24" s="1575">
        <f t="shared" si="4"/>
        <v>1</v>
      </c>
      <c r="AC24" s="1575">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3"/>
      <c r="M25" s="2134"/>
      <c r="N25" s="2134"/>
      <c r="O25" s="2135"/>
      <c r="P25" s="3510"/>
      <c r="Q25" s="1150">
        <f t="shared" si="8"/>
        <v>111</v>
      </c>
      <c r="R25" s="1567" t="s">
        <v>8</v>
      </c>
      <c r="S25" s="1568">
        <f>F25</f>
        <v>100</v>
      </c>
      <c r="T25" s="1567" t="s">
        <v>8</v>
      </c>
      <c r="U25" s="1568">
        <f>H25</f>
        <v>100</v>
      </c>
      <c r="V25" s="1567" t="s">
        <v>8</v>
      </c>
      <c r="W25" s="1568">
        <f>J25</f>
        <v>100</v>
      </c>
      <c r="X25" s="1569"/>
      <c r="Y25" s="3510"/>
      <c r="Z25" s="1149">
        <f>Q25</f>
        <v>111</v>
      </c>
      <c r="AA25" s="1575">
        <f>D25/F25</f>
        <v>1</v>
      </c>
      <c r="AB25" s="1575">
        <f>D25/H25</f>
        <v>1</v>
      </c>
      <c r="AC25" s="1575">
        <f>D25/J25</f>
        <v>1</v>
      </c>
    </row>
    <row r="26" spans="1:29" ht="15">
      <c r="A26" s="2905" t="s">
        <v>2752</v>
      </c>
      <c r="B26" s="169"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0"/>
      <c r="M26" s="2132"/>
      <c r="N26" s="2132"/>
      <c r="O26" s="2139"/>
      <c r="P26" s="3511" t="s">
        <v>550</v>
      </c>
      <c r="Q26" s="1571" t="str">
        <f t="shared" si="8"/>
        <v>配套类型</v>
      </c>
      <c r="R26" s="1572" t="s">
        <v>8</v>
      </c>
      <c r="S26" s="1573">
        <f t="shared" ref="S26:S36" si="9">F26</f>
        <v>100</v>
      </c>
      <c r="T26" s="1572" t="s">
        <v>8</v>
      </c>
      <c r="U26" s="1573">
        <f t="shared" ref="U26:U36" si="10">H26</f>
        <v>100</v>
      </c>
      <c r="V26" s="1572" t="s">
        <v>8</v>
      </c>
      <c r="W26" s="1573">
        <f t="shared" ref="W26:W36" si="11">J26</f>
        <v>100</v>
      </c>
      <c r="X26" s="1566"/>
      <c r="Y26" s="3512" t="s">
        <v>550</v>
      </c>
      <c r="Z26" s="1574" t="str">
        <f t="shared" ref="Z26:Z36" si="12">Q26</f>
        <v>配套类型</v>
      </c>
      <c r="AA26" s="1575">
        <f t="shared" si="3"/>
        <v>1</v>
      </c>
      <c r="AB26" s="1575">
        <f t="shared" si="4"/>
        <v>1</v>
      </c>
      <c r="AC26" s="1575">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38"/>
      <c r="M27" s="2169"/>
      <c r="N27" s="2169"/>
      <c r="O27" s="2141"/>
      <c r="P27" s="3512"/>
      <c r="Q27" s="1604" t="str">
        <f t="shared" si="8"/>
        <v>项目停车位配比</v>
      </c>
      <c r="R27" s="1576" t="s">
        <v>8</v>
      </c>
      <c r="S27" s="1577">
        <f t="shared" si="9"/>
        <v>100</v>
      </c>
      <c r="T27" s="1576" t="s">
        <v>8</v>
      </c>
      <c r="U27" s="1577">
        <f t="shared" si="10"/>
        <v>100</v>
      </c>
      <c r="V27" s="1576" t="s">
        <v>8</v>
      </c>
      <c r="W27" s="1577">
        <f t="shared" si="11"/>
        <v>100</v>
      </c>
      <c r="X27" s="1578"/>
      <c r="Y27" s="3512"/>
      <c r="Z27" s="1579" t="str">
        <f t="shared" si="12"/>
        <v>项目停车位配比</v>
      </c>
      <c r="AA27" s="1575">
        <f t="shared" si="3"/>
        <v>1</v>
      </c>
      <c r="AB27" s="1575">
        <f t="shared" si="4"/>
        <v>1</v>
      </c>
      <c r="AC27" s="1575">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0"/>
      <c r="M28" s="2132"/>
      <c r="N28" s="2132"/>
      <c r="O28" s="2139"/>
      <c r="P28" s="3512"/>
      <c r="Q28" s="1571" t="str">
        <f t="shared" si="8"/>
        <v>公共部分装修</v>
      </c>
      <c r="R28" s="1572" t="s">
        <v>8</v>
      </c>
      <c r="S28" s="1573">
        <f t="shared" si="9"/>
        <v>100</v>
      </c>
      <c r="T28" s="1572" t="s">
        <v>8</v>
      </c>
      <c r="U28" s="1573">
        <f t="shared" si="10"/>
        <v>100</v>
      </c>
      <c r="V28" s="1572" t="s">
        <v>8</v>
      </c>
      <c r="W28" s="1573">
        <f t="shared" si="11"/>
        <v>100</v>
      </c>
      <c r="X28" s="1566"/>
      <c r="Y28" s="3512"/>
      <c r="Z28" s="1574" t="str">
        <f t="shared" si="12"/>
        <v>公共部分装修</v>
      </c>
      <c r="AA28" s="1575">
        <f t="shared" si="3"/>
        <v>1</v>
      </c>
      <c r="AB28" s="1575">
        <f t="shared" si="4"/>
        <v>1</v>
      </c>
      <c r="AC28" s="1575">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0"/>
      <c r="M29" s="2132"/>
      <c r="N29" s="2132"/>
      <c r="O29" s="2139"/>
      <c r="P29" s="3512"/>
      <c r="Q29" s="1571" t="str">
        <f t="shared" si="8"/>
        <v>成新率</v>
      </c>
      <c r="R29" s="1572" t="s">
        <v>8</v>
      </c>
      <c r="S29" s="1573" t="e">
        <f t="shared" si="9"/>
        <v>#N/A</v>
      </c>
      <c r="T29" s="1572" t="s">
        <v>8</v>
      </c>
      <c r="U29" s="1573" t="e">
        <f t="shared" si="10"/>
        <v>#N/A</v>
      </c>
      <c r="V29" s="1572" t="s">
        <v>8</v>
      </c>
      <c r="W29" s="1573" t="e">
        <f t="shared" si="11"/>
        <v>#N/A</v>
      </c>
      <c r="X29" s="1566"/>
      <c r="Y29" s="3512"/>
      <c r="Z29" s="1574" t="str">
        <f t="shared" si="12"/>
        <v>成新率</v>
      </c>
      <c r="AA29" s="1575" t="e">
        <f t="shared" si="3"/>
        <v>#N/A</v>
      </c>
      <c r="AB29" s="1575" t="e">
        <f t="shared" si="4"/>
        <v>#N/A</v>
      </c>
      <c r="AC29" s="1575"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0"/>
      <c r="M30" s="2132"/>
      <c r="N30" s="2132"/>
      <c r="O30" s="2139"/>
      <c r="P30" s="3512"/>
      <c r="Q30" s="1571" t="str">
        <f t="shared" si="8"/>
        <v>物业等级</v>
      </c>
      <c r="R30" s="1572" t="s">
        <v>8</v>
      </c>
      <c r="S30" s="1573">
        <f t="shared" si="9"/>
        <v>100</v>
      </c>
      <c r="T30" s="1572" t="s">
        <v>8</v>
      </c>
      <c r="U30" s="1573">
        <f t="shared" si="10"/>
        <v>100</v>
      </c>
      <c r="V30" s="1572" t="s">
        <v>8</v>
      </c>
      <c r="W30" s="1573">
        <f t="shared" si="11"/>
        <v>100</v>
      </c>
      <c r="X30" s="1566"/>
      <c r="Y30" s="3512"/>
      <c r="Z30" s="1574" t="str">
        <f t="shared" si="12"/>
        <v>物业等级</v>
      </c>
      <c r="AA30" s="1575">
        <f t="shared" si="3"/>
        <v>1</v>
      </c>
      <c r="AB30" s="1575">
        <f t="shared" si="4"/>
        <v>1</v>
      </c>
      <c r="AC30" s="1575">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3"/>
      <c r="M31" s="2134"/>
      <c r="N31" s="2134"/>
      <c r="O31" s="2135"/>
      <c r="P31" s="3512"/>
      <c r="Q31" s="1150" t="str">
        <f t="shared" si="8"/>
        <v>停车位面积</v>
      </c>
      <c r="R31" s="1567" t="s">
        <v>8</v>
      </c>
      <c r="S31" s="1568" t="e">
        <f t="shared" si="9"/>
        <v>#N/A</v>
      </c>
      <c r="T31" s="1567" t="s">
        <v>8</v>
      </c>
      <c r="U31" s="1568" t="e">
        <f t="shared" si="10"/>
        <v>#N/A</v>
      </c>
      <c r="V31" s="1567" t="s">
        <v>8</v>
      </c>
      <c r="W31" s="1568" t="e">
        <f t="shared" si="11"/>
        <v>#N/A</v>
      </c>
      <c r="X31" s="1569"/>
      <c r="Y31" s="3512"/>
      <c r="Z31" s="1149" t="str">
        <f t="shared" si="12"/>
        <v>停车位面积</v>
      </c>
      <c r="AA31" s="1570" t="e">
        <f t="shared" si="3"/>
        <v>#N/A</v>
      </c>
      <c r="AB31" s="1570" t="e">
        <f t="shared" si="4"/>
        <v>#N/A</v>
      </c>
      <c r="AC31" s="1570"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0"/>
      <c r="M32" s="2132"/>
      <c r="N32" s="2132"/>
      <c r="O32" s="2139"/>
      <c r="P32" s="3512" t="s">
        <v>550</v>
      </c>
      <c r="Q32" s="1571" t="str">
        <f t="shared" si="8"/>
        <v>车位类型</v>
      </c>
      <c r="R32" s="1572" t="s">
        <v>8</v>
      </c>
      <c r="S32" s="1573">
        <f t="shared" si="9"/>
        <v>100</v>
      </c>
      <c r="T32" s="1572" t="s">
        <v>8</v>
      </c>
      <c r="U32" s="1573">
        <f t="shared" si="10"/>
        <v>100</v>
      </c>
      <c r="V32" s="1572" t="s">
        <v>8</v>
      </c>
      <c r="W32" s="1573">
        <f t="shared" si="11"/>
        <v>100</v>
      </c>
      <c r="X32" s="1566"/>
      <c r="Y32" s="3512" t="s">
        <v>550</v>
      </c>
      <c r="Z32" s="1574" t="str">
        <f t="shared" si="12"/>
        <v>车位类型</v>
      </c>
      <c r="AA32" s="1575">
        <f t="shared" si="3"/>
        <v>1</v>
      </c>
      <c r="AB32" s="1575">
        <f t="shared" si="4"/>
        <v>1</v>
      </c>
      <c r="AC32" s="1575">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0"/>
      <c r="M33" s="2132"/>
      <c r="N33" s="2132"/>
      <c r="O33" s="2139"/>
      <c r="P33" s="3512"/>
      <c r="Q33" s="1571" t="str">
        <f t="shared" si="8"/>
        <v>是否直接入户</v>
      </c>
      <c r="R33" s="1572" t="s">
        <v>8</v>
      </c>
      <c r="S33" s="1573">
        <f t="shared" si="9"/>
        <v>100</v>
      </c>
      <c r="T33" s="1572" t="s">
        <v>8</v>
      </c>
      <c r="U33" s="1573">
        <f t="shared" si="10"/>
        <v>100</v>
      </c>
      <c r="V33" s="1572" t="s">
        <v>8</v>
      </c>
      <c r="W33" s="1573">
        <f t="shared" si="11"/>
        <v>100</v>
      </c>
      <c r="X33" s="1566"/>
      <c r="Y33" s="3512"/>
      <c r="Z33" s="1574" t="str">
        <f t="shared" si="12"/>
        <v>是否直接入户</v>
      </c>
      <c r="AA33" s="1575">
        <f t="shared" si="3"/>
        <v>1</v>
      </c>
      <c r="AB33" s="1575">
        <f t="shared" si="4"/>
        <v>1</v>
      </c>
      <c r="AC33" s="1575">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0"/>
      <c r="M34" s="2132"/>
      <c r="N34" s="2132"/>
      <c r="O34" s="2139"/>
      <c r="P34" s="3512"/>
      <c r="Q34" s="1571">
        <f t="shared" si="8"/>
        <v>111</v>
      </c>
      <c r="R34" s="1572" t="s">
        <v>8</v>
      </c>
      <c r="S34" s="1573">
        <f t="shared" si="9"/>
        <v>100</v>
      </c>
      <c r="T34" s="1572" t="s">
        <v>8</v>
      </c>
      <c r="U34" s="1573">
        <f t="shared" si="10"/>
        <v>100</v>
      </c>
      <c r="V34" s="1572" t="s">
        <v>8</v>
      </c>
      <c r="W34" s="1573">
        <f t="shared" si="11"/>
        <v>100</v>
      </c>
      <c r="X34" s="1566"/>
      <c r="Y34" s="3512"/>
      <c r="Z34" s="1574">
        <f t="shared" si="12"/>
        <v>111</v>
      </c>
      <c r="AA34" s="1575">
        <f t="shared" si="3"/>
        <v>1</v>
      </c>
      <c r="AB34" s="1575">
        <f t="shared" si="4"/>
        <v>1</v>
      </c>
      <c r="AC34" s="1575">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8"/>
      <c r="M35" s="2169"/>
      <c r="N35" s="2169"/>
      <c r="O35" s="2141"/>
      <c r="P35" s="3512"/>
      <c r="Q35" s="1604">
        <f t="shared" si="8"/>
        <v>111</v>
      </c>
      <c r="R35" s="1576" t="s">
        <v>8</v>
      </c>
      <c r="S35" s="1577">
        <f t="shared" si="9"/>
        <v>100</v>
      </c>
      <c r="T35" s="1576" t="s">
        <v>8</v>
      </c>
      <c r="U35" s="1577">
        <f t="shared" si="10"/>
        <v>100</v>
      </c>
      <c r="V35" s="1576" t="s">
        <v>8</v>
      </c>
      <c r="W35" s="1577">
        <f t="shared" si="11"/>
        <v>100</v>
      </c>
      <c r="X35" s="1578"/>
      <c r="Y35" s="3512"/>
      <c r="Z35" s="1579">
        <f t="shared" si="12"/>
        <v>111</v>
      </c>
      <c r="AA35" s="1575">
        <f t="shared" si="3"/>
        <v>1</v>
      </c>
      <c r="AB35" s="1575">
        <f t="shared" si="4"/>
        <v>1</v>
      </c>
      <c r="AC35" s="1575">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0"/>
      <c r="M36" s="2132"/>
      <c r="N36" s="2132"/>
      <c r="O36" s="2139"/>
      <c r="P36" s="3512"/>
      <c r="Q36" s="1571">
        <f t="shared" si="8"/>
        <v>111</v>
      </c>
      <c r="R36" s="1572" t="s">
        <v>8</v>
      </c>
      <c r="S36" s="1573">
        <f t="shared" si="9"/>
        <v>100</v>
      </c>
      <c r="T36" s="1572" t="s">
        <v>8</v>
      </c>
      <c r="U36" s="1573">
        <f t="shared" si="10"/>
        <v>100</v>
      </c>
      <c r="V36" s="1572" t="s">
        <v>8</v>
      </c>
      <c r="W36" s="1573">
        <f t="shared" si="11"/>
        <v>100</v>
      </c>
      <c r="X36" s="1566"/>
      <c r="Y36" s="3512"/>
      <c r="Z36" s="1574">
        <f t="shared" si="12"/>
        <v>111</v>
      </c>
      <c r="AA36" s="1575">
        <f t="shared" si="3"/>
        <v>1</v>
      </c>
      <c r="AB36" s="1575">
        <f t="shared" si="4"/>
        <v>1</v>
      </c>
      <c r="AC36" s="1575">
        <f t="shared" si="5"/>
        <v>1</v>
      </c>
    </row>
    <row r="37" spans="1:29" ht="15">
      <c r="A37" s="1844" t="s">
        <v>2077</v>
      </c>
      <c r="B37" s="1845" t="s">
        <v>2078</v>
      </c>
      <c r="C37" s="2625" t="s">
        <v>1</v>
      </c>
      <c r="D37" s="2626"/>
      <c r="E37" s="2627"/>
      <c r="F37" s="2628"/>
      <c r="G37" s="2629"/>
      <c r="H37" s="2630"/>
      <c r="I37" s="2627"/>
      <c r="J37" s="2630"/>
      <c r="K37" s="1610"/>
      <c r="L37" s="2142"/>
      <c r="M37" s="2143"/>
      <c r="N37" s="2132"/>
      <c r="O37" s="2143"/>
      <c r="P37" s="3507" t="str">
        <f>A37</f>
        <v>成交单价</v>
      </c>
      <c r="Q37" s="3507"/>
      <c r="R37" s="3612">
        <f>E37</f>
        <v>0</v>
      </c>
      <c r="S37" s="3612"/>
      <c r="T37" s="3612">
        <f>G37</f>
        <v>0</v>
      </c>
      <c r="U37" s="3612"/>
      <c r="V37" s="3612">
        <f>I37</f>
        <v>0</v>
      </c>
      <c r="W37" s="3612"/>
      <c r="X37" s="1558"/>
      <c r="Y37" s="1580"/>
      <c r="Z37" s="1558"/>
      <c r="AA37" s="1558"/>
      <c r="AB37" s="1558"/>
      <c r="AC37" s="1558"/>
    </row>
    <row r="38" spans="1:29" ht="15.75" thickBot="1">
      <c r="A38" s="614" t="s">
        <v>2757</v>
      </c>
      <c r="B38" s="887"/>
      <c r="C38" s="2631" t="e">
        <f>R39</f>
        <v>#DIV/0!</v>
      </c>
      <c r="D38" s="2632"/>
      <c r="E38" s="2633" t="e">
        <f>R38</f>
        <v>#DIV/0!</v>
      </c>
      <c r="F38" s="2633"/>
      <c r="G38" s="2631" t="e">
        <f>T38</f>
        <v>#DIV/0!</v>
      </c>
      <c r="H38" s="2632"/>
      <c r="I38" s="2633" t="e">
        <f>V38</f>
        <v>#DIV/0!</v>
      </c>
      <c r="J38" s="2632"/>
      <c r="K38" s="1611"/>
      <c r="L38" s="2142"/>
      <c r="M38" s="2143"/>
      <c r="N38" s="2143"/>
      <c r="O38" s="2143"/>
      <c r="P38" s="3507" t="str">
        <f>A38</f>
        <v>比较价格（元/平方米）</v>
      </c>
      <c r="Q38" s="3507"/>
      <c r="R38" s="3612" t="e">
        <f>IF(F1="售价",ROUND(PRODUCT(R37,AA7:AA36),0),ROUND(PRODUCT(R37,AA7:AA36),1))</f>
        <v>#DIV/0!</v>
      </c>
      <c r="S38" s="3612"/>
      <c r="T38" s="3612" t="e">
        <f>IF(F1="售价",ROUND(PRODUCT(T37,AB7:AB36),0),ROUND(PRODUCT(T37,AB7:AB36),1))</f>
        <v>#DIV/0!</v>
      </c>
      <c r="U38" s="3612"/>
      <c r="V38" s="3612" t="e">
        <f>IF(F1="售价",ROUND(PRODUCT(V37,AC7:AC36),0),ROUND(PRODUCT(V37,AC7:AC36),1))</f>
        <v>#DIV/0!</v>
      </c>
      <c r="W38" s="3612"/>
      <c r="X38" s="1558"/>
      <c r="Y38" s="1558"/>
      <c r="Z38" s="1558"/>
      <c r="AA38" s="1558"/>
      <c r="AB38" s="1558"/>
      <c r="AC38" s="1558"/>
    </row>
    <row r="39" spans="1:29" ht="15.75" thickBot="1">
      <c r="A39" s="620" t="s">
        <v>2921</v>
      </c>
      <c r="B39" s="621"/>
      <c r="C39" s="2634" t="e">
        <f>R39</f>
        <v>#DIV/0!</v>
      </c>
      <c r="D39" s="2634"/>
      <c r="E39" s="2634"/>
      <c r="F39" s="2634"/>
      <c r="G39" s="2634"/>
      <c r="H39" s="2634"/>
      <c r="I39" s="2634"/>
      <c r="J39" s="2634"/>
      <c r="K39" s="1612"/>
      <c r="L39" s="2142"/>
      <c r="M39" s="2143"/>
      <c r="N39" s="2143"/>
      <c r="O39" s="2143"/>
      <c r="P39" s="3528" t="str">
        <f>A39</f>
        <v>估价对象XX用房的比较价格（楼面单价，元/平方米）</v>
      </c>
      <c r="Q39" s="3529"/>
      <c r="R39" s="3611" t="e">
        <f>IF(F1="售价",ROUND(AVERAGE(R38:V38),0),ROUND(AVERAGE(R38:V38),1))</f>
        <v>#DIV/0!</v>
      </c>
      <c r="S39" s="3611"/>
      <c r="T39" s="3611"/>
      <c r="U39" s="3611"/>
      <c r="V39" s="3611"/>
      <c r="W39" s="3611"/>
      <c r="X39" s="1558"/>
      <c r="Y39" s="1558"/>
      <c r="Z39" s="1558"/>
      <c r="AA39" s="1558"/>
      <c r="AB39" s="1558"/>
      <c r="AC39" s="1558"/>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4" customFormat="1" ht="13.5" customHeight="1">
      <c r="A44" s="2144"/>
      <c r="B44" s="2144"/>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4"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3" t="s">
        <v>574</v>
      </c>
      <c r="B47" s="1558"/>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6" customFormat="1" ht="15">
      <c r="A48" s="644" t="s">
        <v>529</v>
      </c>
      <c r="B48" s="645"/>
      <c r="C48" s="2800" t="str">
        <f>YEAR(C7)&amp;"-"&amp;MONTH(C7)</f>
        <v>2018-12</v>
      </c>
      <c r="D48" s="2802">
        <f>EDATE(C48,-1)</f>
        <v>43405</v>
      </c>
      <c r="E48" s="2802">
        <f t="shared" ref="E48:O48" si="13">EDATE(D48,-1)</f>
        <v>43374</v>
      </c>
      <c r="F48" s="2802">
        <f t="shared" si="13"/>
        <v>43344</v>
      </c>
      <c r="G48" s="2802">
        <f t="shared" si="13"/>
        <v>43313</v>
      </c>
      <c r="H48" s="2802">
        <f t="shared" si="13"/>
        <v>43282</v>
      </c>
      <c r="I48" s="2802">
        <f t="shared" si="13"/>
        <v>43252</v>
      </c>
      <c r="J48" s="2802">
        <f t="shared" si="13"/>
        <v>43221</v>
      </c>
      <c r="K48" s="2802">
        <f t="shared" si="13"/>
        <v>43191</v>
      </c>
      <c r="L48" s="2802">
        <f t="shared" si="13"/>
        <v>43160</v>
      </c>
      <c r="M48" s="2802">
        <f t="shared" si="13"/>
        <v>43132</v>
      </c>
      <c r="N48" s="2802">
        <f t="shared" si="13"/>
        <v>43101</v>
      </c>
      <c r="O48" s="2802">
        <f t="shared" si="13"/>
        <v>43070</v>
      </c>
      <c r="P48" s="2158"/>
      <c r="Q48" s="2159"/>
      <c r="R48" s="2159"/>
      <c r="S48" s="2159"/>
      <c r="T48" s="2159"/>
      <c r="U48" s="2159"/>
      <c r="V48" s="2159"/>
      <c r="W48" s="2159"/>
      <c r="X48" s="2159"/>
      <c r="Y48" s="2159"/>
      <c r="Z48" s="2159"/>
      <c r="AA48" s="2159"/>
      <c r="AB48" s="2159"/>
      <c r="AC48" s="2159"/>
    </row>
    <row r="49" spans="1:29" s="1219" customFormat="1" ht="15">
      <c r="A49" s="646"/>
      <c r="B49" s="647"/>
      <c r="C49" s="2801">
        <v>100</v>
      </c>
      <c r="D49" s="649"/>
      <c r="E49" s="649"/>
      <c r="F49" s="649"/>
      <c r="G49" s="649"/>
      <c r="H49" s="649"/>
      <c r="I49" s="649"/>
      <c r="J49" s="649"/>
      <c r="K49" s="649"/>
      <c r="L49" s="649"/>
      <c r="M49" s="650"/>
      <c r="N49" s="649"/>
      <c r="O49" s="651"/>
      <c r="P49" s="2156"/>
      <c r="Q49" s="1991"/>
      <c r="R49" s="1991"/>
      <c r="S49" s="1991"/>
      <c r="T49" s="1991"/>
      <c r="U49" s="1991"/>
      <c r="V49" s="1991"/>
      <c r="W49" s="1991"/>
      <c r="X49" s="1991"/>
      <c r="Y49" s="1991"/>
      <c r="Z49" s="1991"/>
      <c r="AA49" s="1991"/>
      <c r="AB49" s="1991"/>
      <c r="AC49" s="1991"/>
    </row>
    <row r="50" spans="1:29" s="1219" customFormat="1" ht="15.75" thickBot="1">
      <c r="A50" s="652" t="s">
        <v>575</v>
      </c>
      <c r="B50" s="653"/>
      <c r="C50" s="654"/>
      <c r="D50" s="655"/>
      <c r="E50" s="655"/>
      <c r="F50" s="655"/>
      <c r="G50" s="655"/>
      <c r="H50" s="655"/>
      <c r="I50" s="655"/>
      <c r="J50" s="655"/>
      <c r="K50" s="655"/>
      <c r="L50" s="655"/>
      <c r="M50" s="656"/>
      <c r="N50" s="655"/>
      <c r="O50" s="657"/>
      <c r="P50" s="2156"/>
      <c r="Q50" s="2156"/>
      <c r="R50" s="1991"/>
      <c r="S50" s="1991"/>
      <c r="T50" s="1991"/>
      <c r="U50" s="1991"/>
      <c r="V50" s="1991"/>
      <c r="W50" s="1991"/>
      <c r="X50" s="1991"/>
      <c r="Y50" s="1991"/>
      <c r="Z50" s="1991"/>
      <c r="AA50" s="1991"/>
      <c r="AB50" s="1991"/>
      <c r="AC50" s="1991"/>
    </row>
    <row r="51" spans="1:29" s="1219" customFormat="1" ht="15">
      <c r="A51" s="658" t="s">
        <v>531</v>
      </c>
      <c r="B51" s="647"/>
      <c r="C51" s="659" t="s">
        <v>576</v>
      </c>
      <c r="D51" s="660"/>
      <c r="E51" s="660"/>
      <c r="F51" s="660"/>
      <c r="G51" s="660"/>
      <c r="H51" s="660"/>
      <c r="I51" s="660"/>
      <c r="J51" s="660"/>
      <c r="K51" s="660"/>
      <c r="L51" s="661"/>
      <c r="M51" s="662"/>
      <c r="N51" s="2160"/>
      <c r="O51" s="2160"/>
      <c r="P51" s="2161"/>
      <c r="Q51" s="2156"/>
      <c r="R51" s="1991"/>
      <c r="S51" s="1991"/>
      <c r="T51" s="1991"/>
      <c r="U51" s="1991"/>
      <c r="V51" s="1991"/>
      <c r="W51" s="1991"/>
      <c r="X51" s="1991"/>
      <c r="Y51" s="1991"/>
      <c r="Z51" s="1991"/>
      <c r="AA51" s="1991"/>
      <c r="AB51" s="1991"/>
      <c r="AC51" s="1991"/>
    </row>
    <row r="52" spans="1:29" s="1219" customFormat="1" ht="15.75" thickBot="1">
      <c r="A52" s="658"/>
      <c r="B52" s="647"/>
      <c r="C52" s="648">
        <v>100</v>
      </c>
      <c r="D52" s="649"/>
      <c r="E52" s="649"/>
      <c r="F52" s="649"/>
      <c r="G52" s="649"/>
      <c r="H52" s="649"/>
      <c r="I52" s="649"/>
      <c r="J52" s="649"/>
      <c r="K52" s="649"/>
      <c r="L52" s="649"/>
      <c r="M52" s="651"/>
      <c r="N52" s="2160"/>
      <c r="O52" s="2160"/>
      <c r="P52" s="2156"/>
      <c r="Q52" s="2156"/>
      <c r="R52" s="1991"/>
      <c r="S52" s="1991"/>
      <c r="T52" s="1991"/>
      <c r="U52" s="1991"/>
      <c r="V52" s="1991"/>
      <c r="W52" s="1991"/>
      <c r="X52" s="1991"/>
      <c r="Y52" s="1991"/>
      <c r="Z52" s="1991"/>
      <c r="AA52" s="1991"/>
      <c r="AB52" s="1991"/>
      <c r="AC52" s="1991"/>
    </row>
    <row r="53" spans="1:29">
      <c r="A53" s="663" t="s">
        <v>577</v>
      </c>
      <c r="B53" s="664" t="s">
        <v>534</v>
      </c>
      <c r="C53" s="703">
        <f>C9</f>
        <v>0</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5.75"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5.75" thickTop="1">
      <c r="A57" s="668"/>
      <c r="B57" s="934">
        <f>B11</f>
        <v>111</v>
      </c>
      <c r="C57" s="540"/>
      <c r="D57" s="540"/>
      <c r="E57" s="540"/>
      <c r="F57" s="540"/>
      <c r="G57" s="540"/>
      <c r="H57" s="540"/>
      <c r="I57" s="540"/>
      <c r="J57" s="540"/>
      <c r="K57" s="683"/>
      <c r="L57" s="684"/>
      <c r="M57" s="685"/>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8" customFormat="1" ht="15.75" thickTop="1">
      <c r="A59" s="686"/>
      <c r="B59" s="672">
        <f>B12</f>
        <v>111</v>
      </c>
      <c r="C59" s="540"/>
      <c r="D59" s="540"/>
      <c r="E59" s="540"/>
      <c r="F59" s="540"/>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8" customFormat="1" ht="15.75"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8" customFormat="1" ht="15.75"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8" customFormat="1" ht="15.75"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1894" t="s">
        <v>2555</v>
      </c>
      <c r="C65" s="707" t="s">
        <v>579</v>
      </c>
      <c r="D65" s="707" t="s">
        <v>580</v>
      </c>
      <c r="E65" s="707" t="s">
        <v>581</v>
      </c>
      <c r="F65" s="707" t="s">
        <v>582</v>
      </c>
      <c r="G65" s="707" t="s">
        <v>583</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2595" t="s">
        <v>2556</v>
      </c>
      <c r="C67" s="2596" t="s">
        <v>2557</v>
      </c>
      <c r="D67" s="2596" t="s">
        <v>2558</v>
      </c>
      <c r="E67" s="2596" t="s">
        <v>2559</v>
      </c>
      <c r="F67" s="2596" t="s">
        <v>2560</v>
      </c>
      <c r="G67" s="2596" t="s">
        <v>2561</v>
      </c>
      <c r="H67" s="673"/>
      <c r="I67" s="673"/>
      <c r="J67" s="673"/>
      <c r="K67" s="673"/>
      <c r="L67" s="673"/>
      <c r="M67" s="2599"/>
      <c r="N67" s="2164"/>
      <c r="O67" s="2164"/>
      <c r="P67" s="2163"/>
      <c r="Q67" s="2156"/>
      <c r="R67" s="2143"/>
      <c r="S67" s="2143"/>
      <c r="T67" s="2143"/>
      <c r="U67" s="2143"/>
      <c r="V67" s="2143"/>
      <c r="W67" s="2143"/>
      <c r="X67" s="2143"/>
      <c r="Y67" s="2143"/>
      <c r="Z67" s="2143"/>
      <c r="AA67" s="2143"/>
      <c r="AB67" s="2143"/>
      <c r="AC67" s="2143"/>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744</v>
      </c>
      <c r="C69" s="707" t="s">
        <v>579</v>
      </c>
      <c r="D69" s="707" t="s">
        <v>580</v>
      </c>
      <c r="E69" s="707" t="s">
        <v>581</v>
      </c>
      <c r="F69" s="707" t="s">
        <v>582</v>
      </c>
      <c r="G69" s="707" t="s">
        <v>583</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75" thickTop="1">
      <c r="A71" s="668"/>
      <c r="B71" s="672" t="s">
        <v>745</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9" customFormat="1" ht="15.75" thickTop="1">
      <c r="A73" s="708"/>
      <c r="B73" s="672">
        <f>B23</f>
        <v>111</v>
      </c>
      <c r="C73" s="540"/>
      <c r="D73" s="540"/>
      <c r="E73" s="540"/>
      <c r="F73" s="540"/>
      <c r="G73" s="687"/>
      <c r="H73" s="687"/>
      <c r="I73" s="687"/>
      <c r="J73" s="687"/>
      <c r="K73" s="687"/>
      <c r="L73" s="889"/>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219" customFormat="1" ht="15.75" thickTop="1">
      <c r="A75" s="708"/>
      <c r="B75" s="672">
        <f>B24</f>
        <v>111</v>
      </c>
      <c r="C75" s="540"/>
      <c r="D75" s="540"/>
      <c r="E75" s="540"/>
      <c r="F75" s="540"/>
      <c r="G75" s="687"/>
      <c r="H75" s="687"/>
      <c r="I75" s="687"/>
      <c r="J75" s="687"/>
      <c r="K75" s="687"/>
      <c r="L75" s="687"/>
      <c r="M75" s="890"/>
      <c r="N75" s="2160"/>
      <c r="O75" s="2160"/>
      <c r="P75" s="2163"/>
      <c r="Q75" s="2156"/>
      <c r="R75" s="1991"/>
      <c r="S75" s="1991"/>
      <c r="T75" s="1991"/>
      <c r="U75" s="1991"/>
      <c r="V75" s="1991"/>
      <c r="W75" s="1991"/>
      <c r="X75" s="1991"/>
      <c r="Y75" s="1991"/>
      <c r="Z75" s="1991"/>
      <c r="AA75" s="1991"/>
      <c r="AB75" s="1991"/>
      <c r="AC75" s="1991"/>
    </row>
    <row r="76" spans="1:29" s="1219" customFormat="1" ht="15.75" thickBot="1">
      <c r="A76" s="708"/>
      <c r="B76" s="677"/>
      <c r="C76" s="691"/>
      <c r="D76" s="670"/>
      <c r="E76" s="670"/>
      <c r="F76" s="670"/>
      <c r="G76" s="670"/>
      <c r="H76" s="670"/>
      <c r="I76" s="670"/>
      <c r="J76" s="670"/>
      <c r="K76" s="670"/>
      <c r="L76" s="670"/>
      <c r="M76" s="671"/>
      <c r="N76" s="2164"/>
      <c r="O76" s="2164"/>
      <c r="P76" s="2163"/>
      <c r="Q76" s="2156"/>
      <c r="R76" s="1991"/>
      <c r="S76" s="1991"/>
      <c r="T76" s="1991"/>
      <c r="U76" s="1991"/>
      <c r="V76" s="1991"/>
      <c r="W76" s="1991"/>
      <c r="X76" s="1991"/>
      <c r="Y76" s="1991"/>
      <c r="Z76" s="1991"/>
      <c r="AA76" s="1991"/>
      <c r="AB76" s="1991"/>
      <c r="AC76" s="1991"/>
    </row>
    <row r="77" spans="1:29" s="1338" customFormat="1" ht="15.75"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8" customFormat="1" ht="15.75"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7.75" thickTop="1">
      <c r="A79" s="663" t="s">
        <v>551</v>
      </c>
      <c r="B79" s="664" t="s">
        <v>814</v>
      </c>
      <c r="C79" s="703">
        <f>C26</f>
        <v>0</v>
      </c>
      <c r="D79" s="597"/>
      <c r="E79" s="597"/>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v>100</v>
      </c>
      <c r="D80" s="678">
        <f t="shared" ref="D80:M80" si="14">C80-$K26</f>
        <v>100</v>
      </c>
      <c r="E80" s="678">
        <f t="shared" si="14"/>
        <v>100</v>
      </c>
      <c r="F80" s="678">
        <f t="shared" si="14"/>
        <v>100</v>
      </c>
      <c r="G80" s="678">
        <f t="shared" si="14"/>
        <v>100</v>
      </c>
      <c r="H80" s="678">
        <f t="shared" si="14"/>
        <v>100</v>
      </c>
      <c r="I80" s="678">
        <f t="shared" si="14"/>
        <v>100</v>
      </c>
      <c r="J80" s="678">
        <f t="shared" si="14"/>
        <v>100</v>
      </c>
      <c r="K80" s="678">
        <f t="shared" si="14"/>
        <v>100</v>
      </c>
      <c r="L80" s="678">
        <f t="shared" si="14"/>
        <v>100</v>
      </c>
      <c r="M80" s="679">
        <f t="shared" si="14"/>
        <v>100</v>
      </c>
      <c r="N80" s="2164"/>
      <c r="O80" s="2164"/>
      <c r="P80" s="2163"/>
      <c r="Q80" s="2156"/>
      <c r="R80" s="2143"/>
      <c r="S80" s="2143"/>
      <c r="T80" s="2143"/>
      <c r="U80" s="2143"/>
      <c r="V80" s="2143"/>
      <c r="W80" s="2143"/>
      <c r="X80" s="2143"/>
      <c r="Y80" s="2143"/>
      <c r="Z80" s="2143"/>
      <c r="AA80" s="2143"/>
      <c r="AB80" s="2143"/>
      <c r="AC80" s="2143"/>
    </row>
    <row r="81" spans="1:29" ht="15.75" thickTop="1">
      <c r="A81" s="668"/>
      <c r="B81" s="672" t="s">
        <v>815</v>
      </c>
      <c r="C81" s="935"/>
      <c r="D81" s="935"/>
      <c r="E81" s="935"/>
      <c r="F81" s="935"/>
      <c r="G81" s="935"/>
      <c r="H81" s="935"/>
      <c r="I81" s="935"/>
      <c r="J81" s="935"/>
      <c r="K81" s="936"/>
      <c r="L81" s="937"/>
      <c r="M81" s="938"/>
      <c r="N81" s="2160"/>
      <c r="O81" s="2160"/>
      <c r="P81" s="2163"/>
      <c r="Q81" s="2156"/>
      <c r="R81" s="2143"/>
      <c r="S81" s="2143"/>
      <c r="T81" s="2143"/>
      <c r="U81" s="2143"/>
      <c r="V81" s="2143"/>
      <c r="W81" s="2143"/>
      <c r="X81" s="2143"/>
      <c r="Y81" s="2143"/>
      <c r="Z81" s="2143"/>
      <c r="AA81" s="2143"/>
      <c r="AB81" s="2143"/>
      <c r="AC81" s="2143"/>
    </row>
    <row r="82" spans="1:29" s="1338" customFormat="1" ht="15.75"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751</v>
      </c>
      <c r="C83" s="687"/>
      <c r="D83" s="687"/>
      <c r="E83" s="717"/>
      <c r="F83" s="717"/>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5.75" thickBot="1">
      <c r="A84" s="668"/>
      <c r="B84" s="677"/>
      <c r="C84" s="678">
        <v>100</v>
      </c>
      <c r="D84" s="678">
        <f t="shared" ref="D84:M84" si="15">C84-$K28</f>
        <v>100</v>
      </c>
      <c r="E84" s="678">
        <f t="shared" si="15"/>
        <v>100</v>
      </c>
      <c r="F84" s="678">
        <f t="shared" si="15"/>
        <v>100</v>
      </c>
      <c r="G84" s="678">
        <f t="shared" si="15"/>
        <v>100</v>
      </c>
      <c r="H84" s="678">
        <f t="shared" si="15"/>
        <v>100</v>
      </c>
      <c r="I84" s="678">
        <f t="shared" si="15"/>
        <v>100</v>
      </c>
      <c r="J84" s="678">
        <f t="shared" si="15"/>
        <v>100</v>
      </c>
      <c r="K84" s="678">
        <f t="shared" si="15"/>
        <v>100</v>
      </c>
      <c r="L84" s="678">
        <f t="shared" si="15"/>
        <v>100</v>
      </c>
      <c r="M84" s="679">
        <f t="shared" si="15"/>
        <v>100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3">
        <v>0.5</v>
      </c>
      <c r="D86" s="893">
        <v>0.6</v>
      </c>
      <c r="E86" s="893">
        <v>0.7</v>
      </c>
      <c r="F86" s="893">
        <v>0.8</v>
      </c>
      <c r="G86" s="893">
        <v>0.9</v>
      </c>
      <c r="H86" s="893">
        <v>1.0001</v>
      </c>
      <c r="I86" s="904"/>
      <c r="J86" s="904"/>
      <c r="K86" s="905"/>
      <c r="L86" s="906"/>
      <c r="M86" s="907"/>
      <c r="N86" s="2162"/>
      <c r="O86" s="2162"/>
      <c r="P86" s="2163"/>
      <c r="Q86" s="2156"/>
      <c r="R86" s="2143"/>
      <c r="S86" s="2143"/>
      <c r="T86" s="2143"/>
      <c r="U86" s="2143"/>
      <c r="V86" s="2143"/>
      <c r="W86" s="2143"/>
      <c r="X86" s="2143"/>
      <c r="Y86" s="2143"/>
      <c r="Z86" s="2143"/>
      <c r="AA86" s="2143"/>
      <c r="AB86" s="2143"/>
      <c r="AC86" s="2143"/>
    </row>
    <row r="87" spans="1:29" ht="15.75" thickBot="1">
      <c r="A87" s="668"/>
      <c r="B87" s="677"/>
      <c r="C87" s="711">
        <v>100</v>
      </c>
      <c r="D87" s="678">
        <f>C87+$K$29</f>
        <v>100</v>
      </c>
      <c r="E87" s="678">
        <f t="shared" ref="E87:M87" si="16">D87+$K$29</f>
        <v>100</v>
      </c>
      <c r="F87" s="678">
        <f t="shared" si="16"/>
        <v>100</v>
      </c>
      <c r="G87" s="678">
        <f t="shared" si="16"/>
        <v>100</v>
      </c>
      <c r="H87" s="678">
        <f t="shared" si="16"/>
        <v>100</v>
      </c>
      <c r="I87" s="678">
        <f t="shared" si="16"/>
        <v>100</v>
      </c>
      <c r="J87" s="678">
        <f t="shared" si="16"/>
        <v>100</v>
      </c>
      <c r="K87" s="678">
        <f t="shared" si="16"/>
        <v>100</v>
      </c>
      <c r="L87" s="678">
        <f t="shared" si="16"/>
        <v>100</v>
      </c>
      <c r="M87" s="678">
        <f t="shared" si="16"/>
        <v>100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817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711">
        <v>100</v>
      </c>
      <c r="D89" s="678">
        <f t="shared" ref="D89:M89" si="17">C89+$K30</f>
        <v>100</v>
      </c>
      <c r="E89" s="678">
        <f t="shared" si="17"/>
        <v>100</v>
      </c>
      <c r="F89" s="678">
        <f t="shared" si="17"/>
        <v>100</v>
      </c>
      <c r="G89" s="678">
        <f t="shared" si="17"/>
        <v>100</v>
      </c>
      <c r="H89" s="678">
        <f t="shared" si="17"/>
        <v>100</v>
      </c>
      <c r="I89" s="678">
        <f t="shared" si="17"/>
        <v>100</v>
      </c>
      <c r="J89" s="678">
        <f t="shared" si="17"/>
        <v>100</v>
      </c>
      <c r="K89" s="678">
        <f t="shared" si="17"/>
        <v>100</v>
      </c>
      <c r="L89" s="678">
        <f t="shared" si="17"/>
        <v>100</v>
      </c>
      <c r="M89" s="678">
        <f t="shared" si="17"/>
        <v>100</v>
      </c>
      <c r="N89" s="2164"/>
      <c r="O89" s="2164"/>
      <c r="P89" s="2163"/>
      <c r="Q89" s="2156"/>
      <c r="R89" s="2143"/>
      <c r="S89" s="2143"/>
      <c r="T89" s="2143"/>
      <c r="U89" s="2143"/>
      <c r="V89" s="2143"/>
      <c r="W89" s="2143"/>
      <c r="X89" s="2143"/>
      <c r="Y89" s="2143"/>
      <c r="Z89" s="2143"/>
      <c r="AA89" s="2143"/>
      <c r="AB89" s="2143"/>
      <c r="AC89" s="2143"/>
    </row>
    <row r="90" spans="1:29" s="1338" customFormat="1" ht="15" thickTop="1">
      <c r="A90" s="727"/>
      <c r="B90" s="672" t="s">
        <v>818</v>
      </c>
      <c r="C90" s="707" t="str">
        <f>C91&amp;"(含)"&amp;"-"&amp;D91</f>
        <v>(含)-</v>
      </c>
      <c r="D90" s="707" t="str">
        <f t="shared" ref="D90:L90" si="18">D91&amp;"(含)"&amp;"-"&amp;E91</f>
        <v>(含)-</v>
      </c>
      <c r="E90" s="707" t="str">
        <f t="shared" si="18"/>
        <v>(含)-</v>
      </c>
      <c r="F90" s="707" t="str">
        <f t="shared" si="18"/>
        <v>(含)-</v>
      </c>
      <c r="G90" s="707" t="str">
        <f t="shared" si="18"/>
        <v>(含)-</v>
      </c>
      <c r="H90" s="707" t="str">
        <f t="shared" si="18"/>
        <v>(含)-</v>
      </c>
      <c r="I90" s="707" t="str">
        <f t="shared" si="18"/>
        <v>(含)-</v>
      </c>
      <c r="J90" s="707" t="str">
        <f t="shared" si="18"/>
        <v>(含)-</v>
      </c>
      <c r="K90" s="707" t="str">
        <f t="shared" si="18"/>
        <v>(含)-</v>
      </c>
      <c r="L90" s="707" t="str">
        <f t="shared" si="18"/>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8" customFormat="1">
      <c r="A91" s="727"/>
      <c r="B91" s="680"/>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819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19">C94-$K32</f>
        <v>100</v>
      </c>
      <c r="E94" s="678">
        <f t="shared" si="19"/>
        <v>100</v>
      </c>
      <c r="F94" s="678">
        <f t="shared" si="19"/>
        <v>100</v>
      </c>
      <c r="G94" s="678">
        <f t="shared" si="19"/>
        <v>100</v>
      </c>
      <c r="H94" s="678">
        <f t="shared" si="19"/>
        <v>100</v>
      </c>
      <c r="I94" s="678">
        <f t="shared" si="19"/>
        <v>100</v>
      </c>
      <c r="J94" s="678">
        <f t="shared" si="19"/>
        <v>100</v>
      </c>
      <c r="K94" s="678">
        <f t="shared" si="19"/>
        <v>100</v>
      </c>
      <c r="L94" s="678">
        <f t="shared" si="19"/>
        <v>100</v>
      </c>
      <c r="M94" s="679">
        <f t="shared" si="19"/>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820</v>
      </c>
      <c r="C95" s="597"/>
      <c r="D95" s="597"/>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5" thickTop="1">
      <c r="A97" s="734"/>
      <c r="B97" s="916">
        <f>B34</f>
        <v>111</v>
      </c>
      <c r="C97" s="540"/>
      <c r="D97" s="540"/>
      <c r="E97" s="540"/>
      <c r="F97" s="540"/>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5.75"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8" customFormat="1" ht="15" thickTop="1">
      <c r="A99" s="727"/>
      <c r="B99" s="672">
        <f>B35</f>
        <v>111</v>
      </c>
      <c r="C99" s="540"/>
      <c r="D99" s="540"/>
      <c r="E99" s="540"/>
      <c r="F99" s="540"/>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8" customFormat="1" ht="15.75"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5"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39" priority="14" stopIfTrue="1" operator="containsText" text="超过">
      <formula>NOT(ISERROR(SEARCH("超过",F42)))</formula>
    </cfRule>
  </conditionalFormatting>
  <conditionalFormatting sqref="J44">
    <cfRule type="containsText" dxfId="38" priority="13" stopIfTrue="1" operator="containsText" text="超过">
      <formula>NOT(ISERROR(SEARCH("超过",J44)))</formula>
    </cfRule>
  </conditionalFormatting>
  <conditionalFormatting sqref="H44">
    <cfRule type="containsText" dxfId="37" priority="12" stopIfTrue="1" operator="containsText" text="超过">
      <formula>NOT(ISERROR(SEARCH("超过",H44)))</formula>
    </cfRule>
  </conditionalFormatting>
  <conditionalFormatting sqref="F44">
    <cfRule type="containsText" dxfId="36" priority="11" stopIfTrue="1" operator="containsText" text="超过">
      <formula>NOT(ISERROR(SEARCH("超过",F44)))</formula>
    </cfRule>
  </conditionalFormatting>
  <conditionalFormatting sqref="F43 H43 J43">
    <cfRule type="containsText" dxfId="35" priority="10" stopIfTrue="1" operator="containsText" text="超过">
      <formula>NOT(ISERROR(SEARCH("超过",F43)))</formula>
    </cfRule>
  </conditionalFormatting>
  <conditionalFormatting sqref="E42">
    <cfRule type="expression" dxfId="34" priority="9" stopIfTrue="1">
      <formula>$F$42="超过30%"</formula>
    </cfRule>
  </conditionalFormatting>
  <conditionalFormatting sqref="G44">
    <cfRule type="expression" dxfId="33" priority="8" stopIfTrue="1">
      <formula>$H$54+$H$44="超过30%"</formula>
    </cfRule>
  </conditionalFormatting>
  <conditionalFormatting sqref="E43">
    <cfRule type="expression" dxfId="32" priority="7" stopIfTrue="1">
      <formula>$F$43="超过20%"</formula>
    </cfRule>
  </conditionalFormatting>
  <conditionalFormatting sqref="E44">
    <cfRule type="expression" dxfId="31" priority="6" stopIfTrue="1">
      <formula>$F$44="超过30%"</formula>
    </cfRule>
  </conditionalFormatting>
  <conditionalFormatting sqref="G42">
    <cfRule type="expression" dxfId="30" priority="5" stopIfTrue="1">
      <formula>$H$52+$H$42="超过30%"</formula>
    </cfRule>
  </conditionalFormatting>
  <conditionalFormatting sqref="G43">
    <cfRule type="expression" dxfId="29" priority="4" stopIfTrue="1">
      <formula>$H$43="超过20%"</formula>
    </cfRule>
  </conditionalFormatting>
  <conditionalFormatting sqref="I42">
    <cfRule type="expression" dxfId="28" priority="3" stopIfTrue="1">
      <formula>$J$52+$J$42="超过30%"</formula>
    </cfRule>
  </conditionalFormatting>
  <conditionalFormatting sqref="I43">
    <cfRule type="expression" dxfId="27" priority="2" stopIfTrue="1">
      <formula>$J$53+$J$43="超过20%"</formula>
    </cfRule>
  </conditionalFormatting>
  <conditionalFormatting sqref="I44">
    <cfRule type="expression" dxfId="26"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北京万龙华房地产开发有限公司 ：</v>
      </c>
    </row>
    <row r="4" spans="1:4" ht="37.5">
      <c r="A4" s="1790" t="str">
        <f>"受贵公司委托，我公司对"&amp;项目基本情况!K2&amp;项目基本情况!B9&amp;"进行了预评估。"</f>
        <v>受贵公司委托，我公司对北京市顺义区高丽营镇于庄03-21地块出让国有建设用地使用权抵押价格进行了预评估。</v>
      </c>
    </row>
    <row r="5" spans="1:4" ht="18.75">
      <c r="A5" s="1793" t="s">
        <v>1906</v>
      </c>
    </row>
    <row r="6" spans="1:4" ht="56.2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估价对象为使用的、位于北京市顺义区高丽营镇于庄03-21地块出让国有建设用地使用权。根据，估价对象（分摊）出让国有建设用地使用权面积为64089.62平方米。根据，估价对象规划建筑面积为169816平方米。</v>
      </c>
    </row>
    <row r="7" spans="1:4" ht="93.75">
      <c r="A7" s="2871" t="s">
        <v>2745</v>
      </c>
    </row>
    <row r="8" spans="1:4" ht="18.75">
      <c r="A8" s="1793" t="s">
        <v>1907</v>
      </c>
    </row>
    <row r="9" spans="1:4" ht="75">
      <c r="A9" s="1795" t="str">
        <f>IF(项目基本情况!B8="抵押",IF(项目基本情况!B5=项目基本情况!B6,定义!C51,定义!B51),定义!D51)</f>
        <v>委托估价方在向金融机构（建行城建、中行北京分行丰台支行、农行北分崇文门）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2026</v>
      </c>
    </row>
    <row r="11" spans="1:4" ht="18.75">
      <c r="A11" s="1779" t="str">
        <f>TEXT(项目基本情况!D3,"yyyy年m月d日;;")&amp;IF(项目基本情况!B3=项目基本情况!D3,"（评估专业人员勘察现场之日）","")</f>
        <v>2018年12月10日（评估专业人员勘察现场之日）</v>
      </c>
    </row>
    <row r="12" spans="1:4" ht="18.75">
      <c r="A12" s="1796" t="s">
        <v>2025</v>
      </c>
    </row>
    <row r="13" spans="1:4" ht="18.75">
      <c r="A13" s="1790" t="s">
        <v>2071</v>
      </c>
    </row>
    <row r="14" spans="1:4" ht="37.5">
      <c r="A14" s="1790" t="str">
        <f>"根据"&amp;项目基本情况!F12&amp;"，本次评估估价对象证载（地类）用途为"&amp;项目基本情况!B12&amp;"。"</f>
        <v>根据，本次评估估价对象证载（地类）用途为住宅、商业、地下仓储、地下车库。</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本次评估设定用途即为证载用途住宅、商业、地下仓储、地下车库。</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根据委托估价方介绍及评估专业人员现场勘查，本次评估估价对象实际土地开发程度为红线外市政基础设施达“三通”（即通路、通电、通上水）、宗地红线内已开工建设。。</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由于本次评估估价目的是评估储备国有建设用地使用权的“抵押价格”，因此本次评估设定土地开发程度为红线外市政基础设施达“三通”、宗地红线内场地平整。</v>
      </c>
    </row>
    <row r="19" spans="1:1" ht="18.75">
      <c r="A19" s="1790" t="s">
        <v>2073</v>
      </c>
    </row>
    <row r="20" spans="1:1" ht="37.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根据，估价对象（分摊）出让国有建设用地使用权面积为64089.62平方米。根据，估价对象规划建筑面积为169816平方米。</v>
      </c>
    </row>
    <row r="21" spans="1:1" ht="93.75">
      <c r="A21" s="287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2074</v>
      </c>
    </row>
    <row r="23" spans="1:1" ht="18.75">
      <c r="A23" s="2873" t="s">
        <v>2746</v>
      </c>
    </row>
    <row r="24" spans="1:1" ht="18.75">
      <c r="A24" s="1790" t="s">
        <v>2075</v>
      </c>
    </row>
    <row r="25" spans="1:1" ht="112.5">
      <c r="A25" s="1790" t="str">
        <f>定义!C53</f>
        <v>本次估价的“出让国有建设用地使用权价格”是指在估价对象土地所有权为国家所有，使用权性质为出让，在公开市场条件下、于估价期日2018年12月10日，在规划利用条件下、设定土地开发程度为红线外“三通”、宗地内场地平整，设定用途为住宅、商业、地下仓储、地下车库，剩余土地使用年限为住宅68.8年、商业38.8年、地下车库48.8年、仓储48.8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IF(项目基本情况!E9="——","",定义!C57)</f>
        <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05"/>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ROUND(B3*D3/10000,0)</f>
        <v>#DIV/0!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5" customFormat="1" ht="28.5" customHeight="1" thickBot="1">
      <c r="A3" s="508" t="s">
        <v>795</v>
      </c>
      <c r="B3" s="509" t="e">
        <f>C37</f>
        <v>#DIV/0!</v>
      </c>
      <c r="C3" s="851" t="s">
        <v>796</v>
      </c>
      <c r="D3" s="850">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7"/>
    </row>
    <row r="4" spans="1:29" ht="15">
      <c r="A4" s="511" t="s">
        <v>797</v>
      </c>
      <c r="B4" s="512"/>
      <c r="C4" s="3513" t="s">
        <v>798</v>
      </c>
      <c r="D4" s="3514"/>
      <c r="E4" s="3537" t="s">
        <v>799</v>
      </c>
      <c r="F4" s="3538"/>
      <c r="G4" s="3513" t="s">
        <v>800</v>
      </c>
      <c r="H4" s="3514"/>
      <c r="I4" s="3513" t="s">
        <v>801</v>
      </c>
      <c r="J4" s="3514"/>
      <c r="K4" s="513" t="s">
        <v>802</v>
      </c>
      <c r="L4" s="2131"/>
      <c r="M4" s="2132"/>
      <c r="N4" s="2132"/>
      <c r="O4" s="2132"/>
      <c r="P4" s="3515" t="s">
        <v>803</v>
      </c>
      <c r="Q4" s="3516"/>
      <c r="R4" s="3501" t="s">
        <v>799</v>
      </c>
      <c r="S4" s="3502"/>
      <c r="T4" s="3501" t="s">
        <v>800</v>
      </c>
      <c r="U4" s="3502"/>
      <c r="V4" s="3521" t="s">
        <v>801</v>
      </c>
      <c r="W4" s="3521"/>
      <c r="X4" s="1566"/>
      <c r="Y4" s="3501" t="s">
        <v>803</v>
      </c>
      <c r="Z4" s="3502"/>
      <c r="AA4" s="3496" t="s">
        <v>799</v>
      </c>
      <c r="AB4" s="3497" t="s">
        <v>800</v>
      </c>
      <c r="AC4" s="3496" t="s">
        <v>801</v>
      </c>
    </row>
    <row r="5" spans="1:29" ht="15">
      <c r="A5" s="514"/>
      <c r="B5" s="515"/>
      <c r="C5" s="3541" t="s">
        <v>2915</v>
      </c>
      <c r="D5" s="3542"/>
      <c r="E5" s="3539" t="s">
        <v>2916</v>
      </c>
      <c r="F5" s="3540"/>
      <c r="G5" s="3541" t="s">
        <v>2917</v>
      </c>
      <c r="H5" s="3542"/>
      <c r="I5" s="3541" t="s">
        <v>2918</v>
      </c>
      <c r="J5" s="3542"/>
      <c r="K5" s="513"/>
      <c r="L5" s="2131"/>
      <c r="M5" s="2132"/>
      <c r="N5" s="2132"/>
      <c r="O5" s="2132"/>
      <c r="P5" s="3517"/>
      <c r="Q5" s="3518"/>
      <c r="R5" s="3503"/>
      <c r="S5" s="3504"/>
      <c r="T5" s="3503"/>
      <c r="U5" s="3504"/>
      <c r="V5" s="3521"/>
      <c r="W5" s="3521"/>
      <c r="X5" s="1566"/>
      <c r="Y5" s="3503"/>
      <c r="Z5" s="3504"/>
      <c r="AA5" s="3497"/>
      <c r="AB5" s="3497"/>
      <c r="AC5" s="3497"/>
    </row>
    <row r="6" spans="1:29" ht="15.75" thickBot="1">
      <c r="A6" s="516"/>
      <c r="B6" s="517"/>
      <c r="C6" s="3543" t="s">
        <v>2919</v>
      </c>
      <c r="D6" s="3544"/>
      <c r="E6" s="3545" t="s">
        <v>2919</v>
      </c>
      <c r="F6" s="3546"/>
      <c r="G6" s="3543" t="s">
        <v>2919</v>
      </c>
      <c r="H6" s="3544"/>
      <c r="I6" s="3543" t="s">
        <v>2919</v>
      </c>
      <c r="J6" s="3544"/>
      <c r="K6" s="513" t="s">
        <v>528</v>
      </c>
      <c r="L6" s="2131"/>
      <c r="M6" s="2132"/>
      <c r="N6" s="2132"/>
      <c r="O6" s="2132"/>
      <c r="P6" s="3519"/>
      <c r="Q6" s="3520"/>
      <c r="R6" s="3503"/>
      <c r="S6" s="3504"/>
      <c r="T6" s="3505"/>
      <c r="U6" s="3506"/>
      <c r="V6" s="3521"/>
      <c r="W6" s="3521"/>
      <c r="X6" s="1566"/>
      <c r="Y6" s="3505"/>
      <c r="Z6" s="3506"/>
      <c r="AA6" s="3498"/>
      <c r="AB6" s="3498"/>
      <c r="AC6" s="3498"/>
    </row>
    <row r="7" spans="1:29" s="1219" customFormat="1" ht="15.75" thickBot="1">
      <c r="A7" s="2909"/>
      <c r="B7" s="2916" t="s">
        <v>529</v>
      </c>
      <c r="C7" s="518">
        <f>'数据-取费表'!B2</f>
        <v>43444</v>
      </c>
      <c r="D7" s="519">
        <v>100</v>
      </c>
      <c r="E7" s="520"/>
      <c r="F7" s="521">
        <f>SUMIF(46:46,YEAR(E7)&amp;"-"&amp;MONTH(E7),47:47)</f>
        <v>0</v>
      </c>
      <c r="G7" s="522"/>
      <c r="H7" s="519">
        <f>SUMIF(46:46,YEAR(G7)&amp;"-"&amp;MONTH(G7),47:47)</f>
        <v>0</v>
      </c>
      <c r="I7" s="522"/>
      <c r="J7" s="519">
        <f>SUMIF(46:46,YEAR(I7)&amp;"-"&amp;MONTH(I7),47:47)</f>
        <v>0</v>
      </c>
      <c r="K7" s="523"/>
      <c r="L7" s="2133"/>
      <c r="M7" s="2134"/>
      <c r="N7" s="2134"/>
      <c r="O7" s="2134"/>
      <c r="P7" s="3499" t="s">
        <v>530</v>
      </c>
      <c r="Q7" s="3508"/>
      <c r="R7" s="1567" t="s">
        <v>8</v>
      </c>
      <c r="S7" s="1568">
        <f t="shared" ref="S7:S14" si="0">F7</f>
        <v>0</v>
      </c>
      <c r="T7" s="1567" t="s">
        <v>8</v>
      </c>
      <c r="U7" s="1568">
        <f t="shared" ref="U7:U14" si="1">H7</f>
        <v>0</v>
      </c>
      <c r="V7" s="1567" t="s">
        <v>8</v>
      </c>
      <c r="W7" s="1568">
        <f t="shared" ref="W7:W14" si="2">J7</f>
        <v>0</v>
      </c>
      <c r="X7" s="1569"/>
      <c r="Y7" s="3499" t="s">
        <v>530</v>
      </c>
      <c r="Z7" s="3500"/>
      <c r="AA7" s="1570" t="e">
        <f>D7/F7</f>
        <v>#DIV/0!</v>
      </c>
      <c r="AB7" s="1570" t="e">
        <f>D7/H7</f>
        <v>#DIV/0!</v>
      </c>
      <c r="AC7" s="1570" t="e">
        <f>D7/J7</f>
        <v>#DIV/0!</v>
      </c>
    </row>
    <row r="8" spans="1:29" s="1219" customFormat="1" ht="15.75" thickBot="1">
      <c r="A8" s="2910"/>
      <c r="B8" s="2917" t="s">
        <v>531</v>
      </c>
      <c r="C8" s="524" t="s">
        <v>576</v>
      </c>
      <c r="D8" s="519">
        <v>100</v>
      </c>
      <c r="E8" s="524"/>
      <c r="F8" s="521">
        <f>SUMIF(49:49,E8,50:50)-SUMIF(49:49,C8,50:50)+100</f>
        <v>0</v>
      </c>
      <c r="G8" s="524"/>
      <c r="H8" s="519">
        <f>SUMIF(49:49,G8,50:50)-SUMIF(49:49,C8,50:50)+100</f>
        <v>0</v>
      </c>
      <c r="I8" s="524"/>
      <c r="J8" s="519">
        <f>SUMIF(49:49,I8,50:50)-SUMIF(49:49,C8,50:50)+100</f>
        <v>0</v>
      </c>
      <c r="K8" s="523"/>
      <c r="L8" s="2133"/>
      <c r="M8" s="2134"/>
      <c r="N8" s="2134"/>
      <c r="O8" s="2134"/>
      <c r="P8" s="3499" t="s">
        <v>533</v>
      </c>
      <c r="Q8" s="3500"/>
      <c r="R8" s="1567" t="s">
        <v>8</v>
      </c>
      <c r="S8" s="1568">
        <f t="shared" si="0"/>
        <v>0</v>
      </c>
      <c r="T8" s="1567" t="s">
        <v>8</v>
      </c>
      <c r="U8" s="1568">
        <f t="shared" si="1"/>
        <v>0</v>
      </c>
      <c r="V8" s="1567" t="s">
        <v>8</v>
      </c>
      <c r="W8" s="1568">
        <f t="shared" si="2"/>
        <v>0</v>
      </c>
      <c r="X8" s="1569"/>
      <c r="Y8" s="3499" t="s">
        <v>533</v>
      </c>
      <c r="Z8" s="3500"/>
      <c r="AA8" s="1570" t="e">
        <f t="shared" ref="AA8:AA34" si="3">D8/F8</f>
        <v>#DIV/0!</v>
      </c>
      <c r="AB8" s="1570" t="e">
        <f t="shared" ref="AB8:AB34" si="4">D8/H8</f>
        <v>#DIV/0!</v>
      </c>
      <c r="AC8" s="1570" t="e">
        <f t="shared" ref="AC8:AC34" si="5">D8/J8</f>
        <v>#DIV/0!</v>
      </c>
    </row>
    <row r="9" spans="1:29" s="1219" customFormat="1" ht="15">
      <c r="A9" s="2911"/>
      <c r="B9" s="2918" t="s">
        <v>2753</v>
      </c>
      <c r="C9" s="856"/>
      <c r="D9" s="253">
        <v>100</v>
      </c>
      <c r="E9" s="859"/>
      <c r="F9" s="253">
        <f>SUMIF(51:51,E9,52:52)-SUMIF(51:51,C9,52:52)+100</f>
        <v>100</v>
      </c>
      <c r="G9" s="859"/>
      <c r="H9" s="253">
        <f>SUMIF(51:51,G9,52:52)-SUMIF(51:51,C9,52:52)+100</f>
        <v>100</v>
      </c>
      <c r="I9" s="859"/>
      <c r="J9" s="253">
        <f>SUMIF(51:51,I9,52:52)-SUMIF(51:51,C9,52:52)+100</f>
        <v>100</v>
      </c>
      <c r="K9" s="523"/>
      <c r="L9" s="2133"/>
      <c r="M9" s="2134"/>
      <c r="N9" s="2134"/>
      <c r="O9" s="2135"/>
      <c r="P9" s="3507" t="s">
        <v>535</v>
      </c>
      <c r="Q9" s="1150" t="str">
        <f t="shared" ref="Q9:Q14" si="6">B9</f>
        <v>用途</v>
      </c>
      <c r="R9" s="1567" t="s">
        <v>8</v>
      </c>
      <c r="S9" s="1568">
        <f t="shared" si="0"/>
        <v>100</v>
      </c>
      <c r="T9" s="1567" t="s">
        <v>8</v>
      </c>
      <c r="U9" s="1568">
        <f t="shared" si="1"/>
        <v>100</v>
      </c>
      <c r="V9" s="1567" t="s">
        <v>8</v>
      </c>
      <c r="W9" s="1568">
        <f t="shared" si="2"/>
        <v>100</v>
      </c>
      <c r="X9" s="1569"/>
      <c r="Y9" s="3464" t="s">
        <v>536</v>
      </c>
      <c r="Z9" s="1149" t="str">
        <f t="shared" ref="Z9:Z14" si="7">Q9</f>
        <v>用途</v>
      </c>
      <c r="AA9" s="1570">
        <f t="shared" si="3"/>
        <v>1</v>
      </c>
      <c r="AB9" s="1570">
        <f t="shared" si="4"/>
        <v>1</v>
      </c>
      <c r="AC9" s="1570">
        <f t="shared" si="5"/>
        <v>1</v>
      </c>
    </row>
    <row r="10" spans="1:29" s="1337" customFormat="1" ht="27">
      <c r="A10" s="2912"/>
      <c r="B10" s="2917" t="s">
        <v>2754</v>
      </c>
      <c r="C10" s="860"/>
      <c r="D10" s="254">
        <v>100</v>
      </c>
      <c r="E10" s="860"/>
      <c r="F10" s="254">
        <f>SUMIF(53:53,E10,54:54)-SUMIF(53:53,C10,54:54)+100</f>
        <v>100</v>
      </c>
      <c r="G10" s="861"/>
      <c r="H10" s="254">
        <f>SUMIF(53:53,G10,54:54)-SUMIF(53:53,C10,54:54)+100</f>
        <v>100</v>
      </c>
      <c r="I10" s="860"/>
      <c r="J10" s="254">
        <f>SUMIF(53:53,I10,54:54)-SUMIF(53:53,C10,54:54)+100</f>
        <v>100</v>
      </c>
      <c r="K10" s="583"/>
      <c r="L10" s="2136"/>
      <c r="M10" s="2176"/>
      <c r="N10" s="2176"/>
      <c r="O10" s="2137"/>
      <c r="P10" s="3507"/>
      <c r="Q10" s="1150" t="str">
        <f t="shared" si="6"/>
        <v>土地使用年限（年）</v>
      </c>
      <c r="R10" s="1567" t="s">
        <v>8</v>
      </c>
      <c r="S10" s="1568">
        <f t="shared" si="0"/>
        <v>100</v>
      </c>
      <c r="T10" s="1567" t="s">
        <v>8</v>
      </c>
      <c r="U10" s="1568">
        <f t="shared" si="1"/>
        <v>100</v>
      </c>
      <c r="V10" s="1567" t="s">
        <v>8</v>
      </c>
      <c r="W10" s="1568">
        <f t="shared" si="2"/>
        <v>100</v>
      </c>
      <c r="X10" s="1569"/>
      <c r="Y10" s="3464"/>
      <c r="Z10" s="1149" t="str">
        <f t="shared" si="7"/>
        <v>土地使用年限（年）</v>
      </c>
      <c r="AA10" s="1570">
        <f t="shared" si="3"/>
        <v>1</v>
      </c>
      <c r="AB10" s="1570">
        <f t="shared" si="4"/>
        <v>1</v>
      </c>
      <c r="AC10" s="1570">
        <f t="shared" si="5"/>
        <v>1</v>
      </c>
    </row>
    <row r="11" spans="1:29" ht="15">
      <c r="A11" s="2914"/>
      <c r="B11" s="2920">
        <v>111</v>
      </c>
      <c r="C11" s="527"/>
      <c r="D11" s="254">
        <v>100</v>
      </c>
      <c r="E11" s="879"/>
      <c r="F11" s="254">
        <f>SUMIF(55:55,E11,56:56)-SUMIF(55:55,C11,56:56)+100</f>
        <v>100</v>
      </c>
      <c r="G11" s="879"/>
      <c r="H11" s="254">
        <f>SUMIF(55:55,G11,56:56)-SUMIF(55:55,C11,56:56)+100</f>
        <v>100</v>
      </c>
      <c r="I11" s="879"/>
      <c r="J11" s="254">
        <f>SUMIF(55:55,I11,56:56)-SUMIF(55:55,C11,56:56)+100</f>
        <v>100</v>
      </c>
      <c r="K11" s="580"/>
      <c r="L11" s="2138"/>
      <c r="M11" s="2132"/>
      <c r="N11" s="2132"/>
      <c r="O11" s="2139"/>
      <c r="P11" s="3507"/>
      <c r="Q11" s="1150">
        <f t="shared" si="6"/>
        <v>111</v>
      </c>
      <c r="R11" s="1567" t="s">
        <v>8</v>
      </c>
      <c r="S11" s="1568">
        <f t="shared" si="0"/>
        <v>100</v>
      </c>
      <c r="T11" s="1567" t="s">
        <v>8</v>
      </c>
      <c r="U11" s="1568">
        <f t="shared" si="1"/>
        <v>100</v>
      </c>
      <c r="V11" s="1567" t="s">
        <v>8</v>
      </c>
      <c r="W11" s="1568">
        <f t="shared" si="2"/>
        <v>100</v>
      </c>
      <c r="X11" s="1569"/>
      <c r="Y11" s="3464"/>
      <c r="Z11" s="1149">
        <f t="shared" si="7"/>
        <v>111</v>
      </c>
      <c r="AA11" s="1570">
        <f t="shared" si="3"/>
        <v>1</v>
      </c>
      <c r="AB11" s="1570">
        <f t="shared" si="4"/>
        <v>1</v>
      </c>
      <c r="AC11" s="1570">
        <f t="shared" si="5"/>
        <v>1</v>
      </c>
    </row>
    <row r="12" spans="1:29" s="1219" customFormat="1" ht="15">
      <c r="A12" s="2914"/>
      <c r="B12" s="2920">
        <v>111</v>
      </c>
      <c r="C12" s="527"/>
      <c r="D12" s="537">
        <v>100</v>
      </c>
      <c r="E12" s="879"/>
      <c r="F12" s="254">
        <f>SUMIF(57:57,E12,58:58)-SUMIF(57:57,C12,58:58)+100</f>
        <v>100</v>
      </c>
      <c r="G12" s="879"/>
      <c r="H12" s="254">
        <f>SUMIF(57:57,G12,58:58)-SUMIF(57:57,C12,58:58)+100</f>
        <v>100</v>
      </c>
      <c r="I12" s="879"/>
      <c r="J12" s="254">
        <f>SUMIF(57:57,I12,58:58)-SUMIF(57:57,C12,58:58)+100</f>
        <v>100</v>
      </c>
      <c r="K12" s="580"/>
      <c r="L12" s="2133"/>
      <c r="M12" s="2134"/>
      <c r="N12" s="2134"/>
      <c r="O12" s="2135"/>
      <c r="P12" s="3507"/>
      <c r="Q12" s="1150">
        <f t="shared" si="6"/>
        <v>111</v>
      </c>
      <c r="R12" s="1567" t="s">
        <v>8</v>
      </c>
      <c r="S12" s="1568">
        <f t="shared" si="0"/>
        <v>100</v>
      </c>
      <c r="T12" s="1567" t="s">
        <v>8</v>
      </c>
      <c r="U12" s="1568">
        <f t="shared" si="1"/>
        <v>100</v>
      </c>
      <c r="V12" s="1567" t="s">
        <v>8</v>
      </c>
      <c r="W12" s="1568">
        <f t="shared" si="2"/>
        <v>100</v>
      </c>
      <c r="X12" s="1569"/>
      <c r="Y12" s="3464"/>
      <c r="Z12" s="1149">
        <f t="shared" si="7"/>
        <v>111</v>
      </c>
      <c r="AA12" s="1570">
        <f>D12/F12</f>
        <v>1</v>
      </c>
      <c r="AB12" s="1570">
        <f>D12/H12</f>
        <v>1</v>
      </c>
      <c r="AC12" s="1570">
        <f>D12/J12</f>
        <v>1</v>
      </c>
    </row>
    <row r="13" spans="1:29" ht="15.75" thickBot="1">
      <c r="A13" s="2915"/>
      <c r="B13" s="2921">
        <v>111</v>
      </c>
      <c r="C13" s="538"/>
      <c r="D13" s="539">
        <v>100</v>
      </c>
      <c r="E13" s="879"/>
      <c r="F13" s="254">
        <f>SUMIF(59:59,E13,60:60)-SUMIF(59:59,C13,60:60)+100</f>
        <v>100</v>
      </c>
      <c r="G13" s="879"/>
      <c r="H13" s="539">
        <f>SUMIF(59:59,G13,60:60)-SUMIF(59:59,C13,60:60)+100</f>
        <v>100</v>
      </c>
      <c r="I13" s="879"/>
      <c r="J13" s="539">
        <f>SUMIF(59:59,I13,60:60)-SUMIF(59:59,C13,60:60)+100</f>
        <v>100</v>
      </c>
      <c r="K13" s="580"/>
      <c r="L13" s="2140"/>
      <c r="M13" s="2132"/>
      <c r="N13" s="2132"/>
      <c r="O13" s="2139"/>
      <c r="P13" s="3507"/>
      <c r="Q13" s="1150">
        <f t="shared" si="6"/>
        <v>111</v>
      </c>
      <c r="R13" s="1567" t="s">
        <v>8</v>
      </c>
      <c r="S13" s="1568">
        <f t="shared" si="0"/>
        <v>100</v>
      </c>
      <c r="T13" s="1567" t="s">
        <v>8</v>
      </c>
      <c r="U13" s="1568">
        <f t="shared" si="1"/>
        <v>100</v>
      </c>
      <c r="V13" s="1567" t="s">
        <v>8</v>
      </c>
      <c r="W13" s="1568">
        <f t="shared" si="2"/>
        <v>100</v>
      </c>
      <c r="X13" s="1569"/>
      <c r="Y13" s="3464"/>
      <c r="Z13" s="1149">
        <f t="shared" si="7"/>
        <v>111</v>
      </c>
      <c r="AA13" s="1570">
        <f t="shared" si="3"/>
        <v>1</v>
      </c>
      <c r="AB13" s="1570">
        <f t="shared" si="4"/>
        <v>1</v>
      </c>
      <c r="AC13" s="1570">
        <f t="shared" si="5"/>
        <v>1</v>
      </c>
    </row>
    <row r="14" spans="1:29" ht="15">
      <c r="A14" s="2907" t="s">
        <v>2751</v>
      </c>
      <c r="B14" s="165" t="s">
        <v>543</v>
      </c>
      <c r="C14" s="920" t="str">
        <f>IF(B1="工业",估价对象房地状况!G4,估价对象房地状况!C6)</f>
        <v>一般</v>
      </c>
      <c r="D14" s="548">
        <v>100</v>
      </c>
      <c r="E14" s="549"/>
      <c r="F14" s="550">
        <f>SUMIF(61:61,E15,62:62)-SUMIF(61:61,C15,62:62)+100</f>
        <v>100</v>
      </c>
      <c r="G14" s="551"/>
      <c r="H14" s="548">
        <f>SUMIF(61:61,G15,62:62)-SUMIF(61:61,C15,62:62)+100</f>
        <v>100</v>
      </c>
      <c r="I14" s="549"/>
      <c r="J14" s="548">
        <f>SUMIF(61:61,I15,62:62)-SUMIF(61:61,C15,62:62)+100</f>
        <v>100</v>
      </c>
      <c r="K14" s="897"/>
      <c r="L14" s="2140"/>
      <c r="M14" s="2132"/>
      <c r="N14" s="2132"/>
      <c r="O14" s="2139"/>
      <c r="P14" s="3509" t="s">
        <v>540</v>
      </c>
      <c r="Q14" s="1571" t="str">
        <f t="shared" si="6"/>
        <v>交通便捷度</v>
      </c>
      <c r="R14" s="1572" t="s">
        <v>8</v>
      </c>
      <c r="S14" s="1573">
        <f t="shared" si="0"/>
        <v>100</v>
      </c>
      <c r="T14" s="1572" t="s">
        <v>8</v>
      </c>
      <c r="U14" s="1573">
        <f t="shared" si="1"/>
        <v>100</v>
      </c>
      <c r="V14" s="1572" t="s">
        <v>8</v>
      </c>
      <c r="W14" s="1573">
        <f t="shared" si="2"/>
        <v>100</v>
      </c>
      <c r="X14" s="1566"/>
      <c r="Y14" s="3509" t="s">
        <v>540</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0"/>
      <c r="M15" s="2132"/>
      <c r="N15" s="2132"/>
      <c r="O15" s="2139"/>
      <c r="P15" s="3510"/>
      <c r="Q15" s="1571"/>
      <c r="R15" s="1572"/>
      <c r="S15" s="1573"/>
      <c r="T15" s="1572"/>
      <c r="U15" s="1573"/>
      <c r="V15" s="1572"/>
      <c r="W15" s="1573"/>
      <c r="X15" s="1566"/>
      <c r="Y15" s="3510"/>
      <c r="Z15" s="1574"/>
      <c r="AA15" s="1575">
        <v>1</v>
      </c>
      <c r="AB15" s="1575">
        <v>1</v>
      </c>
      <c r="AC15" s="1575">
        <v>1</v>
      </c>
    </row>
    <row r="16" spans="1:29" ht="15">
      <c r="A16" s="531"/>
      <c r="B16" s="2601" t="s">
        <v>2544</v>
      </c>
      <c r="C16" s="871" t="str">
        <f>IF(B1="工业",估价对象房地状况!G5,估价对象房地状况!C7)</f>
        <v>一般</v>
      </c>
      <c r="D16" s="564">
        <v>100</v>
      </c>
      <c r="E16" s="569"/>
      <c r="F16" s="570">
        <f>SUMIF(63:63,E17,64:64)-SUMIF(63:63,C17,64:64)+100</f>
        <v>100</v>
      </c>
      <c r="G16" s="571"/>
      <c r="H16" s="564">
        <f>SUMIF(63:63,G17,64:64)-SUMIF(63:63,C17,64:64)+100</f>
        <v>100</v>
      </c>
      <c r="I16" s="569"/>
      <c r="J16" s="564">
        <f>SUMIF(63:63,I17,64:64)-SUMIF(63:63,C17,64:64)+100</f>
        <v>100</v>
      </c>
      <c r="K16" s="897"/>
      <c r="L16" s="2140"/>
      <c r="M16" s="2132"/>
      <c r="N16" s="2132"/>
      <c r="O16" s="2139"/>
      <c r="P16" s="3510"/>
      <c r="Q16" s="1571" t="str">
        <f>B16</f>
        <v>公共配套设施</v>
      </c>
      <c r="R16" s="1572" t="s">
        <v>8</v>
      </c>
      <c r="S16" s="1573">
        <f>F16</f>
        <v>100</v>
      </c>
      <c r="T16" s="1572" t="s">
        <v>8</v>
      </c>
      <c r="U16" s="1573">
        <f>H16</f>
        <v>100</v>
      </c>
      <c r="V16" s="1572" t="s">
        <v>8</v>
      </c>
      <c r="W16" s="1573">
        <f>J16</f>
        <v>100</v>
      </c>
      <c r="X16" s="1566"/>
      <c r="Y16" s="3510"/>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0"/>
      <c r="M17" s="2132"/>
      <c r="N17" s="2132"/>
      <c r="O17" s="2139"/>
      <c r="P17" s="3510"/>
      <c r="Q17" s="1571"/>
      <c r="R17" s="1572"/>
      <c r="S17" s="1573"/>
      <c r="T17" s="1572"/>
      <c r="U17" s="1573"/>
      <c r="V17" s="1572"/>
      <c r="W17" s="1573"/>
      <c r="X17" s="1566"/>
      <c r="Y17" s="3510"/>
      <c r="Z17" s="1574"/>
      <c r="AA17" s="1575">
        <v>1</v>
      </c>
      <c r="AB17" s="1575">
        <v>1</v>
      </c>
      <c r="AC17" s="1575">
        <v>1</v>
      </c>
    </row>
    <row r="18" spans="1:29" ht="15">
      <c r="A18" s="531"/>
      <c r="B18" s="2589" t="s">
        <v>2556</v>
      </c>
      <c r="C18" s="871" t="str">
        <f>IF(B1="工业",估价对象房地状况!G6,估价对象房地状况!C8)</f>
        <v>七通</v>
      </c>
      <c r="D18" s="558">
        <v>100</v>
      </c>
      <c r="E18" s="561"/>
      <c r="F18" s="562">
        <f>SUMIF(65:65,E19,66:66)-SUMIF(65:65,C19,66:66)+100</f>
        <v>100</v>
      </c>
      <c r="G18" s="563"/>
      <c r="H18" s="564">
        <f>SUMIF(65:65,G19,66:66)-SUMIF(65:65,C19,66:66)+100</f>
        <v>100</v>
      </c>
      <c r="I18" s="569"/>
      <c r="J18" s="564">
        <f>SUMIF(65:65,I19,66:66)-SUMIF(65:65,C19,66:66)+100</f>
        <v>100</v>
      </c>
      <c r="K18" s="897"/>
      <c r="L18" s="2140"/>
      <c r="M18" s="2132"/>
      <c r="N18" s="2132"/>
      <c r="O18" s="2139"/>
      <c r="P18" s="3510"/>
      <c r="Q18" s="2577" t="str">
        <f>B18</f>
        <v>基础设施水平</v>
      </c>
      <c r="R18" s="1572" t="s">
        <v>8</v>
      </c>
      <c r="S18" s="1573">
        <f>F18</f>
        <v>100</v>
      </c>
      <c r="T18" s="1572" t="s">
        <v>8</v>
      </c>
      <c r="U18" s="1573">
        <f>H18</f>
        <v>100</v>
      </c>
      <c r="V18" s="1572" t="s">
        <v>8</v>
      </c>
      <c r="W18" s="1573">
        <f>J18</f>
        <v>100</v>
      </c>
      <c r="X18" s="2579"/>
      <c r="Y18" s="3510"/>
      <c r="Z18" s="2578" t="str">
        <f>Q18</f>
        <v>基础设施水平</v>
      </c>
      <c r="AA18" s="1575">
        <f>D18/F18</f>
        <v>1</v>
      </c>
      <c r="AB18" s="1575">
        <f>D18/H18</f>
        <v>1</v>
      </c>
      <c r="AC18" s="1575">
        <f>D18/J18</f>
        <v>1</v>
      </c>
    </row>
    <row r="19" spans="1:29" ht="15">
      <c r="A19" s="531"/>
      <c r="B19" s="577"/>
      <c r="C19" s="872"/>
      <c r="D19" s="558"/>
      <c r="E19" s="872"/>
      <c r="F19" s="562"/>
      <c r="G19" s="872"/>
      <c r="H19" s="554"/>
      <c r="I19" s="575"/>
      <c r="J19" s="554"/>
      <c r="K19" s="2600"/>
      <c r="L19" s="2140"/>
      <c r="M19" s="2132"/>
      <c r="N19" s="2132"/>
      <c r="O19" s="2139"/>
      <c r="P19" s="3510"/>
      <c r="Q19" s="2577"/>
      <c r="R19" s="1572"/>
      <c r="S19" s="1573"/>
      <c r="T19" s="1572"/>
      <c r="U19" s="1573"/>
      <c r="V19" s="1572"/>
      <c r="W19" s="1573"/>
      <c r="X19" s="2579"/>
      <c r="Y19" s="3510"/>
      <c r="Z19" s="2578"/>
      <c r="AA19" s="1575">
        <v>1</v>
      </c>
      <c r="AB19" s="1575">
        <v>1</v>
      </c>
      <c r="AC19" s="1575">
        <v>1</v>
      </c>
    </row>
    <row r="20" spans="1:29" ht="15">
      <c r="A20" s="531"/>
      <c r="B20" s="870" t="s">
        <v>804</v>
      </c>
      <c r="C20" s="871" t="str">
        <f>IF(B1="工业",估价对象房地状况!G7,估价对象房地状况!C9)</f>
        <v>一般</v>
      </c>
      <c r="D20" s="564">
        <v>100</v>
      </c>
      <c r="E20" s="569"/>
      <c r="F20" s="570">
        <f>SUMIF(67:67,E21,68:68)-SUMIF(67:67,C21,68:68)+100</f>
        <v>100</v>
      </c>
      <c r="G20" s="571"/>
      <c r="H20" s="558">
        <f>SUMIF(67:67,G21,68:68)-SUMIF(67:67,C21,68:68)+100</f>
        <v>100</v>
      </c>
      <c r="I20" s="561"/>
      <c r="J20" s="558">
        <f>SUMIF(67:67,I21,68:68)-SUMIF(67:67,C21,68:68)+100</f>
        <v>100</v>
      </c>
      <c r="K20" s="897"/>
      <c r="L20" s="2140"/>
      <c r="M20" s="2132"/>
      <c r="N20" s="2132"/>
      <c r="O20" s="2139"/>
      <c r="P20" s="3510"/>
      <c r="Q20" s="1571" t="str">
        <f>B20</f>
        <v>自然及人文环境</v>
      </c>
      <c r="R20" s="1572" t="s">
        <v>8</v>
      </c>
      <c r="S20" s="1573">
        <f>F20</f>
        <v>100</v>
      </c>
      <c r="T20" s="1572" t="s">
        <v>8</v>
      </c>
      <c r="U20" s="1573">
        <f>H20</f>
        <v>100</v>
      </c>
      <c r="V20" s="1572" t="s">
        <v>8</v>
      </c>
      <c r="W20" s="1573">
        <f>J20</f>
        <v>100</v>
      </c>
      <c r="X20" s="1566"/>
      <c r="Y20" s="3510"/>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0"/>
      <c r="M21" s="2132"/>
      <c r="N21" s="2132"/>
      <c r="O21" s="2139"/>
      <c r="P21" s="3510"/>
      <c r="Q21" s="1571"/>
      <c r="R21" s="1572"/>
      <c r="S21" s="1573"/>
      <c r="T21" s="1572"/>
      <c r="U21" s="1573"/>
      <c r="V21" s="1572"/>
      <c r="W21" s="1573"/>
      <c r="X21" s="1566"/>
      <c r="Y21" s="3510"/>
      <c r="Z21" s="1574"/>
      <c r="AA21" s="1575">
        <v>1</v>
      </c>
      <c r="AB21" s="1575">
        <v>1</v>
      </c>
      <c r="AC21" s="1575">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0"/>
      <c r="M22" s="2132"/>
      <c r="N22" s="2132"/>
      <c r="O22" s="2139"/>
      <c r="P22" s="3510"/>
      <c r="Q22" s="1571" t="str">
        <f>B22</f>
        <v>楼层</v>
      </c>
      <c r="R22" s="1572" t="s">
        <v>8</v>
      </c>
      <c r="S22" s="1573">
        <f>F22</f>
        <v>100</v>
      </c>
      <c r="T22" s="1572" t="s">
        <v>8</v>
      </c>
      <c r="U22" s="1573">
        <f>H22</f>
        <v>100</v>
      </c>
      <c r="V22" s="1572" t="s">
        <v>8</v>
      </c>
      <c r="W22" s="1573">
        <f>J22</f>
        <v>100</v>
      </c>
      <c r="X22" s="1566"/>
      <c r="Y22" s="3510"/>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0"/>
      <c r="M23" s="2132"/>
      <c r="N23" s="2132"/>
      <c r="O23" s="2139"/>
      <c r="P23" s="3510"/>
      <c r="Q23" s="1571">
        <f>B23</f>
        <v>111</v>
      </c>
      <c r="R23" s="1572" t="s">
        <v>8</v>
      </c>
      <c r="S23" s="1573">
        <f>F23</f>
        <v>100</v>
      </c>
      <c r="T23" s="1572" t="s">
        <v>8</v>
      </c>
      <c r="U23" s="1573">
        <f>H23</f>
        <v>100</v>
      </c>
      <c r="V23" s="1572" t="s">
        <v>8</v>
      </c>
      <c r="W23" s="1573">
        <f>J23</f>
        <v>100</v>
      </c>
      <c r="X23" s="1566"/>
      <c r="Y23" s="3510"/>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0"/>
      <c r="M24" s="2132"/>
      <c r="N24" s="2132"/>
      <c r="O24" s="2139"/>
      <c r="P24" s="3510"/>
      <c r="Q24" s="1571">
        <f t="shared" ref="Q24:Q34" si="8">B24</f>
        <v>111</v>
      </c>
      <c r="R24" s="1572" t="s">
        <v>8</v>
      </c>
      <c r="S24" s="1573">
        <f>F24</f>
        <v>100</v>
      </c>
      <c r="T24" s="1572" t="s">
        <v>8</v>
      </c>
      <c r="U24" s="1573">
        <f>H24</f>
        <v>100</v>
      </c>
      <c r="V24" s="1572" t="s">
        <v>8</v>
      </c>
      <c r="W24" s="1573">
        <f>J24</f>
        <v>100</v>
      </c>
      <c r="X24" s="1566"/>
      <c r="Y24" s="3510"/>
      <c r="Z24" s="1574">
        <f>Q24</f>
        <v>111</v>
      </c>
      <c r="AA24" s="1575">
        <f t="shared" si="3"/>
        <v>1</v>
      </c>
      <c r="AB24" s="1575">
        <f t="shared" si="4"/>
        <v>1</v>
      </c>
      <c r="AC24" s="1575">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3"/>
      <c r="M25" s="2134"/>
      <c r="N25" s="2134"/>
      <c r="O25" s="2135"/>
      <c r="P25" s="3510"/>
      <c r="Q25" s="1150">
        <f t="shared" si="8"/>
        <v>111</v>
      </c>
      <c r="R25" s="1567" t="s">
        <v>8</v>
      </c>
      <c r="S25" s="1568">
        <f>F25</f>
        <v>100</v>
      </c>
      <c r="T25" s="1567" t="s">
        <v>8</v>
      </c>
      <c r="U25" s="1568">
        <f>H25</f>
        <v>100</v>
      </c>
      <c r="V25" s="1567" t="s">
        <v>8</v>
      </c>
      <c r="W25" s="1568">
        <f>J25</f>
        <v>100</v>
      </c>
      <c r="X25" s="1569"/>
      <c r="Y25" s="3510"/>
      <c r="Z25" s="1149">
        <f>Q25</f>
        <v>111</v>
      </c>
      <c r="AA25" s="1575">
        <f>D25/F25</f>
        <v>1</v>
      </c>
      <c r="AB25" s="1575">
        <f>D25/H25</f>
        <v>1</v>
      </c>
      <c r="AC25" s="1575">
        <f>D25/J25</f>
        <v>1</v>
      </c>
    </row>
    <row r="26" spans="1:29" ht="15">
      <c r="A26" s="2905" t="s">
        <v>2752</v>
      </c>
      <c r="B26" s="171" t="s">
        <v>808</v>
      </c>
      <c r="C26" s="915"/>
      <c r="D26" s="596">
        <v>100</v>
      </c>
      <c r="E26" s="915"/>
      <c r="F26" s="942">
        <f>SUMIF(77:77,E26,78:78)-SUMIF(77:77,C26,78:78)+100</f>
        <v>100</v>
      </c>
      <c r="G26" s="915"/>
      <c r="H26" s="596">
        <f>SUMIF(77:77,G26,78:78)-SUMIF(77:77,C26,78:78)+100</f>
        <v>100</v>
      </c>
      <c r="I26" s="915"/>
      <c r="J26" s="596">
        <f>SUMIF(77:77,I26,78:78)-SUMIF(77:77,C26,78:78)+100</f>
        <v>100</v>
      </c>
      <c r="K26" s="583"/>
      <c r="L26" s="2140"/>
      <c r="M26" s="2132"/>
      <c r="N26" s="2132"/>
      <c r="O26" s="2139"/>
      <c r="P26" s="3511" t="s">
        <v>821</v>
      </c>
      <c r="Q26" s="1571" t="str">
        <f t="shared" si="8"/>
        <v>公共部分装修</v>
      </c>
      <c r="R26" s="1572" t="s">
        <v>8</v>
      </c>
      <c r="S26" s="1573">
        <f t="shared" ref="S26:S34" si="9">F26</f>
        <v>100</v>
      </c>
      <c r="T26" s="1572" t="s">
        <v>8</v>
      </c>
      <c r="U26" s="1573">
        <f t="shared" ref="U26:U34" si="10">H26</f>
        <v>100</v>
      </c>
      <c r="V26" s="1572" t="s">
        <v>8</v>
      </c>
      <c r="W26" s="1573">
        <f t="shared" ref="W26:W34" si="11">J26</f>
        <v>100</v>
      </c>
      <c r="X26" s="1566"/>
      <c r="Y26" s="3512" t="s">
        <v>821</v>
      </c>
      <c r="Z26" s="1574" t="str">
        <f t="shared" ref="Z26:Z34" si="12">Q26</f>
        <v>公共部分装修</v>
      </c>
      <c r="AA26" s="1575">
        <f t="shared" si="3"/>
        <v>1</v>
      </c>
      <c r="AB26" s="1575">
        <f t="shared" si="4"/>
        <v>1</v>
      </c>
      <c r="AC26" s="1575">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8"/>
      <c r="M27" s="2169"/>
      <c r="N27" s="2169"/>
      <c r="O27" s="2141"/>
      <c r="P27" s="3512"/>
      <c r="Q27" s="1604" t="str">
        <f t="shared" si="8"/>
        <v>成新率</v>
      </c>
      <c r="R27" s="1576" t="s">
        <v>8</v>
      </c>
      <c r="S27" s="1577" t="e">
        <f t="shared" si="9"/>
        <v>#N/A</v>
      </c>
      <c r="T27" s="1576" t="s">
        <v>8</v>
      </c>
      <c r="U27" s="1577" t="e">
        <f t="shared" si="10"/>
        <v>#N/A</v>
      </c>
      <c r="V27" s="1576" t="s">
        <v>8</v>
      </c>
      <c r="W27" s="1577" t="e">
        <f t="shared" si="11"/>
        <v>#N/A</v>
      </c>
      <c r="X27" s="1578"/>
      <c r="Y27" s="3512"/>
      <c r="Z27" s="1579" t="str">
        <f t="shared" si="12"/>
        <v>成新率</v>
      </c>
      <c r="AA27" s="1575" t="e">
        <f t="shared" si="3"/>
        <v>#N/A</v>
      </c>
      <c r="AB27" s="1575" t="e">
        <f t="shared" si="4"/>
        <v>#N/A</v>
      </c>
      <c r="AC27" s="1575"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0"/>
      <c r="M28" s="2132"/>
      <c r="N28" s="2132"/>
      <c r="O28" s="2139"/>
      <c r="P28" s="3512"/>
      <c r="Q28" s="1571" t="str">
        <f t="shared" si="8"/>
        <v>物业等级</v>
      </c>
      <c r="R28" s="1572" t="s">
        <v>8</v>
      </c>
      <c r="S28" s="1573">
        <f t="shared" si="9"/>
        <v>100</v>
      </c>
      <c r="T28" s="1572" t="s">
        <v>8</v>
      </c>
      <c r="U28" s="1573">
        <f t="shared" si="10"/>
        <v>100</v>
      </c>
      <c r="V28" s="1572" t="s">
        <v>8</v>
      </c>
      <c r="W28" s="1573">
        <f t="shared" si="11"/>
        <v>100</v>
      </c>
      <c r="X28" s="1566"/>
      <c r="Y28" s="3512"/>
      <c r="Z28" s="1574" t="str">
        <f t="shared" si="12"/>
        <v>物业等级</v>
      </c>
      <c r="AA28" s="1575">
        <f t="shared" si="3"/>
        <v>1</v>
      </c>
      <c r="AB28" s="1575">
        <f t="shared" si="4"/>
        <v>1</v>
      </c>
      <c r="AC28" s="1575">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0"/>
      <c r="M29" s="2132"/>
      <c r="N29" s="2132"/>
      <c r="O29" s="2139"/>
      <c r="P29" s="3512"/>
      <c r="Q29" s="1571" t="str">
        <f t="shared" si="8"/>
        <v>有无电梯</v>
      </c>
      <c r="R29" s="1572" t="s">
        <v>8</v>
      </c>
      <c r="S29" s="1573">
        <f t="shared" si="9"/>
        <v>100</v>
      </c>
      <c r="T29" s="1572" t="s">
        <v>8</v>
      </c>
      <c r="U29" s="1573">
        <f t="shared" si="10"/>
        <v>100</v>
      </c>
      <c r="V29" s="1572" t="s">
        <v>8</v>
      </c>
      <c r="W29" s="1573">
        <f t="shared" si="11"/>
        <v>100</v>
      </c>
      <c r="X29" s="1566"/>
      <c r="Y29" s="3512"/>
      <c r="Z29" s="1574" t="str">
        <f t="shared" si="12"/>
        <v>有无电梯</v>
      </c>
      <c r="AA29" s="1575">
        <f t="shared" si="3"/>
        <v>1</v>
      </c>
      <c r="AB29" s="1575">
        <f t="shared" si="4"/>
        <v>1</v>
      </c>
      <c r="AC29" s="1575">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0"/>
      <c r="M30" s="2132"/>
      <c r="N30" s="2132"/>
      <c r="O30" s="2139"/>
      <c r="P30" s="3512"/>
      <c r="Q30" s="1571" t="str">
        <f t="shared" si="8"/>
        <v>建筑面积</v>
      </c>
      <c r="R30" s="1572" t="s">
        <v>8</v>
      </c>
      <c r="S30" s="1573" t="e">
        <f t="shared" si="9"/>
        <v>#N/A</v>
      </c>
      <c r="T30" s="1572" t="s">
        <v>8</v>
      </c>
      <c r="U30" s="1573" t="e">
        <f t="shared" si="10"/>
        <v>#N/A</v>
      </c>
      <c r="V30" s="1572" t="s">
        <v>8</v>
      </c>
      <c r="W30" s="1573" t="e">
        <f t="shared" si="11"/>
        <v>#N/A</v>
      </c>
      <c r="X30" s="1566"/>
      <c r="Y30" s="3512"/>
      <c r="Z30" s="1574" t="str">
        <f t="shared" si="12"/>
        <v>建筑面积</v>
      </c>
      <c r="AA30" s="1575" t="e">
        <f t="shared" si="3"/>
        <v>#N/A</v>
      </c>
      <c r="AB30" s="1575" t="e">
        <f t="shared" si="4"/>
        <v>#N/A</v>
      </c>
      <c r="AC30" s="1575"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3"/>
      <c r="M31" s="2134"/>
      <c r="N31" s="2134"/>
      <c r="O31" s="2135"/>
      <c r="P31" s="3512"/>
      <c r="Q31" s="1150" t="str">
        <f t="shared" si="8"/>
        <v>是否封闭</v>
      </c>
      <c r="R31" s="1567" t="s">
        <v>8</v>
      </c>
      <c r="S31" s="1568">
        <f t="shared" si="9"/>
        <v>100</v>
      </c>
      <c r="T31" s="1567" t="s">
        <v>8</v>
      </c>
      <c r="U31" s="1568">
        <f t="shared" si="10"/>
        <v>100</v>
      </c>
      <c r="V31" s="1567" t="s">
        <v>8</v>
      </c>
      <c r="W31" s="1568">
        <f t="shared" si="11"/>
        <v>100</v>
      </c>
      <c r="X31" s="1569"/>
      <c r="Y31" s="3512"/>
      <c r="Z31" s="1149" t="str">
        <f t="shared" si="12"/>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0"/>
      <c r="M32" s="2132"/>
      <c r="N32" s="2132"/>
      <c r="O32" s="2139"/>
      <c r="P32" s="3512" t="s">
        <v>550</v>
      </c>
      <c r="Q32" s="1571">
        <f t="shared" si="8"/>
        <v>111</v>
      </c>
      <c r="R32" s="1572" t="s">
        <v>8</v>
      </c>
      <c r="S32" s="1573">
        <f t="shared" si="9"/>
        <v>100</v>
      </c>
      <c r="T32" s="1572" t="s">
        <v>8</v>
      </c>
      <c r="U32" s="1573">
        <f t="shared" si="10"/>
        <v>100</v>
      </c>
      <c r="V32" s="1572" t="s">
        <v>8</v>
      </c>
      <c r="W32" s="1573">
        <f t="shared" si="11"/>
        <v>100</v>
      </c>
      <c r="X32" s="1566"/>
      <c r="Y32" s="3512" t="s">
        <v>550</v>
      </c>
      <c r="Z32" s="1574">
        <f t="shared" si="12"/>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0"/>
      <c r="M33" s="2132"/>
      <c r="N33" s="2132"/>
      <c r="O33" s="2139"/>
      <c r="P33" s="3512"/>
      <c r="Q33" s="1571">
        <f t="shared" si="8"/>
        <v>111</v>
      </c>
      <c r="R33" s="1572" t="s">
        <v>8</v>
      </c>
      <c r="S33" s="1573">
        <f t="shared" si="9"/>
        <v>100</v>
      </c>
      <c r="T33" s="1572" t="s">
        <v>8</v>
      </c>
      <c r="U33" s="1573">
        <f t="shared" si="10"/>
        <v>100</v>
      </c>
      <c r="V33" s="1572" t="s">
        <v>8</v>
      </c>
      <c r="W33" s="1573">
        <f t="shared" si="11"/>
        <v>100</v>
      </c>
      <c r="X33" s="1566"/>
      <c r="Y33" s="3512"/>
      <c r="Z33" s="1574">
        <f t="shared" si="12"/>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0"/>
      <c r="M34" s="2132"/>
      <c r="N34" s="2132"/>
      <c r="O34" s="2139"/>
      <c r="P34" s="3512"/>
      <c r="Q34" s="1571">
        <f t="shared" si="8"/>
        <v>111</v>
      </c>
      <c r="R34" s="1572" t="s">
        <v>8</v>
      </c>
      <c r="S34" s="1573">
        <f t="shared" si="9"/>
        <v>100</v>
      </c>
      <c r="T34" s="1572" t="s">
        <v>8</v>
      </c>
      <c r="U34" s="1573">
        <f t="shared" si="10"/>
        <v>100</v>
      </c>
      <c r="V34" s="1572" t="s">
        <v>8</v>
      </c>
      <c r="W34" s="1573">
        <f t="shared" si="11"/>
        <v>100</v>
      </c>
      <c r="X34" s="1566"/>
      <c r="Y34" s="3512"/>
      <c r="Z34" s="1574">
        <f t="shared" si="12"/>
        <v>111</v>
      </c>
      <c r="AA34" s="1575">
        <f t="shared" si="3"/>
        <v>1</v>
      </c>
      <c r="AB34" s="1575">
        <f t="shared" si="4"/>
        <v>1</v>
      </c>
      <c r="AC34" s="1575">
        <f t="shared" si="5"/>
        <v>1</v>
      </c>
    </row>
    <row r="35" spans="1:29" ht="15">
      <c r="A35" s="606" t="s">
        <v>736</v>
      </c>
      <c r="B35" s="886"/>
      <c r="C35" s="2625" t="s">
        <v>1</v>
      </c>
      <c r="D35" s="2626"/>
      <c r="E35" s="2627"/>
      <c r="F35" s="2628"/>
      <c r="G35" s="2629"/>
      <c r="H35" s="2630"/>
      <c r="I35" s="2627"/>
      <c r="J35" s="2630"/>
      <c r="K35" s="1610"/>
      <c r="L35" s="2142"/>
      <c r="M35" s="2143"/>
      <c r="N35" s="2132"/>
      <c r="O35" s="2143"/>
      <c r="P35" s="3507" t="str">
        <f>A35</f>
        <v>成交单价（元/平方米）</v>
      </c>
      <c r="Q35" s="3507"/>
      <c r="R35" s="3612">
        <f>E35</f>
        <v>0</v>
      </c>
      <c r="S35" s="3612"/>
      <c r="T35" s="3612">
        <f>G35</f>
        <v>0</v>
      </c>
      <c r="U35" s="3612"/>
      <c r="V35" s="3612">
        <f>I35</f>
        <v>0</v>
      </c>
      <c r="W35" s="3612"/>
      <c r="X35" s="1558"/>
      <c r="Y35" s="1580"/>
      <c r="Z35" s="1558"/>
      <c r="AA35" s="1558"/>
      <c r="AB35" s="1558"/>
      <c r="AC35" s="1558"/>
    </row>
    <row r="36" spans="1:29" ht="15.75" thickBot="1">
      <c r="A36" s="614" t="s">
        <v>2757</v>
      </c>
      <c r="B36" s="887"/>
      <c r="C36" s="2631" t="e">
        <f>R37</f>
        <v>#DIV/0!</v>
      </c>
      <c r="D36" s="2632"/>
      <c r="E36" s="2633" t="e">
        <f>R36</f>
        <v>#DIV/0!</v>
      </c>
      <c r="F36" s="2633"/>
      <c r="G36" s="2631" t="e">
        <f>T36</f>
        <v>#DIV/0!</v>
      </c>
      <c r="H36" s="2632"/>
      <c r="I36" s="2633" t="e">
        <f>V36</f>
        <v>#DIV/0!</v>
      </c>
      <c r="J36" s="2632"/>
      <c r="K36" s="1611"/>
      <c r="L36" s="2142"/>
      <c r="M36" s="2143"/>
      <c r="N36" s="2132"/>
      <c r="O36" s="2143"/>
      <c r="P36" s="3507" t="str">
        <f>A36</f>
        <v>比较价格（元/平方米）</v>
      </c>
      <c r="Q36" s="3507"/>
      <c r="R36" s="3612" t="e">
        <f>IF(F1="售价",ROUND(PRODUCT(R35,AA7:AA34),0),ROUND(PRODUCT(R35,AA7:AA34),1))</f>
        <v>#DIV/0!</v>
      </c>
      <c r="S36" s="3612"/>
      <c r="T36" s="3612" t="e">
        <f>IF(F1="售价",ROUND(PRODUCT(T35,AB7:AB34),0),ROUND(PRODUCT(T35,AB7:AB34),1))</f>
        <v>#DIV/0!</v>
      </c>
      <c r="U36" s="3612"/>
      <c r="V36" s="3612" t="e">
        <f>IF(F1="售价",ROUND(PRODUCT(V35,AC7:AC34),0),ROUND(PRODUCT(V35,AC7:AC34),1))</f>
        <v>#DIV/0!</v>
      </c>
      <c r="W36" s="3612"/>
      <c r="X36" s="1558"/>
      <c r="Y36" s="1558"/>
      <c r="Z36" s="1558"/>
      <c r="AA36" s="1558"/>
      <c r="AB36" s="1558"/>
      <c r="AC36" s="1558"/>
    </row>
    <row r="37" spans="1:29" ht="15.75" thickBot="1">
      <c r="A37" s="620" t="s">
        <v>2921</v>
      </c>
      <c r="B37" s="621"/>
      <c r="C37" s="2634" t="e">
        <f>R37</f>
        <v>#DIV/0!</v>
      </c>
      <c r="D37" s="2634"/>
      <c r="E37" s="2634"/>
      <c r="F37" s="2634"/>
      <c r="G37" s="2634"/>
      <c r="H37" s="2634"/>
      <c r="I37" s="2634"/>
      <c r="J37" s="2634"/>
      <c r="K37" s="1612"/>
      <c r="L37" s="2142"/>
      <c r="M37" s="2143"/>
      <c r="N37" s="2143"/>
      <c r="O37" s="2143"/>
      <c r="P37" s="3528" t="str">
        <f>A37</f>
        <v>估价对象XX用房的比较价格（楼面单价，元/平方米）</v>
      </c>
      <c r="Q37" s="3529"/>
      <c r="R37" s="3611" t="e">
        <f>IF(F1="售价",ROUND(AVERAGE(R36:V36),0),ROUND(AVERAGE(R36:V36),1))</f>
        <v>#DIV/0!</v>
      </c>
      <c r="S37" s="3611"/>
      <c r="T37" s="3611"/>
      <c r="U37" s="3611"/>
      <c r="V37" s="3611"/>
      <c r="W37" s="3611"/>
      <c r="X37" s="1558"/>
      <c r="Y37" s="1558"/>
      <c r="Z37" s="1558"/>
      <c r="AA37" s="1558"/>
      <c r="AB37" s="1558"/>
      <c r="AC37" s="1558"/>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4" customFormat="1" ht="13.5" customHeight="1">
      <c r="A42" s="2144"/>
      <c r="B42" s="2144"/>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4"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3" t="s">
        <v>574</v>
      </c>
      <c r="B45" s="1558"/>
      <c r="C45" s="1582"/>
      <c r="D45" s="1582"/>
      <c r="E45" s="1582"/>
      <c r="F45" s="1584"/>
      <c r="G45" s="1584"/>
      <c r="H45" s="1582"/>
      <c r="I45" s="1582"/>
      <c r="J45" s="1582"/>
      <c r="K45" s="1585"/>
      <c r="L45" s="1581"/>
      <c r="M45" s="1582"/>
      <c r="N45" s="1582"/>
      <c r="O45" s="1582"/>
      <c r="P45" s="2155"/>
      <c r="Q45" s="2156"/>
      <c r="R45" s="2143"/>
      <c r="S45" s="2143"/>
      <c r="T45" s="2143"/>
      <c r="U45" s="2143"/>
      <c r="V45" s="2143"/>
      <c r="W45" s="2143"/>
      <c r="X45" s="2143"/>
      <c r="Y45" s="2143"/>
      <c r="Z45" s="2143"/>
      <c r="AA45" s="2143"/>
      <c r="AB45" s="2143"/>
      <c r="AC45" s="2143"/>
    </row>
    <row r="46" spans="1:29" s="1346" customFormat="1" ht="15">
      <c r="A46" s="644" t="s">
        <v>529</v>
      </c>
      <c r="B46" s="645"/>
      <c r="C46" s="2800" t="str">
        <f>YEAR(C7)&amp;"-"&amp;MONTH(C7)</f>
        <v>2018-12</v>
      </c>
      <c r="D46" s="2802">
        <f>EDATE(C46,-1)</f>
        <v>43405</v>
      </c>
      <c r="E46" s="2802">
        <f t="shared" ref="E46:O46" si="13">EDATE(D46,-1)</f>
        <v>43374</v>
      </c>
      <c r="F46" s="2802">
        <f t="shared" si="13"/>
        <v>43344</v>
      </c>
      <c r="G46" s="2802">
        <f t="shared" si="13"/>
        <v>43313</v>
      </c>
      <c r="H46" s="2802">
        <f t="shared" si="13"/>
        <v>43282</v>
      </c>
      <c r="I46" s="2802">
        <f t="shared" si="13"/>
        <v>43252</v>
      </c>
      <c r="J46" s="2802">
        <f t="shared" si="13"/>
        <v>43221</v>
      </c>
      <c r="K46" s="2802">
        <f t="shared" si="13"/>
        <v>43191</v>
      </c>
      <c r="L46" s="2802">
        <f t="shared" si="13"/>
        <v>43160</v>
      </c>
      <c r="M46" s="2802">
        <f t="shared" si="13"/>
        <v>43132</v>
      </c>
      <c r="N46" s="2802">
        <f t="shared" si="13"/>
        <v>43101</v>
      </c>
      <c r="O46" s="2802">
        <f t="shared" si="13"/>
        <v>43070</v>
      </c>
      <c r="P46" s="2158"/>
      <c r="Q46" s="2159"/>
      <c r="R46" s="2159"/>
      <c r="S46" s="2159"/>
      <c r="T46" s="2159"/>
      <c r="U46" s="2159"/>
      <c r="V46" s="2159"/>
      <c r="W46" s="2159"/>
      <c r="X46" s="2159"/>
      <c r="Y46" s="2159"/>
      <c r="Z46" s="2159"/>
      <c r="AA46" s="2159"/>
      <c r="AB46" s="2159"/>
      <c r="AC46" s="2159"/>
    </row>
    <row r="47" spans="1:29" s="1219" customFormat="1" ht="15">
      <c r="A47" s="646"/>
      <c r="B47" s="647"/>
      <c r="C47" s="648">
        <v>100</v>
      </c>
      <c r="D47" s="649"/>
      <c r="E47" s="649"/>
      <c r="F47" s="649"/>
      <c r="G47" s="649"/>
      <c r="H47" s="649"/>
      <c r="I47" s="649"/>
      <c r="J47" s="649"/>
      <c r="K47" s="649"/>
      <c r="L47" s="649"/>
      <c r="M47" s="650"/>
      <c r="N47" s="649"/>
      <c r="O47" s="651"/>
      <c r="P47" s="2156"/>
      <c r="Q47" s="1991"/>
      <c r="R47" s="1991"/>
      <c r="S47" s="1991"/>
      <c r="T47" s="1991"/>
      <c r="U47" s="1991"/>
      <c r="V47" s="1991"/>
      <c r="W47" s="1991"/>
      <c r="X47" s="1991"/>
      <c r="Y47" s="1991"/>
      <c r="Z47" s="1991"/>
      <c r="AA47" s="1991"/>
      <c r="AB47" s="1991"/>
      <c r="AC47" s="1991"/>
    </row>
    <row r="48" spans="1:29" s="1219" customFormat="1" ht="15.75" thickBot="1">
      <c r="A48" s="652" t="s">
        <v>575</v>
      </c>
      <c r="B48" s="653"/>
      <c r="C48" s="654"/>
      <c r="D48" s="655"/>
      <c r="E48" s="655"/>
      <c r="F48" s="655"/>
      <c r="G48" s="655"/>
      <c r="H48" s="655"/>
      <c r="I48" s="655"/>
      <c r="J48" s="655"/>
      <c r="K48" s="655"/>
      <c r="L48" s="655"/>
      <c r="M48" s="656"/>
      <c r="N48" s="655"/>
      <c r="O48" s="657"/>
      <c r="P48" s="2156"/>
      <c r="Q48" s="2156"/>
      <c r="R48" s="1991"/>
      <c r="S48" s="1991"/>
      <c r="T48" s="1991"/>
      <c r="U48" s="1991"/>
      <c r="V48" s="1991"/>
      <c r="W48" s="1991"/>
      <c r="X48" s="1991"/>
      <c r="Y48" s="1991"/>
      <c r="Z48" s="1991"/>
      <c r="AA48" s="1991"/>
      <c r="AB48" s="1991"/>
      <c r="AC48" s="1991"/>
    </row>
    <row r="49" spans="1:29" s="1219" customFormat="1" ht="15">
      <c r="A49" s="658" t="s">
        <v>531</v>
      </c>
      <c r="B49" s="647"/>
      <c r="C49" s="659" t="s">
        <v>576</v>
      </c>
      <c r="D49" s="660"/>
      <c r="E49" s="660"/>
      <c r="F49" s="660"/>
      <c r="G49" s="660"/>
      <c r="H49" s="660"/>
      <c r="I49" s="660"/>
      <c r="J49" s="660"/>
      <c r="K49" s="660"/>
      <c r="L49" s="661"/>
      <c r="M49" s="662"/>
      <c r="N49" s="2160"/>
      <c r="O49" s="2160"/>
      <c r="P49" s="2161"/>
      <c r="Q49" s="2156"/>
      <c r="R49" s="1991"/>
      <c r="S49" s="1991"/>
      <c r="T49" s="1991"/>
      <c r="U49" s="1991"/>
      <c r="V49" s="1991"/>
      <c r="W49" s="1991"/>
      <c r="X49" s="1991"/>
      <c r="Y49" s="1991"/>
      <c r="Z49" s="1991"/>
      <c r="AA49" s="1991"/>
      <c r="AB49" s="1991"/>
      <c r="AC49" s="1991"/>
    </row>
    <row r="50" spans="1:29" s="1219" customFormat="1" ht="15.75" thickBot="1">
      <c r="A50" s="658"/>
      <c r="B50" s="647"/>
      <c r="C50" s="648">
        <v>100</v>
      </c>
      <c r="D50" s="649"/>
      <c r="E50" s="649"/>
      <c r="F50" s="649"/>
      <c r="G50" s="649"/>
      <c r="H50" s="649"/>
      <c r="I50" s="649"/>
      <c r="J50" s="649"/>
      <c r="K50" s="649"/>
      <c r="L50" s="649"/>
      <c r="M50" s="651"/>
      <c r="N50" s="2160"/>
      <c r="O50" s="2160"/>
      <c r="P50" s="2156"/>
      <c r="Q50" s="2156"/>
      <c r="R50" s="1991"/>
      <c r="S50" s="1991"/>
      <c r="T50" s="1991"/>
      <c r="U50" s="1991"/>
      <c r="V50" s="1991"/>
      <c r="W50" s="1991"/>
      <c r="X50" s="1991"/>
      <c r="Y50" s="1991"/>
      <c r="Z50" s="1991"/>
      <c r="AA50" s="1991"/>
      <c r="AB50" s="1991"/>
      <c r="AC50" s="1991"/>
    </row>
    <row r="51" spans="1:29">
      <c r="A51" s="663" t="s">
        <v>577</v>
      </c>
      <c r="B51" s="664" t="s">
        <v>534</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5.75"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5.75" thickTop="1">
      <c r="A55" s="668"/>
      <c r="B55" s="934">
        <f>B11</f>
        <v>111</v>
      </c>
      <c r="C55" s="540"/>
      <c r="D55" s="540"/>
      <c r="E55" s="540"/>
      <c r="F55" s="540"/>
      <c r="G55" s="540"/>
      <c r="H55" s="540"/>
      <c r="I55" s="540"/>
      <c r="J55" s="540"/>
      <c r="K55" s="683"/>
      <c r="L55" s="684"/>
      <c r="M55" s="685"/>
      <c r="N55" s="2162"/>
      <c r="O55" s="2162"/>
      <c r="P55" s="2163"/>
      <c r="Q55" s="2156"/>
      <c r="R55" s="2143"/>
      <c r="S55" s="2143"/>
      <c r="T55" s="2143"/>
      <c r="U55" s="2143"/>
      <c r="V55" s="2143"/>
      <c r="W55" s="2143"/>
      <c r="X55" s="2143"/>
      <c r="Y55" s="2143"/>
      <c r="Z55" s="2143"/>
      <c r="AA55" s="2143"/>
      <c r="AB55" s="2143"/>
      <c r="AC55" s="2143"/>
    </row>
    <row r="56" spans="1:29" ht="15.75"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8" customFormat="1" ht="15.75" thickTop="1">
      <c r="A57" s="686"/>
      <c r="B57" s="672">
        <f>B12</f>
        <v>111</v>
      </c>
      <c r="C57" s="540"/>
      <c r="D57" s="540"/>
      <c r="E57" s="540"/>
      <c r="F57" s="540"/>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8" customFormat="1" ht="15.75"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8" customFormat="1" ht="15.75" thickTop="1">
      <c r="A59" s="686"/>
      <c r="B59" s="672">
        <f>B13</f>
        <v>111</v>
      </c>
      <c r="C59" s="540"/>
      <c r="D59" s="540"/>
      <c r="E59" s="540"/>
      <c r="F59" s="540"/>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8" customFormat="1" ht="15.75"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75" thickTop="1">
      <c r="A63" s="668"/>
      <c r="B63" s="1894" t="s">
        <v>2555</v>
      </c>
      <c r="C63" s="707" t="s">
        <v>579</v>
      </c>
      <c r="D63" s="707" t="s">
        <v>580</v>
      </c>
      <c r="E63" s="707" t="s">
        <v>581</v>
      </c>
      <c r="F63" s="707" t="s">
        <v>582</v>
      </c>
      <c r="G63" s="707" t="s">
        <v>583</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2595" t="s">
        <v>2556</v>
      </c>
      <c r="C65" s="2596" t="s">
        <v>2557</v>
      </c>
      <c r="D65" s="2596" t="s">
        <v>2558</v>
      </c>
      <c r="E65" s="2596" t="s">
        <v>2559</v>
      </c>
      <c r="F65" s="2596" t="s">
        <v>2560</v>
      </c>
      <c r="G65" s="2596" t="s">
        <v>2561</v>
      </c>
      <c r="H65" s="673"/>
      <c r="I65" s="673"/>
      <c r="J65" s="673"/>
      <c r="K65" s="673"/>
      <c r="L65" s="673"/>
      <c r="M65" s="2599"/>
      <c r="N65" s="2164"/>
      <c r="O65" s="2164"/>
      <c r="P65" s="2163"/>
      <c r="Q65" s="2156"/>
      <c r="R65" s="2143"/>
      <c r="S65" s="2143"/>
      <c r="T65" s="2143"/>
      <c r="U65" s="2143"/>
      <c r="V65" s="2143"/>
      <c r="W65" s="2143"/>
      <c r="X65" s="2143"/>
      <c r="Y65" s="2143"/>
      <c r="Z65" s="2143"/>
      <c r="AA65" s="2143"/>
      <c r="AB65" s="2143"/>
      <c r="AC65" s="2143"/>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4"/>
      <c r="O66" s="2164"/>
      <c r="P66" s="2163"/>
      <c r="Q66" s="2156"/>
      <c r="R66" s="2143"/>
      <c r="S66" s="2143"/>
      <c r="T66" s="2143"/>
      <c r="U66" s="2143"/>
      <c r="V66" s="2143"/>
      <c r="W66" s="2143"/>
      <c r="X66" s="2143"/>
      <c r="Y66" s="2143"/>
      <c r="Z66" s="2143"/>
      <c r="AA66" s="2143"/>
      <c r="AB66" s="2143"/>
      <c r="AC66" s="2143"/>
    </row>
    <row r="67" spans="1:29" ht="15.75" thickTop="1">
      <c r="A67" s="668"/>
      <c r="B67" s="672" t="s">
        <v>744</v>
      </c>
      <c r="C67" s="707" t="s">
        <v>579</v>
      </c>
      <c r="D67" s="707" t="s">
        <v>580</v>
      </c>
      <c r="E67" s="707" t="s">
        <v>581</v>
      </c>
      <c r="F67" s="707" t="s">
        <v>582</v>
      </c>
      <c r="G67" s="707" t="s">
        <v>583</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745</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9" customFormat="1" ht="15.75" thickTop="1">
      <c r="A71" s="708"/>
      <c r="B71" s="672">
        <f>B23</f>
        <v>111</v>
      </c>
      <c r="C71" s="540"/>
      <c r="D71" s="540"/>
      <c r="E71" s="540"/>
      <c r="F71" s="540"/>
      <c r="G71" s="687"/>
      <c r="H71" s="687"/>
      <c r="I71" s="687"/>
      <c r="J71" s="687"/>
      <c r="K71" s="687"/>
      <c r="L71" s="889"/>
      <c r="M71" s="890"/>
      <c r="N71" s="2160"/>
      <c r="O71" s="2160"/>
      <c r="P71" s="2163"/>
      <c r="Q71" s="2156"/>
      <c r="R71" s="1991"/>
      <c r="S71" s="1991"/>
      <c r="T71" s="1991"/>
      <c r="U71" s="1991"/>
      <c r="V71" s="1991"/>
      <c r="W71" s="1991"/>
      <c r="X71" s="1991"/>
      <c r="Y71" s="1991"/>
      <c r="Z71" s="1991"/>
      <c r="AA71" s="1991"/>
      <c r="AB71" s="1991"/>
      <c r="AC71" s="1991"/>
    </row>
    <row r="72" spans="1:29" s="1219" customFormat="1" ht="15.75" thickBot="1">
      <c r="A72" s="708"/>
      <c r="B72" s="677"/>
      <c r="C72" s="691"/>
      <c r="D72" s="670"/>
      <c r="E72" s="670"/>
      <c r="F72" s="670"/>
      <c r="G72" s="670"/>
      <c r="H72" s="670"/>
      <c r="I72" s="670"/>
      <c r="J72" s="670"/>
      <c r="K72" s="670"/>
      <c r="L72" s="670"/>
      <c r="M72" s="671"/>
      <c r="N72" s="2164"/>
      <c r="O72" s="2164"/>
      <c r="P72" s="2163"/>
      <c r="Q72" s="2156"/>
      <c r="R72" s="1991"/>
      <c r="S72" s="1991"/>
      <c r="T72" s="1991"/>
      <c r="U72" s="1991"/>
      <c r="V72" s="1991"/>
      <c r="W72" s="1991"/>
      <c r="X72" s="1991"/>
      <c r="Y72" s="1991"/>
      <c r="Z72" s="1991"/>
      <c r="AA72" s="1991"/>
      <c r="AB72" s="1991"/>
      <c r="AC72" s="1991"/>
    </row>
    <row r="73" spans="1:29" s="1219" customFormat="1" ht="15.75" thickTop="1">
      <c r="A73" s="708"/>
      <c r="B73" s="672">
        <f>B24</f>
        <v>111</v>
      </c>
      <c r="C73" s="540"/>
      <c r="D73" s="540"/>
      <c r="E73" s="540"/>
      <c r="F73" s="540"/>
      <c r="G73" s="687"/>
      <c r="H73" s="687"/>
      <c r="I73" s="687"/>
      <c r="J73" s="687"/>
      <c r="K73" s="687"/>
      <c r="L73" s="687"/>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338" customFormat="1" ht="15.75" thickTop="1">
      <c r="A75" s="686"/>
      <c r="B75" s="672">
        <f>B25</f>
        <v>111</v>
      </c>
      <c r="C75" s="540"/>
      <c r="D75" s="540"/>
      <c r="E75" s="540"/>
      <c r="F75" s="540"/>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8" customFormat="1" ht="15.75"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551</v>
      </c>
      <c r="B77" s="664" t="s">
        <v>751</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77"/>
      <c r="C78" s="678">
        <v>100</v>
      </c>
      <c r="D78" s="678">
        <f t="shared" ref="D78:M78" si="14">C78-$K26</f>
        <v>100</v>
      </c>
      <c r="E78" s="678">
        <f t="shared" si="14"/>
        <v>100</v>
      </c>
      <c r="F78" s="678">
        <f t="shared" si="14"/>
        <v>100</v>
      </c>
      <c r="G78" s="678">
        <f t="shared" si="14"/>
        <v>100</v>
      </c>
      <c r="H78" s="678">
        <f t="shared" si="14"/>
        <v>100</v>
      </c>
      <c r="I78" s="678">
        <f t="shared" si="14"/>
        <v>100</v>
      </c>
      <c r="J78" s="678">
        <f t="shared" si="14"/>
        <v>100</v>
      </c>
      <c r="K78" s="678">
        <f t="shared" si="14"/>
        <v>100</v>
      </c>
      <c r="L78" s="678">
        <f t="shared" si="14"/>
        <v>100</v>
      </c>
      <c r="M78" s="679">
        <f t="shared" si="14"/>
        <v>100</v>
      </c>
      <c r="N78" s="2164"/>
      <c r="O78" s="2164"/>
      <c r="P78" s="2163"/>
      <c r="Q78" s="2156"/>
      <c r="R78" s="2143"/>
      <c r="S78" s="2143"/>
      <c r="T78" s="2143"/>
      <c r="U78" s="2143"/>
      <c r="V78" s="2143"/>
      <c r="W78" s="2143"/>
      <c r="X78" s="2143"/>
      <c r="Y78" s="2143"/>
      <c r="Z78" s="2143"/>
      <c r="AA78" s="2143"/>
      <c r="AB78" s="2143"/>
      <c r="AC78" s="2143"/>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ht="15">
      <c r="A80" s="668"/>
      <c r="B80" s="680"/>
      <c r="C80" s="893">
        <v>0.5</v>
      </c>
      <c r="D80" s="893">
        <v>0.6</v>
      </c>
      <c r="E80" s="893">
        <v>0.7</v>
      </c>
      <c r="F80" s="893">
        <v>0.8</v>
      </c>
      <c r="G80" s="893">
        <v>0.9</v>
      </c>
      <c r="H80" s="893">
        <v>1.0001</v>
      </c>
      <c r="I80" s="934"/>
      <c r="J80" s="934"/>
      <c r="K80" s="944"/>
      <c r="L80" s="945"/>
      <c r="M80" s="946"/>
      <c r="N80" s="2160"/>
      <c r="O80" s="2160"/>
      <c r="P80" s="2163"/>
      <c r="Q80" s="2156"/>
      <c r="R80" s="2143"/>
      <c r="S80" s="2143"/>
      <c r="T80" s="2143"/>
      <c r="U80" s="2143"/>
      <c r="V80" s="2143"/>
      <c r="W80" s="2143"/>
      <c r="X80" s="2143"/>
      <c r="Y80" s="2143"/>
      <c r="Z80" s="2143"/>
      <c r="AA80" s="2143"/>
      <c r="AB80" s="2143"/>
      <c r="AC80" s="2143"/>
    </row>
    <row r="81" spans="1:29" s="1338" customFormat="1" ht="15.75" thickBot="1">
      <c r="A81" s="686"/>
      <c r="B81" s="677"/>
      <c r="C81" s="711">
        <v>100</v>
      </c>
      <c r="D81" s="678">
        <f t="shared" ref="D81:M81" si="15">C81+$K27</f>
        <v>100</v>
      </c>
      <c r="E81" s="678">
        <f t="shared" si="15"/>
        <v>100</v>
      </c>
      <c r="F81" s="678">
        <f t="shared" si="15"/>
        <v>100</v>
      </c>
      <c r="G81" s="678">
        <f t="shared" si="15"/>
        <v>100</v>
      </c>
      <c r="H81" s="678">
        <f t="shared" si="15"/>
        <v>100</v>
      </c>
      <c r="I81" s="678">
        <f t="shared" si="15"/>
        <v>100</v>
      </c>
      <c r="J81" s="678">
        <f t="shared" si="15"/>
        <v>100</v>
      </c>
      <c r="K81" s="678">
        <f t="shared" si="15"/>
        <v>100</v>
      </c>
      <c r="L81" s="678">
        <f t="shared" si="15"/>
        <v>100</v>
      </c>
      <c r="M81" s="678">
        <f t="shared" si="15"/>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817</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5.75" thickBot="1">
      <c r="A83" s="668"/>
      <c r="B83" s="677"/>
      <c r="C83" s="678">
        <v>100</v>
      </c>
      <c r="D83" s="678">
        <f t="shared" ref="D83:M83" si="16">C83-$K28</f>
        <v>100</v>
      </c>
      <c r="E83" s="678">
        <f t="shared" si="16"/>
        <v>100</v>
      </c>
      <c r="F83" s="678">
        <f t="shared" si="16"/>
        <v>100</v>
      </c>
      <c r="G83" s="678">
        <f t="shared" si="16"/>
        <v>100</v>
      </c>
      <c r="H83" s="678">
        <f t="shared" si="16"/>
        <v>100</v>
      </c>
      <c r="I83" s="678">
        <f t="shared" si="16"/>
        <v>100</v>
      </c>
      <c r="J83" s="678">
        <f t="shared" si="16"/>
        <v>100</v>
      </c>
      <c r="K83" s="678">
        <f t="shared" si="16"/>
        <v>100</v>
      </c>
      <c r="L83" s="678">
        <f t="shared" si="16"/>
        <v>100</v>
      </c>
      <c r="M83" s="679">
        <f t="shared" si="16"/>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825</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711">
        <v>100</v>
      </c>
      <c r="D85" s="678">
        <f t="shared" ref="D85:M85" si="17">C85+$K29</f>
        <v>100</v>
      </c>
      <c r="E85" s="678">
        <f t="shared" si="17"/>
        <v>100</v>
      </c>
      <c r="F85" s="678">
        <f t="shared" si="17"/>
        <v>100</v>
      </c>
      <c r="G85" s="678">
        <f t="shared" si="17"/>
        <v>100</v>
      </c>
      <c r="H85" s="678">
        <f t="shared" si="17"/>
        <v>100</v>
      </c>
      <c r="I85" s="678">
        <f t="shared" si="17"/>
        <v>100</v>
      </c>
      <c r="J85" s="678">
        <f t="shared" si="17"/>
        <v>100</v>
      </c>
      <c r="K85" s="678">
        <f t="shared" si="17"/>
        <v>100</v>
      </c>
      <c r="L85" s="678">
        <f t="shared" si="17"/>
        <v>100</v>
      </c>
      <c r="M85" s="678">
        <f t="shared" si="17"/>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826</v>
      </c>
      <c r="C86" s="707" t="str">
        <f t="shared" ref="C86:L86" si="18">C87&amp;"(含)"&amp;"-"&amp;D87</f>
        <v>(含)-</v>
      </c>
      <c r="D86" s="707" t="str">
        <f t="shared" si="18"/>
        <v>(含)-</v>
      </c>
      <c r="E86" s="707" t="str">
        <f t="shared" si="18"/>
        <v>(含)-</v>
      </c>
      <c r="F86" s="707" t="str">
        <f t="shared" si="18"/>
        <v>(含)-</v>
      </c>
      <c r="G86" s="707" t="str">
        <f t="shared" si="18"/>
        <v>(含)-</v>
      </c>
      <c r="H86" s="707" t="str">
        <f t="shared" si="18"/>
        <v>(含)-</v>
      </c>
      <c r="I86" s="707" t="str">
        <f t="shared" si="18"/>
        <v>(含)-</v>
      </c>
      <c r="J86" s="707" t="str">
        <f t="shared" si="18"/>
        <v>(含)-</v>
      </c>
      <c r="K86" s="707" t="str">
        <f t="shared" si="18"/>
        <v>(含)-</v>
      </c>
      <c r="L86" s="707" t="str">
        <f t="shared" si="18"/>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8" customFormat="1" ht="15" thickTop="1">
      <c r="A89" s="727"/>
      <c r="B89" s="672" t="s">
        <v>827</v>
      </c>
      <c r="C89" s="687"/>
      <c r="D89" s="687"/>
      <c r="E89" s="687"/>
      <c r="F89" s="687"/>
      <c r="G89" s="687"/>
      <c r="H89" s="687"/>
      <c r="I89" s="687"/>
      <c r="J89" s="687"/>
      <c r="K89" s="687"/>
      <c r="L89" s="687"/>
      <c r="M89" s="890"/>
      <c r="N89" s="2165"/>
      <c r="O89" s="2165"/>
      <c r="P89" s="2166"/>
      <c r="Q89" s="2167"/>
      <c r="R89" s="2168"/>
      <c r="S89" s="2168"/>
      <c r="T89" s="2168"/>
      <c r="U89" s="2168"/>
      <c r="V89" s="2168"/>
      <c r="W89" s="2168"/>
      <c r="X89" s="2168"/>
      <c r="Y89" s="2168"/>
      <c r="Z89" s="2168"/>
      <c r="AA89" s="2168"/>
      <c r="AB89" s="2168"/>
      <c r="AC89" s="2168"/>
    </row>
    <row r="90" spans="1:29" s="1338" customFormat="1" ht="15.75"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5" thickTop="1">
      <c r="A91" s="734"/>
      <c r="B91" s="672">
        <f>B32</f>
        <v>111</v>
      </c>
      <c r="C91" s="540"/>
      <c r="D91" s="540"/>
      <c r="E91" s="540"/>
      <c r="F91" s="540"/>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5.75"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5" thickTop="1">
      <c r="A93" s="734"/>
      <c r="B93" s="672">
        <f>B33</f>
        <v>111</v>
      </c>
      <c r="C93" s="540"/>
      <c r="D93" s="540"/>
      <c r="E93" s="540"/>
      <c r="F93" s="540"/>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5" thickTop="1">
      <c r="A95" s="734"/>
      <c r="B95" s="916">
        <f>B34</f>
        <v>111</v>
      </c>
      <c r="C95" s="540"/>
      <c r="D95" s="540"/>
      <c r="E95" s="540"/>
      <c r="F95" s="540"/>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5.75"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25" priority="14" stopIfTrue="1" operator="containsText" text="超过">
      <formula>NOT(ISERROR(SEARCH("超过",F40)))</formula>
    </cfRule>
  </conditionalFormatting>
  <conditionalFormatting sqref="J42">
    <cfRule type="containsText" dxfId="24" priority="13" stopIfTrue="1" operator="containsText" text="超过">
      <formula>NOT(ISERROR(SEARCH("超过",J42)))</formula>
    </cfRule>
  </conditionalFormatting>
  <conditionalFormatting sqref="H42">
    <cfRule type="containsText" dxfId="23" priority="12" stopIfTrue="1" operator="containsText" text="超过">
      <formula>NOT(ISERROR(SEARCH("超过",H42)))</formula>
    </cfRule>
  </conditionalFormatting>
  <conditionalFormatting sqref="F42">
    <cfRule type="containsText" dxfId="22" priority="11" stopIfTrue="1" operator="containsText" text="超过">
      <formula>NOT(ISERROR(SEARCH("超过",F42)))</formula>
    </cfRule>
  </conditionalFormatting>
  <conditionalFormatting sqref="F41 H41 J41">
    <cfRule type="containsText" dxfId="21" priority="10" stopIfTrue="1" operator="containsText" text="超过">
      <formula>NOT(ISERROR(SEARCH("超过",F41)))</formula>
    </cfRule>
  </conditionalFormatting>
  <conditionalFormatting sqref="E40">
    <cfRule type="expression" dxfId="20" priority="9" stopIfTrue="1">
      <formula>$F$40="超过30%"</formula>
    </cfRule>
  </conditionalFormatting>
  <conditionalFormatting sqref="G42">
    <cfRule type="expression" dxfId="19" priority="8" stopIfTrue="1">
      <formula>$H$54+$H$42="超过30%"</formula>
    </cfRule>
  </conditionalFormatting>
  <conditionalFormatting sqref="E41">
    <cfRule type="expression" dxfId="18" priority="7" stopIfTrue="1">
      <formula>$F$41="超过20%"</formula>
    </cfRule>
  </conditionalFormatting>
  <conditionalFormatting sqref="E42">
    <cfRule type="expression" dxfId="17" priority="6" stopIfTrue="1">
      <formula>$F$42="超过30%"</formula>
    </cfRule>
  </conditionalFormatting>
  <conditionalFormatting sqref="G40">
    <cfRule type="expression" dxfId="16" priority="5" stopIfTrue="1">
      <formula>$H$52+$H$40="超过30%"</formula>
    </cfRule>
  </conditionalFormatting>
  <conditionalFormatting sqref="G41">
    <cfRule type="expression" dxfId="15" priority="4" stopIfTrue="1">
      <formula>$H$53+$H$41="超过20%"</formula>
    </cfRule>
  </conditionalFormatting>
  <conditionalFormatting sqref="I40">
    <cfRule type="expression" dxfId="14" priority="3" stopIfTrue="1">
      <formula>$J$40="超过30%"</formula>
    </cfRule>
  </conditionalFormatting>
  <conditionalFormatting sqref="I41">
    <cfRule type="expression" dxfId="13" priority="2" stopIfTrue="1">
      <formula>$J$41="超过20%"</formula>
    </cfRule>
  </conditionalFormatting>
  <conditionalFormatting sqref="I42">
    <cfRule type="expression" dxfId="12"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53" sqref="J53"/>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1726</v>
      </c>
      <c r="B1" s="737"/>
      <c r="C1" s="772" t="s">
        <v>3033</v>
      </c>
      <c r="D1" s="3120" t="s">
        <v>3233</v>
      </c>
      <c r="E1" s="2385" t="s">
        <v>870</v>
      </c>
      <c r="F1" s="2386">
        <f ca="1">J53</f>
        <v>36.65</v>
      </c>
      <c r="G1" s="773">
        <f>MATCH(C1,'数据-取费表'!A6:A16,0)+5</f>
        <v>9</v>
      </c>
      <c r="H1" s="2048"/>
      <c r="I1" s="2049"/>
      <c r="J1" s="2049"/>
      <c r="K1" s="2050"/>
      <c r="L1" s="2049"/>
      <c r="M1" s="2049"/>
      <c r="N1" s="2051"/>
      <c r="O1" s="2051"/>
      <c r="P1" s="2051"/>
      <c r="Q1" s="2390"/>
      <c r="R1" s="2051"/>
      <c r="S1" s="2051"/>
      <c r="T1" s="2051"/>
      <c r="U1" s="2051"/>
      <c r="V1" s="2051"/>
      <c r="W1" s="2051"/>
      <c r="X1" s="2051"/>
      <c r="Y1" s="2051"/>
      <c r="Z1" s="2051"/>
      <c r="AA1" s="2051"/>
      <c r="AB1" s="2051"/>
      <c r="AC1" s="2051"/>
      <c r="AD1" s="2051"/>
      <c r="AE1" s="2051"/>
      <c r="AF1" s="2051"/>
      <c r="AG1" s="2051"/>
    </row>
    <row r="2" spans="1:33" ht="18" customHeight="1">
      <c r="A2" s="422" t="s">
        <v>467</v>
      </c>
      <c r="B2" s="774">
        <f ca="1">C40+J29+L46</f>
        <v>0</v>
      </c>
      <c r="C2" s="2055"/>
      <c r="D2" s="2053"/>
      <c r="E2" s="2054"/>
      <c r="F2" s="2054"/>
      <c r="G2" s="1589"/>
      <c r="H2" s="2055"/>
      <c r="I2" s="2055"/>
      <c r="J2" s="2055"/>
      <c r="K2" s="2056"/>
      <c r="L2" s="2055"/>
      <c r="M2" s="2055"/>
    </row>
    <row r="3" spans="1:33" ht="18" customHeight="1" thickBot="1">
      <c r="A3" s="832" t="s">
        <v>519</v>
      </c>
      <c r="B3" s="833">
        <f ca="1">IF(ISERROR(B2*10000/F43),0,ROUND(B2*10000/F43,0))</f>
        <v>0</v>
      </c>
      <c r="C3" s="2055"/>
      <c r="D3" s="2053"/>
      <c r="E3" s="2054"/>
      <c r="F3" s="2054"/>
      <c r="G3" s="1589"/>
      <c r="H3" s="775" t="s">
        <v>695</v>
      </c>
      <c r="I3" s="1362"/>
      <c r="J3" s="1362"/>
      <c r="K3" s="1590"/>
      <c r="L3" s="1362"/>
      <c r="M3" s="1362"/>
    </row>
    <row r="4" spans="1:33" ht="18" customHeight="1">
      <c r="A4" s="776" t="s">
        <v>630</v>
      </c>
      <c r="B4" s="777" t="s">
        <v>631</v>
      </c>
      <c r="C4" s="777" t="s">
        <v>632</v>
      </c>
      <c r="D4" s="777" t="s">
        <v>633</v>
      </c>
      <c r="E4" s="778" t="s">
        <v>634</v>
      </c>
      <c r="F4" s="779"/>
      <c r="G4" s="1591"/>
      <c r="H4" s="776" t="s">
        <v>630</v>
      </c>
      <c r="I4" s="777" t="s">
        <v>631</v>
      </c>
      <c r="J4" s="777" t="s">
        <v>632</v>
      </c>
      <c r="K4" s="777" t="s">
        <v>633</v>
      </c>
      <c r="L4" s="778" t="s">
        <v>634</v>
      </c>
      <c r="M4" s="779"/>
    </row>
    <row r="5" spans="1:33" ht="18" customHeight="1">
      <c r="A5" s="780">
        <v>1</v>
      </c>
      <c r="B5" s="781" t="s">
        <v>2456</v>
      </c>
      <c r="C5" s="55">
        <f ca="1">C6+C10+C12</f>
        <v>0</v>
      </c>
      <c r="D5" s="2494" t="s">
        <v>2459</v>
      </c>
      <c r="E5" s="2488"/>
      <c r="F5" s="2489"/>
      <c r="G5" s="1591"/>
      <c r="H5" s="780">
        <v>1</v>
      </c>
      <c r="I5" s="781" t="s">
        <v>2456</v>
      </c>
      <c r="J5" s="55">
        <f ca="1">J6+J10+J12</f>
        <v>0</v>
      </c>
      <c r="K5" s="2494" t="s">
        <v>2459</v>
      </c>
      <c r="L5" s="2488"/>
      <c r="M5" s="2489"/>
    </row>
    <row r="6" spans="1:33" ht="18" customHeight="1">
      <c r="A6" s="1828" t="s">
        <v>1825</v>
      </c>
      <c r="B6" s="3571" t="s">
        <v>2461</v>
      </c>
      <c r="C6" s="782">
        <f ca="1">ROUND(F6*F8*F7*(1-F9)/10000,0)</f>
        <v>0</v>
      </c>
      <c r="D6" s="2495" t="s">
        <v>2460</v>
      </c>
      <c r="E6" s="783" t="s">
        <v>637</v>
      </c>
      <c r="F6" s="784">
        <f ca="1">INDIRECT("'数据-取费表'!u"&amp;$G$1)</f>
        <v>0</v>
      </c>
      <c r="G6" s="1591"/>
      <c r="H6" s="2502" t="s">
        <v>1825</v>
      </c>
      <c r="I6" s="3571" t="s">
        <v>2461</v>
      </c>
      <c r="J6" s="782">
        <f ca="1">ROUND(M6*M8*M7*(1-M9)/10000,0)</f>
        <v>0</v>
      </c>
      <c r="K6" s="340" t="s">
        <v>636</v>
      </c>
      <c r="L6" s="783" t="s">
        <v>637</v>
      </c>
      <c r="M6" s="784">
        <f ca="1">INDIRECT("'数据-取费表'!z"&amp;$G$1)</f>
        <v>0</v>
      </c>
    </row>
    <row r="7" spans="1:33" ht="18" customHeight="1">
      <c r="A7" s="2498"/>
      <c r="B7" s="3572"/>
      <c r="C7" s="787"/>
      <c r="D7" s="788"/>
      <c r="E7" s="783" t="s">
        <v>638</v>
      </c>
      <c r="F7" s="784">
        <f ca="1">IF(INDIRECT("'数据-取费表'!ah"&amp;$G$1)="",INDIRECT("'数据-取费表'!k"&amp;$G$1),INDIRECT("'数据-取费表'!ah"&amp;$G$1))</f>
        <v>0</v>
      </c>
      <c r="G7" s="1591"/>
      <c r="H7" s="2487"/>
      <c r="I7" s="3572"/>
      <c r="J7" s="787"/>
      <c r="K7" s="788"/>
      <c r="L7" s="783" t="s">
        <v>638</v>
      </c>
      <c r="M7" s="784">
        <f ca="1">F7</f>
        <v>0</v>
      </c>
    </row>
    <row r="8" spans="1:33" ht="18" customHeight="1">
      <c r="A8" s="2491"/>
      <c r="B8" s="3573"/>
      <c r="C8" s="787"/>
      <c r="D8" s="788"/>
      <c r="E8" s="783" t="s">
        <v>639</v>
      </c>
      <c r="F8" s="784">
        <f ca="1">INDIRECT("'数据-取费表'!ai"&amp;$G$1)</f>
        <v>365</v>
      </c>
      <c r="G8" s="1591"/>
      <c r="H8" s="2487"/>
      <c r="I8" s="3573"/>
      <c r="J8" s="787"/>
      <c r="K8" s="788"/>
      <c r="L8" s="783" t="s">
        <v>639</v>
      </c>
      <c r="M8" s="784">
        <f ca="1">INDIRECT("'数据-取费表'!ai"&amp;$G$1)</f>
        <v>365</v>
      </c>
    </row>
    <row r="9" spans="1:33" ht="18" customHeight="1">
      <c r="A9" s="785"/>
      <c r="B9" s="3574"/>
      <c r="C9" s="787"/>
      <c r="D9" s="788"/>
      <c r="E9" s="783" t="s">
        <v>640</v>
      </c>
      <c r="F9" s="793">
        <f ca="1">INDIRECT("'数据-取费表'!w"&amp;$G$1)</f>
        <v>0</v>
      </c>
      <c r="G9" s="1591"/>
      <c r="H9" s="2503"/>
      <c r="I9" s="3573"/>
      <c r="J9" s="787"/>
      <c r="K9" s="788"/>
      <c r="L9" s="794" t="s">
        <v>640</v>
      </c>
      <c r="M9" s="795">
        <f ca="1">INDIRECT("'数据-取费表'!ab"&amp;$G$1)</f>
        <v>0</v>
      </c>
    </row>
    <row r="10" spans="1:33" ht="18" customHeight="1">
      <c r="A10" s="1828" t="s">
        <v>1826</v>
      </c>
      <c r="B10" s="2492" t="s">
        <v>2457</v>
      </c>
      <c r="C10" s="798">
        <f ca="1">ROUND(IF(F10="押一",C6/12*F11,IF(F10="押二",C6/12*2*F11,IF(F10="押三",C6/12*3*F11,C11*F11))),0)</f>
        <v>0</v>
      </c>
      <c r="D10" s="2499" t="s">
        <v>2962</v>
      </c>
      <c r="E10" s="2496" t="s">
        <v>2462</v>
      </c>
      <c r="F10" s="2619" t="s">
        <v>3234</v>
      </c>
      <c r="G10" s="1591"/>
      <c r="H10" s="2559" t="s">
        <v>1826</v>
      </c>
      <c r="I10" s="2564" t="s">
        <v>2457</v>
      </c>
      <c r="J10" s="782">
        <f ca="1">ROUND(IF(M10="押一",J6/12*M11,IF(M10="押二",J6/12*2*M11,IF(M10="押三",J6/12*3*M11,J11*M11))),0)</f>
        <v>0</v>
      </c>
      <c r="K10" s="2499" t="s">
        <v>2962</v>
      </c>
      <c r="L10" s="2496" t="s">
        <v>2462</v>
      </c>
      <c r="M10" s="2619"/>
    </row>
    <row r="11" spans="1:33" ht="18" customHeight="1">
      <c r="A11" s="789"/>
      <c r="B11" s="2493" t="s">
        <v>2571</v>
      </c>
      <c r="C11" s="2497"/>
      <c r="D11" s="788"/>
      <c r="E11" s="2496" t="s">
        <v>2454</v>
      </c>
      <c r="F11" s="795">
        <f ca="1">'数据-取费表'!B39</f>
        <v>1.4999999999999999E-2</v>
      </c>
      <c r="G11" s="1591"/>
      <c r="H11" s="2560"/>
      <c r="I11" s="2493" t="s">
        <v>2571</v>
      </c>
      <c r="J11" s="2497"/>
      <c r="K11" s="2561"/>
      <c r="L11" s="2496" t="s">
        <v>2454</v>
      </c>
      <c r="M11" s="2490">
        <f ca="1">'数据-取费表'!B39</f>
        <v>1.4999999999999999E-2</v>
      </c>
    </row>
    <row r="12" spans="1:33" ht="18" customHeight="1" thickBot="1">
      <c r="A12" s="2535" t="s">
        <v>2465</v>
      </c>
      <c r="B12" s="2536" t="s">
        <v>2458</v>
      </c>
      <c r="C12" s="2537"/>
      <c r="D12" s="2538"/>
      <c r="E12" s="2539"/>
      <c r="F12" s="2540"/>
      <c r="G12" s="1591"/>
      <c r="H12" s="2549" t="s">
        <v>2465</v>
      </c>
      <c r="I12" s="2562" t="s">
        <v>2458</v>
      </c>
      <c r="J12" s="2563"/>
      <c r="K12" s="2538"/>
      <c r="L12" s="2539"/>
      <c r="M12" s="2552"/>
    </row>
    <row r="13" spans="1:33" ht="18" customHeight="1" thickTop="1">
      <c r="A13" s="1827">
        <v>2</v>
      </c>
      <c r="B13" s="1825" t="s">
        <v>644</v>
      </c>
      <c r="C13" s="791">
        <f ca="1">ROUND(C29*F13,0)</f>
        <v>0</v>
      </c>
      <c r="D13" s="1832" t="s">
        <v>2297</v>
      </c>
      <c r="E13" s="1832" t="s">
        <v>643</v>
      </c>
      <c r="F13" s="2534">
        <f ca="1">INDIRECT("'数据-取费表'!y"&amp;$G$1)</f>
        <v>1</v>
      </c>
      <c r="G13" s="1591"/>
      <c r="H13" s="1827">
        <v>2</v>
      </c>
      <c r="I13" s="1825" t="s">
        <v>644</v>
      </c>
      <c r="J13" s="1817">
        <f ca="1">ROUND(J14*J15,0)</f>
        <v>0</v>
      </c>
      <c r="K13" s="1819" t="s">
        <v>642</v>
      </c>
      <c r="L13" s="2550"/>
      <c r="M13" s="2551"/>
    </row>
    <row r="14" spans="1:33" ht="18" customHeight="1">
      <c r="A14" s="1647" t="s">
        <v>1832</v>
      </c>
      <c r="B14" s="783" t="s">
        <v>645</v>
      </c>
      <c r="C14" s="803">
        <f ca="1">INDIRECT("'数据-取费表'!m"&amp;$G$1)+INDIRECT("'数据-取费表'!t"&amp;$G$1)</f>
        <v>0</v>
      </c>
      <c r="D14" s="3211" t="s">
        <v>646</v>
      </c>
      <c r="E14" s="3210"/>
      <c r="F14" s="804"/>
      <c r="G14" s="1591"/>
      <c r="H14" s="1648" t="s">
        <v>1825</v>
      </c>
      <c r="I14" s="2229" t="s">
        <v>2822</v>
      </c>
      <c r="J14" s="53">
        <f ca="1">C29</f>
        <v>0</v>
      </c>
      <c r="K14" s="26"/>
      <c r="L14" s="800"/>
      <c r="M14" s="801"/>
    </row>
    <row r="15" spans="1:33" s="2062" customFormat="1" ht="18" customHeight="1" thickBot="1">
      <c r="A15" s="1647" t="s">
        <v>1833</v>
      </c>
      <c r="B15" s="783" t="s">
        <v>647</v>
      </c>
      <c r="C15" s="53">
        <f ca="1">ROUND(C14*F15,0)</f>
        <v>0</v>
      </c>
      <c r="D15" s="805" t="s">
        <v>648</v>
      </c>
      <c r="E15" s="805" t="s">
        <v>649</v>
      </c>
      <c r="F15" s="806">
        <f>'数据-取费表'!B33</f>
        <v>0.03</v>
      </c>
      <c r="G15" s="1592"/>
      <c r="H15" s="2549" t="s">
        <v>1890</v>
      </c>
      <c r="I15" s="2544" t="s">
        <v>643</v>
      </c>
      <c r="J15" s="2553">
        <f ca="1">INDIRECT("'数据-取费表'!ad"&amp;$G$1)</f>
        <v>0</v>
      </c>
      <c r="K15" s="2554"/>
      <c r="L15" s="2555"/>
      <c r="M15" s="2556"/>
      <c r="N15" s="2061"/>
      <c r="O15" s="2061"/>
      <c r="P15" s="2061"/>
      <c r="Q15" s="2391"/>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1834</v>
      </c>
      <c r="B16" s="783" t="s">
        <v>650</v>
      </c>
      <c r="C16" s="53">
        <f ca="1">ROUND(INDIRECT("'数据-取费表'!m"&amp;$G$1)*F16,0)</f>
        <v>0</v>
      </c>
      <c r="D16" s="783" t="s">
        <v>648</v>
      </c>
      <c r="E16" s="783" t="s">
        <v>649</v>
      </c>
      <c r="F16" s="808">
        <f ca="1">IF(INDIRECT("'数据-取费表'!c"&amp;$G$1)="住宅",'数据-取费表'!B34,0)</f>
        <v>0</v>
      </c>
      <c r="G16" s="1591"/>
      <c r="H16" s="1827" t="s">
        <v>7</v>
      </c>
      <c r="I16" s="1825" t="s">
        <v>651</v>
      </c>
      <c r="J16" s="791">
        <f ca="1">ROUND(J17+J22+J23+J24,0)</f>
        <v>0</v>
      </c>
      <c r="K16" s="1819" t="s">
        <v>652</v>
      </c>
      <c r="L16" s="3213"/>
      <c r="M16" s="2489"/>
    </row>
    <row r="17" spans="1:33" s="2062" customFormat="1" ht="18" customHeight="1">
      <c r="A17" s="1647" t="s">
        <v>1888</v>
      </c>
      <c r="B17" s="783" t="s">
        <v>653</v>
      </c>
      <c r="C17" s="53">
        <f ca="1">ROUND(F17*(F43+INDIRECT("'数据-取费表'!S"&amp;$G$1))/10000,0)</f>
        <v>0</v>
      </c>
      <c r="D17" s="783" t="s">
        <v>654</v>
      </c>
      <c r="E17" s="783" t="s">
        <v>655</v>
      </c>
      <c r="F17" s="56">
        <f>'数据-取费表'!B35</f>
        <v>200</v>
      </c>
      <c r="G17" s="1592"/>
      <c r="H17" s="1648" t="s">
        <v>1825</v>
      </c>
      <c r="I17" s="783" t="s">
        <v>656</v>
      </c>
      <c r="J17" s="53">
        <f ca="1">ROUND(IF(项目基本情况!B11="自然人",J5*M17,J18+J19+J20),0)</f>
        <v>0</v>
      </c>
      <c r="K17" s="3211" t="s">
        <v>657</v>
      </c>
      <c r="L17" s="3212" t="s">
        <v>658</v>
      </c>
      <c r="M17" s="809" t="str">
        <f ca="1">IF(项目基本情况!B11="企业","",IF(INDIRECT("'数据-取费表'!c"&amp;$G$1)="住宅",5%,IF(M6*M7*M8/12/(1+'数据-取费表'!C42)&gt;20000,12%,7%)))</f>
        <v/>
      </c>
      <c r="N17" s="2061"/>
      <c r="O17" s="2061"/>
      <c r="P17" s="2061"/>
      <c r="Q17" s="2391"/>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1889</v>
      </c>
      <c r="B18" s="783" t="s">
        <v>659</v>
      </c>
      <c r="C18" s="53">
        <f ca="1">ROUND(C14*F18,0)</f>
        <v>0</v>
      </c>
      <c r="D18" s="783" t="s">
        <v>648</v>
      </c>
      <c r="E18" s="783" t="s">
        <v>649</v>
      </c>
      <c r="F18" s="808">
        <f>'数据-取费表'!B36</f>
        <v>1.4999999999999999E-2</v>
      </c>
      <c r="G18" s="1592"/>
      <c r="H18" s="1647" t="s">
        <v>1832</v>
      </c>
      <c r="I18" s="783" t="s">
        <v>660</v>
      </c>
      <c r="J18" s="53">
        <f ca="1">ROUND(J5*M18/1.05,1)</f>
        <v>0</v>
      </c>
      <c r="K18" s="3212" t="s">
        <v>661</v>
      </c>
      <c r="L18" s="783" t="s">
        <v>649</v>
      </c>
      <c r="M18" s="808">
        <f>'数据-取费表'!B41</f>
        <v>5.5000000000000007E-2</v>
      </c>
      <c r="N18" s="2061"/>
      <c r="O18" s="2061"/>
      <c r="P18" s="2061"/>
      <c r="Q18" s="2391"/>
      <c r="R18" s="2061"/>
      <c r="S18" s="2061"/>
      <c r="T18" s="2061"/>
      <c r="U18" s="2061"/>
      <c r="V18" s="2061"/>
      <c r="W18" s="2061"/>
      <c r="X18" s="2061"/>
      <c r="Y18" s="2061"/>
      <c r="Z18" s="2061"/>
      <c r="AA18" s="2061"/>
      <c r="AB18" s="2061"/>
      <c r="AC18" s="2061"/>
      <c r="AD18" s="2061"/>
      <c r="AE18" s="2061"/>
      <c r="AF18" s="2061"/>
      <c r="AG18" s="2061"/>
    </row>
    <row r="19" spans="1:33" ht="18" customHeight="1">
      <c r="A19" s="1648" t="s">
        <v>1825</v>
      </c>
      <c r="B19" s="783" t="s">
        <v>662</v>
      </c>
      <c r="C19" s="53">
        <f ca="1">SUM(C14:C18)</f>
        <v>0</v>
      </c>
      <c r="D19" s="260" t="s">
        <v>663</v>
      </c>
      <c r="E19" s="3214"/>
      <c r="F19" s="56"/>
      <c r="G19" s="1591"/>
      <c r="H19" s="1647" t="s">
        <v>1833</v>
      </c>
      <c r="I19" s="783" t="s">
        <v>664</v>
      </c>
      <c r="J19" s="53">
        <f ca="1">IF(K19="按租金收入计税",ROUND(J5*M19,1),ROUND(C29*F33*0.7,1))</f>
        <v>0</v>
      </c>
      <c r="K19" s="810" t="s">
        <v>665</v>
      </c>
      <c r="L19" s="783" t="s">
        <v>649</v>
      </c>
      <c r="M19" s="808">
        <f>IF(K19="按租金收入计税",'数据-取费表'!B51,'数据-取费表'!B50)</f>
        <v>1.2E-2</v>
      </c>
    </row>
    <row r="20" spans="1:33" s="2062" customFormat="1" ht="18" customHeight="1">
      <c r="A20" s="1648" t="s">
        <v>1890</v>
      </c>
      <c r="B20" s="783" t="s">
        <v>666</v>
      </c>
      <c r="C20" s="53">
        <f ca="1">ROUND(C19*F20,0)</f>
        <v>0</v>
      </c>
      <c r="D20" s="811" t="s">
        <v>667</v>
      </c>
      <c r="E20" s="783" t="s">
        <v>649</v>
      </c>
      <c r="F20" s="808">
        <f>'数据-取费表'!B37</f>
        <v>0.02</v>
      </c>
      <c r="G20" s="1592"/>
      <c r="H20" s="1650" t="s">
        <v>1881</v>
      </c>
      <c r="I20" s="340" t="s">
        <v>668</v>
      </c>
      <c r="J20" s="54">
        <f ca="1">ROUND(M20*M21/10000,0)</f>
        <v>0</v>
      </c>
      <c r="K20" s="813" t="s">
        <v>669</v>
      </c>
      <c r="L20" s="783" t="s">
        <v>670</v>
      </c>
      <c r="M20" s="639">
        <f>'数据-取费表'!B52</f>
        <v>1.5</v>
      </c>
      <c r="N20" s="2061"/>
      <c r="O20" s="2061"/>
      <c r="P20" s="2061"/>
      <c r="Q20" s="2391"/>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1891</v>
      </c>
      <c r="B21" s="783" t="s">
        <v>671</v>
      </c>
      <c r="C21" s="53" t="s">
        <v>1</v>
      </c>
      <c r="D21" s="811" t="s">
        <v>2298</v>
      </c>
      <c r="E21" s="783" t="s">
        <v>673</v>
      </c>
      <c r="F21" s="808">
        <f>'数据-取费表'!B38</f>
        <v>0.02</v>
      </c>
      <c r="G21" s="1592"/>
      <c r="H21" s="2504"/>
      <c r="I21" s="792"/>
      <c r="J21" s="69"/>
      <c r="K21" s="815"/>
      <c r="L21" s="783" t="s">
        <v>674</v>
      </c>
      <c r="M21" s="784">
        <f ca="1">INDIRECT("'数据-取费表'!r"&amp;$G$1)</f>
        <v>0</v>
      </c>
      <c r="N21" s="2061"/>
      <c r="O21" s="2061"/>
      <c r="P21" s="2061"/>
      <c r="Q21" s="2391"/>
      <c r="R21" s="2061"/>
      <c r="S21" s="2061"/>
      <c r="T21" s="2061"/>
      <c r="U21" s="2061"/>
      <c r="V21" s="2061"/>
      <c r="W21" s="2061"/>
      <c r="X21" s="2061"/>
      <c r="Y21" s="2061"/>
      <c r="Z21" s="2061"/>
      <c r="AA21" s="2061"/>
      <c r="AB21" s="2061"/>
      <c r="AC21" s="2061"/>
      <c r="AD21" s="2061"/>
      <c r="AE21" s="2061"/>
      <c r="AF21" s="2061"/>
      <c r="AG21" s="2061"/>
    </row>
    <row r="22" spans="1:33" ht="18" customHeight="1">
      <c r="A22" s="1648" t="s">
        <v>1892</v>
      </c>
      <c r="B22" s="783" t="s">
        <v>675</v>
      </c>
      <c r="C22" s="53"/>
      <c r="D22" s="2570" t="str">
        <f>IF(F23&lt;=1,"单利计息。","复利计息。")&amp;"建造成本、管理费用、销售费用产生的利息。"</f>
        <v>复利计息。建造成本、管理费用、销售费用产生的利息。</v>
      </c>
      <c r="E22" s="3214"/>
      <c r="F22" s="56"/>
      <c r="G22" s="1591"/>
      <c r="H22" s="1648" t="s">
        <v>1890</v>
      </c>
      <c r="I22" s="783" t="s">
        <v>676</v>
      </c>
      <c r="J22" s="53">
        <f ca="1">ROUND(J14*M22,0)</f>
        <v>0</v>
      </c>
      <c r="K22" s="3212" t="s">
        <v>677</v>
      </c>
      <c r="L22" s="783" t="s">
        <v>649</v>
      </c>
      <c r="M22" s="816">
        <f ca="1">INDIRECT("'数据-取费表'!Ak"&amp;$G$1)</f>
        <v>0</v>
      </c>
    </row>
    <row r="23" spans="1:33" s="2062" customFormat="1" ht="18" customHeight="1">
      <c r="A23" s="1647" t="s">
        <v>1832</v>
      </c>
      <c r="B23" s="783" t="s">
        <v>2435</v>
      </c>
      <c r="C23" s="53">
        <f ca="1">ROUND(IF('数据-取费表'!B22&lt;=1,(C19+C20)*F24*F23/2,(C19+C20)*(POWER((1+F24),F23/2)-1)),0)</f>
        <v>0</v>
      </c>
      <c r="D23" s="2569" t="str">
        <f>IF(F23&lt;=1,"(建造成本+管理费用)×利率×(建设周期÷2)","(建造成本+管理费用)×((1+利率)^(建设周期÷2)-1)")</f>
        <v>(建造成本+管理费用)×((1+利率)^(建设周期÷2)-1)</v>
      </c>
      <c r="E23" s="783" t="s">
        <v>678</v>
      </c>
      <c r="F23" s="639">
        <f>'数据-取费表'!B20</f>
        <v>2</v>
      </c>
      <c r="G23" s="1592"/>
      <c r="H23" s="1648" t="s">
        <v>1891</v>
      </c>
      <c r="I23" s="783" t="s">
        <v>679</v>
      </c>
      <c r="J23" s="53">
        <f ca="1">ROUND(J13*M23,0)</f>
        <v>0</v>
      </c>
      <c r="K23" s="3212" t="s">
        <v>680</v>
      </c>
      <c r="L23" s="783" t="s">
        <v>649</v>
      </c>
      <c r="M23" s="817">
        <f ca="1">INDIRECT("'数据-取费表'!Al"&amp;$G$1)</f>
        <v>0</v>
      </c>
      <c r="N23" s="2061"/>
      <c r="O23" s="2061"/>
      <c r="P23" s="2061"/>
      <c r="Q23" s="2391"/>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1833</v>
      </c>
      <c r="B24" s="783" t="s">
        <v>681</v>
      </c>
      <c r="C24" s="53">
        <f ca="1">ROUND(IF('数据-取费表'!B22&lt;=1,F21*F24*F23/2,F21*(POWER((1+F24),F23/2)-1)),4)</f>
        <v>1E-3</v>
      </c>
      <c r="D24" s="2569" t="str">
        <f>IF(F23&lt;=1,"销售费用×利率×(建设周期÷2)","销售费用×((1+利率)^(建设周期÷2)-1)")</f>
        <v>销售费用×((1+利率)^(建设周期÷2)-1)</v>
      </c>
      <c r="E24" s="783" t="s">
        <v>682</v>
      </c>
      <c r="F24" s="818">
        <f ca="1">'数据-取费表'!B40</f>
        <v>4.7500000000000001E-2</v>
      </c>
      <c r="G24" s="1592"/>
      <c r="H24" s="2549" t="s">
        <v>1892</v>
      </c>
      <c r="I24" s="2544" t="s">
        <v>666</v>
      </c>
      <c r="J24" s="2542">
        <f ca="1">ROUND(J5*M24,0)</f>
        <v>0</v>
      </c>
      <c r="K24" s="2543" t="s">
        <v>683</v>
      </c>
      <c r="L24" s="2544" t="s">
        <v>649</v>
      </c>
      <c r="M24" s="2540">
        <f ca="1">INDIRECT("'数据-取费表'!Am"&amp;$G$1)</f>
        <v>1.4999999999999999E-2</v>
      </c>
      <c r="N24" s="2061"/>
      <c r="O24" s="2061"/>
      <c r="P24" s="2061"/>
      <c r="Q24" s="2391"/>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1841</v>
      </c>
      <c r="B25" s="783" t="s">
        <v>684</v>
      </c>
      <c r="C25" s="53"/>
      <c r="D25" s="260" t="s">
        <v>685</v>
      </c>
      <c r="E25" s="3214"/>
      <c r="F25" s="56"/>
      <c r="G25" s="1591"/>
      <c r="H25" s="1827" t="s">
        <v>1777</v>
      </c>
      <c r="I25" s="3007" t="s">
        <v>2819</v>
      </c>
      <c r="J25" s="791">
        <f ca="1">J5-J16</f>
        <v>0</v>
      </c>
      <c r="K25" s="2546" t="s">
        <v>700</v>
      </c>
      <c r="L25" s="2547"/>
      <c r="M25" s="2548"/>
    </row>
    <row r="26" spans="1:33" ht="18" customHeight="1">
      <c r="A26" s="1647" t="s">
        <v>1832</v>
      </c>
      <c r="B26" s="783" t="s">
        <v>2436</v>
      </c>
      <c r="C26" s="53">
        <f ca="1">ROUND((C19+C20)*F26,0)</f>
        <v>0</v>
      </c>
      <c r="D26" s="811" t="s">
        <v>701</v>
      </c>
      <c r="E26" s="794" t="s">
        <v>702</v>
      </c>
      <c r="F26" s="793">
        <f ca="1">INDIRECT("'数据-取费表'!q"&amp;$G$1)</f>
        <v>0.15</v>
      </c>
      <c r="G26" s="1591"/>
      <c r="H26" s="2500" t="s">
        <v>1781</v>
      </c>
      <c r="I26" s="2230" t="s">
        <v>2824</v>
      </c>
      <c r="J26" s="782">
        <f ca="1">IF(J5&lt;&gt;0,ROUND(J25*(1-((1+M28)/(1+M26))^M27)/(M26-M28),0),0)</f>
        <v>0</v>
      </c>
      <c r="K26" s="813" t="s">
        <v>704</v>
      </c>
      <c r="L26" s="783" t="s">
        <v>2417</v>
      </c>
      <c r="M26" s="793">
        <f ca="1">INDIRECT("'数据-取费表'!I"&amp;$G$1)</f>
        <v>5.5E-2</v>
      </c>
    </row>
    <row r="27" spans="1:33" ht="18" customHeight="1">
      <c r="A27" s="1647" t="s">
        <v>1833</v>
      </c>
      <c r="B27" s="783" t="s">
        <v>686</v>
      </c>
      <c r="C27" s="53">
        <f ca="1">ROUND(F21*F26,4)</f>
        <v>3.0000000000000001E-3</v>
      </c>
      <c r="D27" s="811" t="s">
        <v>706</v>
      </c>
      <c r="E27" s="805"/>
      <c r="F27" s="806"/>
      <c r="G27" s="1591"/>
      <c r="H27" s="2501"/>
      <c r="I27" s="786"/>
      <c r="J27" s="787"/>
      <c r="K27" s="820" t="s">
        <v>707</v>
      </c>
      <c r="L27" s="783" t="s">
        <v>708</v>
      </c>
      <c r="M27" s="821">
        <f ca="1">INDIRECT("'数据-取费表'!ag"&amp;$G$1)</f>
        <v>0</v>
      </c>
    </row>
    <row r="28" spans="1:33" s="2062" customFormat="1" ht="18" customHeight="1">
      <c r="A28" s="1649" t="s">
        <v>1842</v>
      </c>
      <c r="B28" s="783" t="s">
        <v>687</v>
      </c>
      <c r="C28" s="53">
        <f>ROUND(F28/(1+'数据-取费表'!C42),4)</f>
        <v>5.2400000000000002E-2</v>
      </c>
      <c r="D28" s="811" t="s">
        <v>2299</v>
      </c>
      <c r="E28" s="783" t="s">
        <v>649</v>
      </c>
      <c r="F28" s="808">
        <f>'数据-取费表'!B41</f>
        <v>5.5000000000000007E-2</v>
      </c>
      <c r="G28" s="1592"/>
      <c r="H28" s="1827"/>
      <c r="I28" s="790"/>
      <c r="J28" s="791"/>
      <c r="K28" s="815"/>
      <c r="L28" s="783" t="s">
        <v>710</v>
      </c>
      <c r="M28" s="793">
        <f ca="1">INDIRECT("'数据-取费表'!aa"&amp;$G$1)</f>
        <v>0</v>
      </c>
      <c r="N28" s="2061"/>
      <c r="O28" s="2061"/>
      <c r="P28" s="2061"/>
      <c r="Q28" s="2391"/>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41" t="s">
        <v>1893</v>
      </c>
      <c r="B29" s="2539" t="s">
        <v>2300</v>
      </c>
      <c r="C29" s="2542">
        <f ca="1">ROUND((C19+C20+C23+C26)/(1-F21-C24-C27-C28),0)</f>
        <v>0</v>
      </c>
      <c r="D29" s="2543"/>
      <c r="E29" s="2544"/>
      <c r="F29" s="2545"/>
      <c r="G29" s="1592"/>
      <c r="H29" s="822" t="s">
        <v>1788</v>
      </c>
      <c r="I29" s="823" t="s">
        <v>1789</v>
      </c>
      <c r="J29" s="824">
        <f ca="1">ROUND(J26/(1+F40)^F41,0)</f>
        <v>0</v>
      </c>
      <c r="K29" s="825" t="s">
        <v>1790</v>
      </c>
      <c r="L29" s="826"/>
      <c r="M29" s="827">
        <f ca="1">INDIRECT("'数据-取费表'!k"&amp;$G$1)</f>
        <v>0</v>
      </c>
      <c r="N29" s="2061"/>
      <c r="O29" s="2061"/>
      <c r="P29" s="2061"/>
      <c r="Q29" s="2391"/>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7</v>
      </c>
      <c r="B30" s="1825" t="s">
        <v>1791</v>
      </c>
      <c r="C30" s="791">
        <f ca="1">ROUND(C31+C36+C37+C38,0)</f>
        <v>0</v>
      </c>
      <c r="D30" s="1819" t="s">
        <v>652</v>
      </c>
      <c r="E30" s="3213"/>
      <c r="F30" s="2489"/>
      <c r="G30" s="2060"/>
      <c r="H30" s="2063"/>
      <c r="I30" s="2064"/>
      <c r="J30" s="2065"/>
      <c r="K30" s="2066"/>
      <c r="L30" s="2067"/>
      <c r="M30" s="2068"/>
    </row>
    <row r="31" spans="1:33" ht="18" customHeight="1">
      <c r="A31" s="1648" t="s">
        <v>1825</v>
      </c>
      <c r="B31" s="783" t="s">
        <v>656</v>
      </c>
      <c r="C31" s="53">
        <f ca="1">ROUND(IF(项目基本情况!B11="自然人",C5*F31,C32+C33+C34),1)</f>
        <v>0</v>
      </c>
      <c r="D31" s="3211" t="s">
        <v>657</v>
      </c>
      <c r="E31" s="3212" t="s">
        <v>690</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7" t="s">
        <v>1832</v>
      </c>
      <c r="B32" s="783" t="s">
        <v>660</v>
      </c>
      <c r="C32" s="53">
        <f ca="1">ROUND(C5*F32/1.05,1)</f>
        <v>0</v>
      </c>
      <c r="D32" s="3212" t="s">
        <v>661</v>
      </c>
      <c r="E32" s="783" t="s">
        <v>649</v>
      </c>
      <c r="F32" s="808">
        <f>'数据-取费表'!B41</f>
        <v>5.5000000000000007E-2</v>
      </c>
      <c r="G32" s="2060"/>
      <c r="H32" s="2069"/>
      <c r="I32" s="2070"/>
      <c r="J32" s="2071"/>
      <c r="K32" s="2072"/>
      <c r="L32" s="2073"/>
      <c r="M32" s="2074"/>
    </row>
    <row r="33" spans="1:18" ht="18" customHeight="1">
      <c r="A33" s="1647" t="s">
        <v>1833</v>
      </c>
      <c r="B33" s="783" t="s">
        <v>664</v>
      </c>
      <c r="C33" s="53">
        <f ca="1">IF(D33="按租金收入计税",ROUND(C5*F33,1),IF(D33="按房产原值计税",ROUND(C29*F33*0.7,1),INDIRECT("'数据-取费表'!Aj"&amp;$G$1)))</f>
        <v>0</v>
      </c>
      <c r="D33" s="810" t="s">
        <v>3235</v>
      </c>
      <c r="E33" s="783" t="s">
        <v>649</v>
      </c>
      <c r="F33" s="808">
        <f>IF(D33="按租金收入计税",'数据-取费表'!B51,'数据-取费表'!B50)</f>
        <v>0.12</v>
      </c>
      <c r="G33" s="2060"/>
      <c r="H33" s="2075"/>
      <c r="I33" s="2075"/>
      <c r="J33" s="2075"/>
      <c r="K33" s="2076"/>
      <c r="L33" s="2075"/>
      <c r="M33" s="2075"/>
    </row>
    <row r="34" spans="1:18" ht="18" customHeight="1">
      <c r="A34" s="1650" t="s">
        <v>1834</v>
      </c>
      <c r="B34" s="340" t="s">
        <v>668</v>
      </c>
      <c r="C34" s="3216">
        <f ca="1">ROUND(F34*F35/10000,1)</f>
        <v>0</v>
      </c>
      <c r="D34" s="813" t="s">
        <v>669</v>
      </c>
      <c r="E34" s="783" t="s">
        <v>670</v>
      </c>
      <c r="F34" s="639">
        <f>'数据-取费表'!B52</f>
        <v>1.5</v>
      </c>
      <c r="G34" s="2060"/>
      <c r="H34" s="2063"/>
      <c r="I34" s="834" t="s">
        <v>1814</v>
      </c>
      <c r="J34" s="835"/>
      <c r="K34" s="2078"/>
      <c r="L34" s="2077"/>
      <c r="M34" s="2077"/>
    </row>
    <row r="35" spans="1:18" ht="18" customHeight="1">
      <c r="A35" s="814"/>
      <c r="B35" s="792"/>
      <c r="C35" s="69"/>
      <c r="D35" s="815"/>
      <c r="E35" s="783" t="s">
        <v>674</v>
      </c>
      <c r="F35" s="784">
        <f ca="1">INDIRECT("'数据-取费表'!r"&amp;$G$1)</f>
        <v>0</v>
      </c>
      <c r="G35" s="2060"/>
      <c r="H35" s="2063"/>
      <c r="I35" s="836" t="s">
        <v>1815</v>
      </c>
      <c r="J35" s="837">
        <f ca="1">ROUND(C13*J36,0)</f>
        <v>0</v>
      </c>
      <c r="K35" s="2076"/>
      <c r="L35" s="2075"/>
      <c r="M35" s="2075"/>
    </row>
    <row r="36" spans="1:18" ht="18" customHeight="1">
      <c r="A36" s="1648" t="s">
        <v>1890</v>
      </c>
      <c r="B36" s="783" t="s">
        <v>676</v>
      </c>
      <c r="C36" s="53">
        <f ca="1">ROUND(C29*F36,1)</f>
        <v>0</v>
      </c>
      <c r="D36" s="3212" t="s">
        <v>691</v>
      </c>
      <c r="E36" s="783" t="s">
        <v>649</v>
      </c>
      <c r="F36" s="816">
        <f ca="1">INDIRECT("'数据-取费表'!Ak"&amp;$G$1)</f>
        <v>0</v>
      </c>
      <c r="G36" s="2060"/>
      <c r="H36" s="2075"/>
      <c r="I36" s="838" t="s">
        <v>1816</v>
      </c>
      <c r="J36" s="839">
        <f ca="1">INDIRECT("'数据-取费表'!j"&amp;$G$1)</f>
        <v>8.5000000000000006E-2</v>
      </c>
      <c r="K36" s="2080"/>
      <c r="L36" s="2075"/>
      <c r="M36" s="2075"/>
    </row>
    <row r="37" spans="1:18" ht="18" customHeight="1">
      <c r="A37" s="1648" t="s">
        <v>1891</v>
      </c>
      <c r="B37" s="783" t="s">
        <v>679</v>
      </c>
      <c r="C37" s="53">
        <f ca="1">ROUND(C13*F37,1)</f>
        <v>0</v>
      </c>
      <c r="D37" s="3212" t="s">
        <v>680</v>
      </c>
      <c r="E37" s="783" t="s">
        <v>649</v>
      </c>
      <c r="F37" s="817">
        <f ca="1">INDIRECT("'数据-取费表'!Al"&amp;$G$1)</f>
        <v>0</v>
      </c>
      <c r="G37" s="2060"/>
      <c r="H37" s="2075"/>
      <c r="I37" s="840" t="s">
        <v>1817</v>
      </c>
      <c r="J37" s="841"/>
      <c r="K37" s="2080"/>
      <c r="L37" s="2075"/>
      <c r="M37" s="2075"/>
    </row>
    <row r="38" spans="1:18" ht="18" customHeight="1" thickBot="1">
      <c r="A38" s="2549" t="s">
        <v>1892</v>
      </c>
      <c r="B38" s="2544" t="s">
        <v>666</v>
      </c>
      <c r="C38" s="2542">
        <f ca="1">ROUND(C5*F38,1)</f>
        <v>0</v>
      </c>
      <c r="D38" s="2543" t="s">
        <v>683</v>
      </c>
      <c r="E38" s="2544" t="s">
        <v>649</v>
      </c>
      <c r="F38" s="2540">
        <f ca="1">INDIRECT("'数据-取费表'!Am"&amp;$G$1)</f>
        <v>1.4999999999999999E-2</v>
      </c>
      <c r="G38" s="2060"/>
      <c r="H38" s="2075"/>
      <c r="I38" s="842" t="s">
        <v>1818</v>
      </c>
      <c r="J38" s="843"/>
      <c r="K38" s="2081"/>
      <c r="L38" s="2075"/>
      <c r="M38" s="2075"/>
    </row>
    <row r="39" spans="1:18" ht="24.6" customHeight="1" thickTop="1">
      <c r="A39" s="1827" t="s">
        <v>1777</v>
      </c>
      <c r="B39" s="3007" t="s">
        <v>2819</v>
      </c>
      <c r="C39" s="791">
        <f ca="1">C5-C30</f>
        <v>0</v>
      </c>
      <c r="D39" s="2546" t="s">
        <v>700</v>
      </c>
      <c r="E39" s="2547"/>
      <c r="F39" s="2548"/>
      <c r="G39" s="2060"/>
      <c r="H39" s="2075"/>
      <c r="I39" s="836" t="s">
        <v>1819</v>
      </c>
      <c r="J39" s="844" t="e">
        <f ca="1">ROUND(J35/C39,3)</f>
        <v>#DIV/0!</v>
      </c>
      <c r="K39" s="2081"/>
      <c r="L39" s="2075"/>
      <c r="M39" s="2075"/>
    </row>
    <row r="40" spans="1:18" ht="18" customHeight="1">
      <c r="A40" s="780" t="s">
        <v>1781</v>
      </c>
      <c r="B40" s="2230" t="s">
        <v>2301</v>
      </c>
      <c r="C40" s="782">
        <f ca="1">ROUND(C39*(1-((1+F42)/(1+F40))^F41)/(F40-F42),0)</f>
        <v>0</v>
      </c>
      <c r="D40" s="813" t="s">
        <v>704</v>
      </c>
      <c r="E40" s="783" t="s">
        <v>2417</v>
      </c>
      <c r="F40" s="793">
        <f ca="1">INDIRECT("'数据-取费表'!I"&amp;$G$1)</f>
        <v>5.5E-2</v>
      </c>
      <c r="G40" s="2060"/>
      <c r="H40" s="2060"/>
      <c r="I40" s="836" t="s">
        <v>1820</v>
      </c>
      <c r="J40" s="844" t="e">
        <f ca="1">1-J39</f>
        <v>#DIV/0!</v>
      </c>
      <c r="K40" s="2081"/>
      <c r="L40" s="2060"/>
      <c r="M40" s="2060"/>
    </row>
    <row r="41" spans="1:18" ht="18" customHeight="1">
      <c r="A41" s="785"/>
      <c r="B41" s="786"/>
      <c r="C41" s="787"/>
      <c r="D41" s="820" t="s">
        <v>1809</v>
      </c>
      <c r="E41" s="783" t="s">
        <v>708</v>
      </c>
      <c r="F41" s="821">
        <f ca="1">IF(INDIRECT("'数据-取费表'!af"&amp;$G$1)=0,INDIRECT("'数据-取费表'!ae"&amp;$G$1),INDIRECT("'数据-取费表'!af"&amp;$G$1))</f>
        <v>36.65</v>
      </c>
      <c r="G41" s="2060"/>
      <c r="H41" s="1986"/>
      <c r="I41" s="842" t="s">
        <v>1821</v>
      </c>
      <c r="J41" s="845"/>
      <c r="K41" s="2080"/>
      <c r="L41" s="1986"/>
      <c r="M41" s="1986"/>
    </row>
    <row r="42" spans="1:18" ht="18" customHeight="1">
      <c r="A42" s="789"/>
      <c r="B42" s="790"/>
      <c r="C42" s="791"/>
      <c r="D42" s="815"/>
      <c r="E42" s="783" t="s">
        <v>710</v>
      </c>
      <c r="F42" s="793">
        <f ca="1">INDIRECT("'数据-取费表'!v"&amp;$G$1)</f>
        <v>0</v>
      </c>
      <c r="G42" s="2060"/>
      <c r="H42" s="1986"/>
      <c r="I42" s="846" t="s">
        <v>1822</v>
      </c>
      <c r="J42" s="844" t="e">
        <f ca="1">ROUND(C13/C40,3)</f>
        <v>#DIV/0!</v>
      </c>
      <c r="K42" s="2080"/>
      <c r="L42" s="1986"/>
      <c r="M42" s="1986"/>
    </row>
    <row r="43" spans="1:18" ht="18" customHeight="1" thickBot="1">
      <c r="A43" s="822" t="s">
        <v>1788</v>
      </c>
      <c r="B43" s="823" t="s">
        <v>1811</v>
      </c>
      <c r="C43" s="824" t="e">
        <f ca="1">ROUND(C40*10000/F43,0)</f>
        <v>#DIV/0!</v>
      </c>
      <c r="D43" s="825" t="s">
        <v>1812</v>
      </c>
      <c r="E43" s="826" t="s">
        <v>1813</v>
      </c>
      <c r="F43" s="827">
        <f ca="1">INDIRECT("'数据-取费表'!k"&amp;$G$1)</f>
        <v>0</v>
      </c>
      <c r="G43" s="2060"/>
      <c r="H43" s="1986"/>
      <c r="I43" s="846" t="s">
        <v>1823</v>
      </c>
      <c r="J43" s="847" t="e">
        <f ca="1">1-J42</f>
        <v>#DIV/0!</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2295</v>
      </c>
      <c r="B46" s="2083"/>
      <c r="C46" s="2572">
        <f ca="1">C67-C40</f>
        <v>0</v>
      </c>
      <c r="D46" s="2083"/>
      <c r="E46" s="2083"/>
      <c r="F46" s="2083"/>
      <c r="I46" s="2376" t="s">
        <v>2341</v>
      </c>
      <c r="J46" s="2377"/>
      <c r="K46" s="2378"/>
      <c r="L46" s="3155">
        <f>IF(OR(M47="住宅",D1="土地（套用方法）"),0,IF(L48&gt;J51,L60,J60))</f>
        <v>0</v>
      </c>
      <c r="O46" s="2392" t="s">
        <v>2408</v>
      </c>
      <c r="P46" s="1591"/>
      <c r="Q46" s="1603"/>
      <c r="R46" s="1591"/>
    </row>
    <row r="47" spans="1:18" s="2057" customFormat="1" ht="18" customHeight="1" thickBot="1">
      <c r="A47" s="2370">
        <v>1</v>
      </c>
      <c r="B47" s="2371" t="s">
        <v>635</v>
      </c>
      <c r="C47" s="2572">
        <f ca="1">C48+C52+C54</f>
        <v>0</v>
      </c>
      <c r="D47" s="2083"/>
      <c r="E47" s="2083"/>
      <c r="F47" s="2083"/>
      <c r="I47" s="3145" t="s">
        <v>2342</v>
      </c>
      <c r="J47" s="2379" t="s">
        <v>3261</v>
      </c>
      <c r="K47" s="3152" t="s">
        <v>2347</v>
      </c>
      <c r="L47" s="3156">
        <f ca="1">INDIRECT("'数据-取费表'!d"&amp;$G$1)</f>
        <v>40</v>
      </c>
      <c r="M47" s="1603" t="str">
        <f>IF(ISNUMBER(FIND("住宅",C1)),"住宅","非住宅")</f>
        <v>非住宅</v>
      </c>
      <c r="O47" s="2393" t="s">
        <v>2373</v>
      </c>
      <c r="P47" s="2394" t="s">
        <v>2374</v>
      </c>
      <c r="Q47" s="2395" t="s">
        <v>2375</v>
      </c>
      <c r="R47" s="2394" t="s">
        <v>2376</v>
      </c>
    </row>
    <row r="48" spans="1:18" s="2057" customFormat="1" ht="18" customHeight="1" thickBot="1">
      <c r="A48" s="2640" t="s">
        <v>1871</v>
      </c>
      <c r="B48" s="2641" t="s">
        <v>2536</v>
      </c>
      <c r="C48" s="2372">
        <f ca="1">ROUND(F48*F50*F49*(1-F51)/10000,0)</f>
        <v>0</v>
      </c>
      <c r="D48" s="2373" t="s">
        <v>636</v>
      </c>
      <c r="E48" s="2374" t="s">
        <v>2296</v>
      </c>
      <c r="F48" s="2375"/>
      <c r="G48" s="2088"/>
      <c r="I48" s="3121" t="s">
        <v>2343</v>
      </c>
      <c r="J48" s="2380" t="s">
        <v>2348</v>
      </c>
      <c r="K48" s="3153" t="s">
        <v>2349</v>
      </c>
      <c r="L48" s="1906">
        <f ca="1">INDIRECT("'数据-取费表'!f"&amp;$G$1)</f>
        <v>38.65</v>
      </c>
      <c r="O48" s="2396" t="s">
        <v>2377</v>
      </c>
      <c r="P48" s="2397" t="s">
        <v>2403</v>
      </c>
      <c r="Q48" s="2398">
        <f ca="1">C40+J29</f>
        <v>0</v>
      </c>
      <c r="R48" s="2397" t="s">
        <v>2378</v>
      </c>
    </row>
    <row r="49" spans="1:18" s="2057" customFormat="1" ht="18" customHeight="1" thickBot="1">
      <c r="A49" s="785"/>
      <c r="B49" s="786"/>
      <c r="C49" s="787"/>
      <c r="D49" s="788"/>
      <c r="E49" s="783" t="s">
        <v>638</v>
      </c>
      <c r="F49" s="784">
        <f ca="1">F7</f>
        <v>0</v>
      </c>
      <c r="G49" s="2088"/>
      <c r="H49" s="2091"/>
      <c r="I49" s="3121" t="s">
        <v>2344</v>
      </c>
      <c r="J49" s="2381">
        <v>2020</v>
      </c>
      <c r="K49" s="3154" t="s">
        <v>2350</v>
      </c>
      <c r="L49" s="2382"/>
      <c r="O49" s="2396" t="s">
        <v>2379</v>
      </c>
      <c r="P49" s="2397" t="s">
        <v>2404</v>
      </c>
      <c r="Q49" s="2398">
        <f ca="1">J60</f>
        <v>0</v>
      </c>
      <c r="R49" s="2397" t="s">
        <v>2380</v>
      </c>
    </row>
    <row r="50" spans="1:18" s="2057" customFormat="1" ht="18" customHeight="1" thickBot="1">
      <c r="A50" s="785"/>
      <c r="B50" s="786"/>
      <c r="C50" s="787"/>
      <c r="D50" s="788"/>
      <c r="E50" s="783" t="s">
        <v>639</v>
      </c>
      <c r="F50" s="784">
        <f ca="1">F8</f>
        <v>365</v>
      </c>
      <c r="G50" s="2093"/>
      <c r="H50" s="2091"/>
      <c r="I50" s="3121" t="s">
        <v>2345</v>
      </c>
      <c r="J50" s="3149">
        <f>SUMPRODUCT((I63:I65=J47)*(J62:L62=J48)*(J63:L65))</f>
        <v>60</v>
      </c>
      <c r="K50" s="3154" t="s">
        <v>2351</v>
      </c>
      <c r="L50" s="2382"/>
      <c r="O50" s="2399" t="s">
        <v>2381</v>
      </c>
      <c r="P50" s="2397" t="s">
        <v>2405</v>
      </c>
      <c r="Q50" s="2398">
        <f ca="1">C29</f>
        <v>0</v>
      </c>
      <c r="R50" s="2397" t="s">
        <v>2378</v>
      </c>
    </row>
    <row r="51" spans="1:18" s="2057" customFormat="1" ht="18" customHeight="1" thickBot="1">
      <c r="A51" s="785"/>
      <c r="B51" s="786"/>
      <c r="C51" s="787"/>
      <c r="D51" s="788"/>
      <c r="E51" s="783" t="s">
        <v>640</v>
      </c>
      <c r="F51" s="2369"/>
      <c r="H51" s="2091"/>
      <c r="I51" s="3146" t="s">
        <v>2346</v>
      </c>
      <c r="J51" s="3150">
        <f>IF(J49="",J50,J49+J50-YEAR('数据-取费表'!B2))</f>
        <v>62</v>
      </c>
      <c r="K51" s="3121" t="s">
        <v>2352</v>
      </c>
      <c r="L51" s="3157">
        <f ca="1">ROUND(-PV(INDIRECT("'数据-取费表'!h"&amp;$G$1),L48,(C39-C13*J36),0),0)</f>
        <v>0</v>
      </c>
      <c r="O51" s="2399" t="s">
        <v>2382</v>
      </c>
      <c r="P51" s="2397" t="s">
        <v>2383</v>
      </c>
      <c r="Q51" s="2400">
        <f ca="1">J58</f>
        <v>0.4</v>
      </c>
      <c r="R51" s="2401"/>
    </row>
    <row r="52" spans="1:18" s="2057" customFormat="1" ht="18" customHeight="1" thickBot="1">
      <c r="A52" s="780" t="s">
        <v>2534</v>
      </c>
      <c r="B52" s="2492" t="s">
        <v>2457</v>
      </c>
      <c r="C52" s="798">
        <f ca="1">ROUND(IF(F52="押一",C48/12*F11,IF(F52="押二",C48/12*2*F11,IF(F52="押三",C48/12*3*F11,C53*F11))),0)</f>
        <v>0</v>
      </c>
      <c r="D52" s="2499" t="s">
        <v>2963</v>
      </c>
      <c r="E52" s="2496" t="s">
        <v>2462</v>
      </c>
      <c r="F52" s="2619"/>
      <c r="I52" s="3147" t="s">
        <v>2419</v>
      </c>
      <c r="J52" s="2383">
        <v>0.09</v>
      </c>
      <c r="K52" s="3147" t="s">
        <v>2418</v>
      </c>
      <c r="L52" s="2383"/>
      <c r="O52" s="2399" t="s">
        <v>2384</v>
      </c>
      <c r="P52" s="2397" t="s">
        <v>2385</v>
      </c>
      <c r="Q52" s="2400">
        <f>J52</f>
        <v>0.09</v>
      </c>
      <c r="R52" s="2401"/>
    </row>
    <row r="53" spans="1:18" s="2057" customFormat="1" ht="39.75" customHeight="1" thickBot="1">
      <c r="A53" s="785"/>
      <c r="B53" s="2493" t="s">
        <v>2571</v>
      </c>
      <c r="C53" s="2497"/>
      <c r="D53" s="2499"/>
      <c r="E53" s="2496"/>
      <c r="F53" s="799"/>
      <c r="I53" s="3148" t="s">
        <v>2967</v>
      </c>
      <c r="J53" s="3151">
        <f ca="1">IF(M47="住宅",IF(D1="——",MAX(J51,L48),MAX(J51,L48-'数据-取费表'!B20)),IF(D1="——",MIN(J51,L48),MIN(J51,L48-'数据-取费表'!B20)))</f>
        <v>36.65</v>
      </c>
      <c r="K53" s="3587" t="s">
        <v>2954</v>
      </c>
      <c r="L53" s="3588"/>
      <c r="O53" s="2399" t="s">
        <v>2386</v>
      </c>
      <c r="P53" s="2397" t="s">
        <v>2387</v>
      </c>
      <c r="Q53" s="2398">
        <f ca="1">J53</f>
        <v>36.65</v>
      </c>
      <c r="R53" s="2397" t="s">
        <v>2388</v>
      </c>
    </row>
    <row r="54" spans="1:18" s="2057" customFormat="1" ht="18" customHeight="1" thickBot="1">
      <c r="A54" s="2535" t="s">
        <v>2465</v>
      </c>
      <c r="B54" s="2536" t="s">
        <v>2458</v>
      </c>
      <c r="C54" s="2537"/>
      <c r="D54" s="2499"/>
      <c r="E54" s="2496"/>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96" t="s">
        <v>2389</v>
      </c>
      <c r="P54" s="2397" t="s">
        <v>2406</v>
      </c>
      <c r="Q54" s="2398">
        <f ca="1">Q48+Q49</f>
        <v>0</v>
      </c>
      <c r="R54" s="2401" t="s">
        <v>2390</v>
      </c>
    </row>
    <row r="55" spans="1:18" s="2057" customFormat="1" ht="18" customHeight="1" thickTop="1" thickBot="1">
      <c r="A55" s="796">
        <v>2</v>
      </c>
      <c r="B55" s="797" t="s">
        <v>644</v>
      </c>
      <c r="C55" s="798">
        <f ca="1">C13</f>
        <v>0</v>
      </c>
      <c r="D55" s="794"/>
      <c r="E55" s="794"/>
      <c r="F55" s="799"/>
      <c r="I55" s="3160" t="s">
        <v>2353</v>
      </c>
      <c r="J55" s="3096">
        <f ca="1">ROUND(IF(J47="钢混",J57/J50,1-(1-2%)*(J50-J57)/J50),3)</f>
        <v>0.38900000000000001</v>
      </c>
      <c r="K55" s="3161" t="s">
        <v>2354</v>
      </c>
      <c r="L55" s="2384"/>
      <c r="O55" s="2402" t="s">
        <v>2409</v>
      </c>
      <c r="P55" s="1591"/>
      <c r="Q55" s="1603"/>
      <c r="R55" s="1591"/>
    </row>
    <row r="56" spans="1:18" s="2057" customFormat="1" ht="42.75" customHeight="1" thickBot="1">
      <c r="A56" s="1649"/>
      <c r="B56" s="2229" t="s">
        <v>2300</v>
      </c>
      <c r="C56" s="53">
        <f ca="1">C29</f>
        <v>0</v>
      </c>
      <c r="D56" s="3212"/>
      <c r="E56" s="783"/>
      <c r="F56" s="808"/>
      <c r="I56" s="3162" t="s">
        <v>2355</v>
      </c>
      <c r="J56" s="3172"/>
      <c r="K56" s="3121" t="s">
        <v>2360</v>
      </c>
      <c r="L56" s="1906" t="str">
        <f ca="1">IF(L48&lt;J51,"——",L48-J51)</f>
        <v>——</v>
      </c>
      <c r="O56" s="2393" t="s">
        <v>2373</v>
      </c>
      <c r="P56" s="2394" t="s">
        <v>2374</v>
      </c>
      <c r="Q56" s="2395" t="s">
        <v>2375</v>
      </c>
      <c r="R56" s="2394" t="s">
        <v>2376</v>
      </c>
    </row>
    <row r="57" spans="1:18" s="2057" customFormat="1" ht="28.5" customHeight="1" thickBot="1">
      <c r="A57" s="796" t="s">
        <v>7</v>
      </c>
      <c r="B57" s="797" t="s">
        <v>651</v>
      </c>
      <c r="C57" s="798">
        <f ca="1">ROUND(C58+C63+C64+C65,0)</f>
        <v>0</v>
      </c>
      <c r="D57" s="26" t="s">
        <v>652</v>
      </c>
      <c r="E57" s="3214"/>
      <c r="F57" s="56"/>
      <c r="I57" s="3163" t="s">
        <v>2356</v>
      </c>
      <c r="J57" s="3164">
        <f ca="1">IF(OR(M47="住宅",J51&lt;L48,J56="是"),"——",J51-L48)</f>
        <v>23.35</v>
      </c>
      <c r="K57" s="3121" t="s">
        <v>2361</v>
      </c>
      <c r="L57" s="1906" t="str">
        <f ca="1">IF(L48&lt;J51,"——",IF(L55="比较法",L49,IF(L55="基准地价",L50,L51)))</f>
        <v>——</v>
      </c>
      <c r="O57" s="2396" t="s">
        <v>2377</v>
      </c>
      <c r="P57" s="2397" t="s">
        <v>2403</v>
      </c>
      <c r="Q57" s="2398">
        <f ca="1">C40+J29</f>
        <v>0</v>
      </c>
      <c r="R57" s="2397" t="s">
        <v>2378</v>
      </c>
    </row>
    <row r="58" spans="1:18" s="2057" customFormat="1" ht="28.5" customHeight="1" thickBot="1">
      <c r="A58" s="1648" t="s">
        <v>1825</v>
      </c>
      <c r="B58" s="783" t="s">
        <v>656</v>
      </c>
      <c r="C58" s="53">
        <f ca="1">ROUND(IF(项目基本情况!B11="自然人",C47*F58,C59+C60+C61),1)</f>
        <v>0</v>
      </c>
      <c r="D58" s="3211" t="s">
        <v>657</v>
      </c>
      <c r="E58" s="3212" t="s">
        <v>690</v>
      </c>
      <c r="F58" s="809" t="str">
        <f ca="1">IF(项目基本情况!B11="企业","",IF(INDIRECT("'数据-取费表'!c"&amp;$G$1)="住宅",5%,IF(F48*F49*F50/12/(1+'数据-取费表'!C42)&gt;20000,12%,7%)))</f>
        <v/>
      </c>
      <c r="I58" s="3163" t="s">
        <v>2357</v>
      </c>
      <c r="J58" s="3097">
        <f ca="1">IF(J55&lt;0.4,0.4,J55)</f>
        <v>0.4</v>
      </c>
      <c r="K58" s="3121" t="s">
        <v>2362</v>
      </c>
      <c r="L58" s="1906" t="e">
        <f ca="1">ROUND(POWER(1+L52,L47-L48)*(POWER(1+L52,L48)-1)/(POWER(1+L52,L47)-1),4)</f>
        <v>#DIV/0!</v>
      </c>
      <c r="O58" s="2396" t="s">
        <v>2379</v>
      </c>
      <c r="P58" s="2397" t="s">
        <v>2410</v>
      </c>
      <c r="Q58" s="2398">
        <f ca="1">L60</f>
        <v>0</v>
      </c>
      <c r="R58" s="2401" t="s">
        <v>2412</v>
      </c>
    </row>
    <row r="59" spans="1:18" s="2057" customFormat="1" ht="28.5" customHeight="1" thickBot="1">
      <c r="A59" s="1647" t="s">
        <v>1832</v>
      </c>
      <c r="B59" s="783" t="s">
        <v>660</v>
      </c>
      <c r="C59" s="53">
        <f ca="1">ROUND(C47*F59/1.05,1)</f>
        <v>0</v>
      </c>
      <c r="D59" s="3212" t="s">
        <v>661</v>
      </c>
      <c r="E59" s="783" t="s">
        <v>649</v>
      </c>
      <c r="F59" s="808">
        <f t="shared" ref="F59:F65" si="0">F32</f>
        <v>5.5000000000000007E-2</v>
      </c>
      <c r="I59" s="3163" t="s">
        <v>2358</v>
      </c>
      <c r="J59" s="3164">
        <f ca="1">IF(OR(M47="住宅",J51&lt;L48,J56="是"),"——",ROUND(C29*J58,0))</f>
        <v>0</v>
      </c>
      <c r="K59" s="3121"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99" t="s">
        <v>2381</v>
      </c>
      <c r="P59" s="2397" t="s">
        <v>2411</v>
      </c>
      <c r="Q59" s="2398">
        <f>IF(L55="比较法",L49,IF(L55="基准地价",L50,0))</f>
        <v>0</v>
      </c>
      <c r="R59" s="2397" t="s">
        <v>2378</v>
      </c>
    </row>
    <row r="60" spans="1:18" s="2057" customFormat="1" ht="18" customHeight="1" thickBot="1">
      <c r="A60" s="1647" t="s">
        <v>1833</v>
      </c>
      <c r="B60" s="783" t="s">
        <v>664</v>
      </c>
      <c r="C60" s="53">
        <f ca="1">IF(D60="按租金收入计税",ROUND(C47*F60,1),IF(D60="按房产原值计税",ROUND(C56*F60*0.7,1),INDIRECT("'数据-取费表'!Aj"&amp;$G$1)))</f>
        <v>0</v>
      </c>
      <c r="D60" s="3212" t="str">
        <f>D33</f>
        <v>按租金收入计税</v>
      </c>
      <c r="E60" s="783" t="s">
        <v>649</v>
      </c>
      <c r="F60" s="808">
        <f t="shared" si="0"/>
        <v>0.12</v>
      </c>
      <c r="I60" s="3165" t="s">
        <v>2359</v>
      </c>
      <c r="J60" s="3166">
        <f ca="1">IF(OR(M47="住宅",J51&lt;L48,J56="是"),"0",ROUND(J59/(1+J52)^J53,0))</f>
        <v>0</v>
      </c>
      <c r="K60" s="3167" t="s">
        <v>2364</v>
      </c>
      <c r="L60" s="3166">
        <f ca="1">IF(OR(M47="住宅",L48&lt;J51),0,ROUND(L57*(L58/L59-1),0))</f>
        <v>0</v>
      </c>
      <c r="O60" s="2399" t="s">
        <v>2382</v>
      </c>
      <c r="P60" s="2397" t="s">
        <v>2391</v>
      </c>
      <c r="Q60" s="2400">
        <f>L52</f>
        <v>0</v>
      </c>
      <c r="R60" s="2401"/>
    </row>
    <row r="61" spans="1:18" s="2057" customFormat="1" ht="18" customHeight="1" thickBot="1">
      <c r="A61" s="1650" t="s">
        <v>1834</v>
      </c>
      <c r="B61" s="340" t="s">
        <v>668</v>
      </c>
      <c r="C61" s="54">
        <f ca="1">ROUND(F61*F62/10000,1)</f>
        <v>0</v>
      </c>
      <c r="D61" s="813" t="s">
        <v>669</v>
      </c>
      <c r="E61" s="783" t="s">
        <v>670</v>
      </c>
      <c r="F61" s="639">
        <f t="shared" si="0"/>
        <v>1.5</v>
      </c>
      <c r="K61" s="2084"/>
      <c r="O61" s="2399" t="s">
        <v>2384</v>
      </c>
      <c r="P61" s="2397" t="s">
        <v>2392</v>
      </c>
      <c r="Q61" s="2398" t="e">
        <f ca="1">L58</f>
        <v>#DIV/0!</v>
      </c>
      <c r="R61" s="2401" t="s">
        <v>2393</v>
      </c>
    </row>
    <row r="62" spans="1:18" s="2057" customFormat="1" ht="15.75" thickBot="1">
      <c r="A62" s="814"/>
      <c r="B62" s="792"/>
      <c r="C62" s="69"/>
      <c r="D62" s="815"/>
      <c r="E62" s="783" t="s">
        <v>674</v>
      </c>
      <c r="F62" s="784">
        <f t="shared" ca="1" si="0"/>
        <v>0</v>
      </c>
      <c r="I62" s="3168" t="s">
        <v>2365</v>
      </c>
      <c r="J62" s="3169" t="s">
        <v>2366</v>
      </c>
      <c r="K62" s="3169" t="s">
        <v>2367</v>
      </c>
      <c r="L62" s="3169" t="s">
        <v>2348</v>
      </c>
      <c r="M62" s="3170" t="s">
        <v>2930</v>
      </c>
      <c r="O62" s="2399" t="s">
        <v>2386</v>
      </c>
      <c r="P62" s="2397" t="str">
        <f>K59</f>
        <v>建设期及建筑物耐用年限下的土地年期修正系数Kn</v>
      </c>
      <c r="Q62" s="2398" t="e">
        <f ca="1">L59</f>
        <v>#DIV/0!</v>
      </c>
      <c r="R62" s="2401" t="s">
        <v>2395</v>
      </c>
    </row>
    <row r="63" spans="1:18" s="2057" customFormat="1" ht="15.75" thickBot="1">
      <c r="A63" s="1648" t="s">
        <v>1890</v>
      </c>
      <c r="B63" s="783" t="s">
        <v>676</v>
      </c>
      <c r="C63" s="53">
        <f ca="1">ROUND(C56*F63,1)</f>
        <v>0</v>
      </c>
      <c r="D63" s="3212" t="s">
        <v>691</v>
      </c>
      <c r="E63" s="783" t="s">
        <v>649</v>
      </c>
      <c r="F63" s="816">
        <f t="shared" ca="1" si="0"/>
        <v>0</v>
      </c>
      <c r="I63" s="3168" t="s">
        <v>2368</v>
      </c>
      <c r="J63" s="3169">
        <v>70</v>
      </c>
      <c r="K63" s="3169">
        <v>50</v>
      </c>
      <c r="L63" s="3169">
        <v>80</v>
      </c>
      <c r="M63" s="3171">
        <v>0.02</v>
      </c>
      <c r="O63" s="2396" t="s">
        <v>2389</v>
      </c>
      <c r="P63" s="2397" t="s">
        <v>2406</v>
      </c>
      <c r="Q63" s="2398">
        <f ca="1">Q57+Q58</f>
        <v>0</v>
      </c>
      <c r="R63" s="2401" t="s">
        <v>2390</v>
      </c>
    </row>
    <row r="64" spans="1:18" s="2057" customFormat="1" ht="16.5" thickBot="1">
      <c r="A64" s="1648" t="s">
        <v>1891</v>
      </c>
      <c r="B64" s="783" t="s">
        <v>679</v>
      </c>
      <c r="C64" s="53">
        <f ca="1">ROUND(C55*F64,1)</f>
        <v>0</v>
      </c>
      <c r="D64" s="3212" t="s">
        <v>680</v>
      </c>
      <c r="E64" s="783" t="s">
        <v>649</v>
      </c>
      <c r="F64" s="817">
        <f t="shared" ca="1" si="0"/>
        <v>0</v>
      </c>
      <c r="I64" s="3168" t="s">
        <v>2369</v>
      </c>
      <c r="J64" s="3169">
        <v>50</v>
      </c>
      <c r="K64" s="3169">
        <v>35</v>
      </c>
      <c r="L64" s="3169">
        <v>60</v>
      </c>
      <c r="M64" s="845">
        <v>0</v>
      </c>
      <c r="O64" s="2402" t="s">
        <v>2413</v>
      </c>
      <c r="P64" s="1591"/>
      <c r="Q64" s="1603"/>
      <c r="R64" s="1591"/>
    </row>
    <row r="65" spans="1:18" s="2057" customFormat="1" ht="15.75" thickBot="1">
      <c r="A65" s="1648" t="s">
        <v>1892</v>
      </c>
      <c r="B65" s="783" t="s">
        <v>666</v>
      </c>
      <c r="C65" s="53">
        <f ca="1">ROUND(C47*F65,1)</f>
        <v>0</v>
      </c>
      <c r="D65" s="3212" t="s">
        <v>683</v>
      </c>
      <c r="E65" s="783" t="s">
        <v>649</v>
      </c>
      <c r="F65" s="793">
        <f t="shared" ca="1" si="0"/>
        <v>1.4999999999999999E-2</v>
      </c>
      <c r="I65" s="3168" t="s">
        <v>2370</v>
      </c>
      <c r="J65" s="3169">
        <v>40</v>
      </c>
      <c r="K65" s="3169">
        <v>30</v>
      </c>
      <c r="L65" s="3169">
        <v>50</v>
      </c>
      <c r="M65" s="3171">
        <v>0.02</v>
      </c>
      <c r="O65" s="2393" t="s">
        <v>2373</v>
      </c>
      <c r="P65" s="2394" t="s">
        <v>2374</v>
      </c>
      <c r="Q65" s="2395" t="s">
        <v>2375</v>
      </c>
      <c r="R65" s="2394" t="s">
        <v>2376</v>
      </c>
    </row>
    <row r="66" spans="1:18" s="2057" customFormat="1" ht="24.75" thickBot="1">
      <c r="A66" s="796" t="s">
        <v>1777</v>
      </c>
      <c r="B66" s="3008" t="s">
        <v>2819</v>
      </c>
      <c r="C66" s="798">
        <f ca="1">C47-C57</f>
        <v>0</v>
      </c>
      <c r="D66" s="3211" t="s">
        <v>700</v>
      </c>
      <c r="E66" s="3209"/>
      <c r="F66" s="819"/>
      <c r="K66" s="2084"/>
      <c r="O66" s="2396" t="s">
        <v>2377</v>
      </c>
      <c r="P66" s="2397" t="s">
        <v>2403</v>
      </c>
      <c r="Q66" s="2398">
        <f ca="1">C40+J29</f>
        <v>0</v>
      </c>
      <c r="R66" s="2397" t="s">
        <v>2378</v>
      </c>
    </row>
    <row r="67" spans="1:18" s="2057" customFormat="1" ht="20.25" thickBot="1">
      <c r="A67" s="780" t="s">
        <v>1781</v>
      </c>
      <c r="B67" s="2230" t="s">
        <v>2301</v>
      </c>
      <c r="C67" s="782">
        <f ca="1">ROUND(C66*(1-((1+F69)/(1+F67))^F68)/(F67-F69),0)</f>
        <v>0</v>
      </c>
      <c r="D67" s="813" t="s">
        <v>704</v>
      </c>
      <c r="E67" s="783" t="s">
        <v>705</v>
      </c>
      <c r="F67" s="793">
        <f ca="1">F40</f>
        <v>5.5E-2</v>
      </c>
      <c r="K67" s="2084"/>
      <c r="O67" s="2396" t="s">
        <v>2379</v>
      </c>
      <c r="P67" s="2397" t="s">
        <v>2410</v>
      </c>
      <c r="Q67" s="2398">
        <f ca="1">L60</f>
        <v>0</v>
      </c>
      <c r="R67" s="2401" t="s">
        <v>2412</v>
      </c>
    </row>
    <row r="68" spans="1:18" ht="21.75" thickBot="1">
      <c r="A68" s="785"/>
      <c r="B68" s="786"/>
      <c r="C68" s="787"/>
      <c r="D68" s="820" t="s">
        <v>1809</v>
      </c>
      <c r="E68" s="783" t="s">
        <v>708</v>
      </c>
      <c r="F68" s="821">
        <f ca="1">F41</f>
        <v>36.65</v>
      </c>
      <c r="O68" s="2399" t="s">
        <v>2381</v>
      </c>
      <c r="P68" s="2397" t="s">
        <v>2411</v>
      </c>
      <c r="Q68" s="2403">
        <f ca="1">L51</f>
        <v>0</v>
      </c>
      <c r="R68" s="2404" t="s">
        <v>2414</v>
      </c>
    </row>
    <row r="69" spans="1:18" ht="20.25" thickBot="1">
      <c r="A69" s="789"/>
      <c r="B69" s="790"/>
      <c r="C69" s="791"/>
      <c r="D69" s="815"/>
      <c r="E69" s="783" t="s">
        <v>710</v>
      </c>
      <c r="F69" s="2369"/>
      <c r="O69" s="2399" t="s">
        <v>2382</v>
      </c>
      <c r="P69" s="2405" t="s">
        <v>2396</v>
      </c>
      <c r="Q69" s="2398">
        <f ca="1">ROUND(Q70-Q71*Q72,0)</f>
        <v>0</v>
      </c>
      <c r="R69" s="2401"/>
    </row>
    <row r="70" spans="1:18" ht="15.75" thickBot="1">
      <c r="A70" s="822" t="s">
        <v>1788</v>
      </c>
      <c r="B70" s="823" t="s">
        <v>1811</v>
      </c>
      <c r="C70" s="824" t="e">
        <f ca="1">ROUND(C67*10000/F70,0)</f>
        <v>#DIV/0!</v>
      </c>
      <c r="D70" s="825" t="s">
        <v>1812</v>
      </c>
      <c r="E70" s="826" t="s">
        <v>1813</v>
      </c>
      <c r="F70" s="827">
        <f ca="1">F43</f>
        <v>0</v>
      </c>
      <c r="O70" s="2399" t="s">
        <v>2397</v>
      </c>
      <c r="P70" s="2405" t="s">
        <v>2398</v>
      </c>
      <c r="Q70" s="2398">
        <f ca="1">C39</f>
        <v>0</v>
      </c>
      <c r="R70" s="2397" t="s">
        <v>2378</v>
      </c>
    </row>
    <row r="71" spans="1:18" ht="15.75" thickBot="1">
      <c r="O71" s="2399" t="s">
        <v>2399</v>
      </c>
      <c r="P71" s="2405" t="s">
        <v>2400</v>
      </c>
      <c r="Q71" s="2398">
        <f ca="1">C13</f>
        <v>0</v>
      </c>
      <c r="R71" s="2397" t="s">
        <v>2378</v>
      </c>
    </row>
    <row r="72" spans="1:18" ht="15.75" thickBot="1">
      <c r="O72" s="2399" t="s">
        <v>2401</v>
      </c>
      <c r="P72" s="2405" t="s">
        <v>2402</v>
      </c>
      <c r="Q72" s="2400">
        <f ca="1">J36</f>
        <v>8.5000000000000006E-2</v>
      </c>
      <c r="R72" s="2401"/>
    </row>
    <row r="73" spans="1:18" ht="15.75" thickBot="1">
      <c r="O73" s="2399" t="s">
        <v>2384</v>
      </c>
      <c r="P73" s="2397" t="s">
        <v>2391</v>
      </c>
      <c r="Q73" s="2400">
        <f>L52</f>
        <v>0</v>
      </c>
      <c r="R73" s="2401"/>
    </row>
    <row r="74" spans="1:18" ht="20.25" thickBot="1">
      <c r="O74" s="2399" t="s">
        <v>2386</v>
      </c>
      <c r="P74" s="2397" t="s">
        <v>2392</v>
      </c>
      <c r="Q74" s="2398" t="e">
        <f ca="1">L58</f>
        <v>#DIV/0!</v>
      </c>
      <c r="R74" s="2401" t="s">
        <v>2393</v>
      </c>
    </row>
    <row r="75" spans="1:18" ht="15.75" thickBot="1">
      <c r="O75" s="2399" t="s">
        <v>2415</v>
      </c>
      <c r="P75" s="2397" t="str">
        <f>K59</f>
        <v>建设期及建筑物耐用年限下的土地年期修正系数Kn</v>
      </c>
      <c r="Q75" s="2398" t="e">
        <f ca="1">L59</f>
        <v>#DIV/0!</v>
      </c>
      <c r="R75" s="2401" t="s">
        <v>2395</v>
      </c>
    </row>
    <row r="76" spans="1:18" ht="15.75" thickBot="1">
      <c r="O76" s="2396" t="s">
        <v>2389</v>
      </c>
      <c r="P76" s="2397" t="s">
        <v>2406</v>
      </c>
      <c r="Q76" s="2398">
        <f ca="1">Q66+Q67</f>
        <v>0</v>
      </c>
      <c r="R76" s="2401" t="s">
        <v>2390</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11" priority="6">
      <formula>$L$48&gt;$J$51</formula>
    </cfRule>
  </conditionalFormatting>
  <conditionalFormatting sqref="I55">
    <cfRule type="expression" dxfId="10" priority="7">
      <formula>$J$51&gt;$L$48</formula>
    </cfRule>
  </conditionalFormatting>
  <conditionalFormatting sqref="I60">
    <cfRule type="expression" dxfId="9" priority="5">
      <formula>$J$51&gt;$L$48</formula>
    </cfRule>
  </conditionalFormatting>
  <conditionalFormatting sqref="K60">
    <cfRule type="expression" dxfId="8"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F35" sqref="F35"/>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1726</v>
      </c>
      <c r="B1" s="737"/>
      <c r="C1" s="772" t="s">
        <v>3072</v>
      </c>
      <c r="D1" s="3120" t="s">
        <v>3233</v>
      </c>
      <c r="E1" s="2385" t="s">
        <v>870</v>
      </c>
      <c r="F1" s="2386">
        <f ca="1">J53</f>
        <v>46.66</v>
      </c>
      <c r="G1" s="773">
        <f>MATCH(C1,'数据-取费表'!A6:A16,0)+5</f>
        <v>11</v>
      </c>
      <c r="H1" s="2048"/>
      <c r="I1" s="2049"/>
      <c r="J1" s="2049"/>
      <c r="K1" s="2050"/>
      <c r="L1" s="2049"/>
      <c r="M1" s="2049"/>
      <c r="N1" s="2051"/>
      <c r="O1" s="2051"/>
      <c r="P1" s="2051"/>
      <c r="Q1" s="2390"/>
      <c r="R1" s="2051"/>
      <c r="S1" s="2051"/>
      <c r="T1" s="2051"/>
      <c r="U1" s="2051"/>
      <c r="V1" s="2051"/>
      <c r="W1" s="2051"/>
      <c r="X1" s="2051"/>
      <c r="Y1" s="2051"/>
      <c r="Z1" s="2051"/>
      <c r="AA1" s="2051"/>
      <c r="AB1" s="2051"/>
      <c r="AC1" s="2051"/>
      <c r="AD1" s="2051"/>
      <c r="AE1" s="2051"/>
      <c r="AF1" s="2051"/>
      <c r="AG1" s="2051"/>
    </row>
    <row r="2" spans="1:33" ht="18" customHeight="1">
      <c r="A2" s="422" t="s">
        <v>467</v>
      </c>
      <c r="B2" s="774">
        <f ca="1">C40+J29+L46</f>
        <v>5923</v>
      </c>
      <c r="C2" s="2055"/>
      <c r="D2" s="2053"/>
      <c r="E2" s="2054"/>
      <c r="F2" s="2054"/>
      <c r="G2" s="1589"/>
      <c r="H2" s="2055"/>
      <c r="I2" s="2055"/>
      <c r="J2" s="2055"/>
      <c r="K2" s="2056"/>
      <c r="L2" s="2055"/>
      <c r="M2" s="2055"/>
    </row>
    <row r="3" spans="1:33" ht="18" customHeight="1" thickBot="1">
      <c r="A3" s="832" t="s">
        <v>519</v>
      </c>
      <c r="B3" s="833">
        <f ca="1">IF(ISERROR(B2*10000/F43),0,ROUND(B2*10000/F43,0))</f>
        <v>10083</v>
      </c>
      <c r="C3" s="2055"/>
      <c r="D3" s="2053"/>
      <c r="E3" s="2054"/>
      <c r="F3" s="2054"/>
      <c r="G3" s="1589"/>
      <c r="H3" s="775" t="s">
        <v>695</v>
      </c>
      <c r="I3" s="1362"/>
      <c r="J3" s="1362"/>
      <c r="K3" s="1590"/>
      <c r="L3" s="1362"/>
      <c r="M3" s="1362"/>
    </row>
    <row r="4" spans="1:33" ht="18" customHeight="1">
      <c r="A4" s="776" t="s">
        <v>630</v>
      </c>
      <c r="B4" s="777" t="s">
        <v>631</v>
      </c>
      <c r="C4" s="777" t="s">
        <v>632</v>
      </c>
      <c r="D4" s="777" t="s">
        <v>633</v>
      </c>
      <c r="E4" s="778" t="s">
        <v>634</v>
      </c>
      <c r="F4" s="779"/>
      <c r="G4" s="1591"/>
      <c r="H4" s="776" t="s">
        <v>630</v>
      </c>
      <c r="I4" s="777" t="s">
        <v>631</v>
      </c>
      <c r="J4" s="777" t="s">
        <v>632</v>
      </c>
      <c r="K4" s="777" t="s">
        <v>633</v>
      </c>
      <c r="L4" s="778" t="s">
        <v>634</v>
      </c>
      <c r="M4" s="779"/>
    </row>
    <row r="5" spans="1:33" ht="18" customHeight="1">
      <c r="A5" s="780">
        <v>1</v>
      </c>
      <c r="B5" s="781" t="s">
        <v>2456</v>
      </c>
      <c r="C5" s="55">
        <f ca="1">C6+C10+C12</f>
        <v>289</v>
      </c>
      <c r="D5" s="2494" t="s">
        <v>2459</v>
      </c>
      <c r="E5" s="2488"/>
      <c r="F5" s="2489"/>
      <c r="G5" s="1591"/>
      <c r="H5" s="780">
        <v>1</v>
      </c>
      <c r="I5" s="781" t="s">
        <v>2456</v>
      </c>
      <c r="J5" s="55">
        <f ca="1">J6+J10+J12</f>
        <v>0</v>
      </c>
      <c r="K5" s="2494" t="s">
        <v>2459</v>
      </c>
      <c r="L5" s="2488"/>
      <c r="M5" s="2489"/>
    </row>
    <row r="6" spans="1:33" ht="18" customHeight="1">
      <c r="A6" s="1828" t="s">
        <v>1825</v>
      </c>
      <c r="B6" s="3571" t="s">
        <v>2461</v>
      </c>
      <c r="C6" s="782">
        <f ca="1">ROUND(F6*F8*F7*(1-F9)/10000,0)</f>
        <v>289</v>
      </c>
      <c r="D6" s="2495" t="s">
        <v>2460</v>
      </c>
      <c r="E6" s="783" t="s">
        <v>637</v>
      </c>
      <c r="F6" s="784">
        <f ca="1">INDIRECT("'数据-取费表'!u"&amp;$G$1)</f>
        <v>1.5</v>
      </c>
      <c r="G6" s="1591"/>
      <c r="H6" s="2502" t="s">
        <v>1825</v>
      </c>
      <c r="I6" s="3571" t="s">
        <v>2461</v>
      </c>
      <c r="J6" s="782">
        <f ca="1">ROUND(M6*M8*M7*(1-M9)/10000,0)</f>
        <v>0</v>
      </c>
      <c r="K6" s="340" t="s">
        <v>636</v>
      </c>
      <c r="L6" s="783" t="s">
        <v>637</v>
      </c>
      <c r="M6" s="784">
        <f ca="1">INDIRECT("'数据-取费表'!z"&amp;$G$1)</f>
        <v>0</v>
      </c>
    </row>
    <row r="7" spans="1:33" ht="18" customHeight="1">
      <c r="A7" s="2498"/>
      <c r="B7" s="3572"/>
      <c r="C7" s="787"/>
      <c r="D7" s="788"/>
      <c r="E7" s="783" t="s">
        <v>638</v>
      </c>
      <c r="F7" s="784">
        <f ca="1">IF(INDIRECT("'数据-取费表'!ah"&amp;$G$1)="",INDIRECT("'数据-取费表'!k"&amp;$G$1),INDIRECT("'数据-取费表'!ah"&amp;$G$1))</f>
        <v>5874.31</v>
      </c>
      <c r="G7" s="1591"/>
      <c r="H7" s="2487"/>
      <c r="I7" s="3572"/>
      <c r="J7" s="787"/>
      <c r="K7" s="788"/>
      <c r="L7" s="783" t="s">
        <v>638</v>
      </c>
      <c r="M7" s="784">
        <f ca="1">F7</f>
        <v>5874.31</v>
      </c>
    </row>
    <row r="8" spans="1:33" ht="18" customHeight="1">
      <c r="A8" s="2491"/>
      <c r="B8" s="3573"/>
      <c r="C8" s="787"/>
      <c r="D8" s="788"/>
      <c r="E8" s="783" t="s">
        <v>639</v>
      </c>
      <c r="F8" s="784">
        <f ca="1">INDIRECT("'数据-取费表'!ai"&amp;$G$1)</f>
        <v>365</v>
      </c>
      <c r="G8" s="1591"/>
      <c r="H8" s="2487"/>
      <c r="I8" s="3573"/>
      <c r="J8" s="787"/>
      <c r="K8" s="788"/>
      <c r="L8" s="783" t="s">
        <v>639</v>
      </c>
      <c r="M8" s="784">
        <f ca="1">INDIRECT("'数据-取费表'!ai"&amp;$G$1)</f>
        <v>365</v>
      </c>
    </row>
    <row r="9" spans="1:33" ht="18" customHeight="1">
      <c r="A9" s="785"/>
      <c r="B9" s="3574"/>
      <c r="C9" s="787"/>
      <c r="D9" s="788"/>
      <c r="E9" s="783" t="s">
        <v>640</v>
      </c>
      <c r="F9" s="793">
        <f ca="1">INDIRECT("'数据-取费表'!w"&amp;$G$1)</f>
        <v>0.1</v>
      </c>
      <c r="G9" s="1591"/>
      <c r="H9" s="2503"/>
      <c r="I9" s="3573"/>
      <c r="J9" s="787"/>
      <c r="K9" s="788"/>
      <c r="L9" s="794" t="s">
        <v>640</v>
      </c>
      <c r="M9" s="795">
        <f ca="1">INDIRECT("'数据-取费表'!ab"&amp;$G$1)</f>
        <v>0</v>
      </c>
    </row>
    <row r="10" spans="1:33" ht="18" customHeight="1">
      <c r="A10" s="1828" t="s">
        <v>1826</v>
      </c>
      <c r="B10" s="2492" t="s">
        <v>2457</v>
      </c>
      <c r="C10" s="798">
        <f ca="1">ROUND(IF(F10="押一",C6/12*F11,IF(F10="押二",C6/12*2*F11,IF(F10="押三",C6/12*3*F11,C11*F11))),0)</f>
        <v>0</v>
      </c>
      <c r="D10" s="2499" t="s">
        <v>2962</v>
      </c>
      <c r="E10" s="2496" t="s">
        <v>2462</v>
      </c>
      <c r="F10" s="2619" t="s">
        <v>3234</v>
      </c>
      <c r="G10" s="1591"/>
      <c r="H10" s="2559" t="s">
        <v>1826</v>
      </c>
      <c r="I10" s="2564" t="s">
        <v>2457</v>
      </c>
      <c r="J10" s="782">
        <f ca="1">ROUND(IF(M10="押一",J6/12*M11,IF(M10="押二",J6/12*2*M11,IF(M10="押三",J6/12*3*M11,J11*M11))),0)</f>
        <v>0</v>
      </c>
      <c r="K10" s="2499" t="s">
        <v>2962</v>
      </c>
      <c r="L10" s="2496" t="s">
        <v>2462</v>
      </c>
      <c r="M10" s="2619"/>
    </row>
    <row r="11" spans="1:33" ht="18" customHeight="1">
      <c r="A11" s="789"/>
      <c r="B11" s="2493" t="s">
        <v>2571</v>
      </c>
      <c r="C11" s="2497"/>
      <c r="D11" s="788"/>
      <c r="E11" s="2496" t="s">
        <v>2454</v>
      </c>
      <c r="F11" s="795">
        <f ca="1">'数据-取费表'!B39</f>
        <v>1.4999999999999999E-2</v>
      </c>
      <c r="G11" s="1591"/>
      <c r="H11" s="2560"/>
      <c r="I11" s="2493" t="s">
        <v>2571</v>
      </c>
      <c r="J11" s="2497"/>
      <c r="K11" s="2561"/>
      <c r="L11" s="2496" t="s">
        <v>2454</v>
      </c>
      <c r="M11" s="2490">
        <f ca="1">'数据-取费表'!B39</f>
        <v>1.4999999999999999E-2</v>
      </c>
    </row>
    <row r="12" spans="1:33" ht="18" customHeight="1" thickBot="1">
      <c r="A12" s="2535" t="s">
        <v>2465</v>
      </c>
      <c r="B12" s="2536" t="s">
        <v>2458</v>
      </c>
      <c r="C12" s="2537"/>
      <c r="D12" s="2538"/>
      <c r="E12" s="2539"/>
      <c r="F12" s="2540"/>
      <c r="G12" s="1591"/>
      <c r="H12" s="2549" t="s">
        <v>2465</v>
      </c>
      <c r="I12" s="2562" t="s">
        <v>2458</v>
      </c>
      <c r="J12" s="2563"/>
      <c r="K12" s="2538"/>
      <c r="L12" s="2539"/>
      <c r="M12" s="2552"/>
    </row>
    <row r="13" spans="1:33" ht="18" customHeight="1" thickTop="1">
      <c r="A13" s="1827">
        <v>2</v>
      </c>
      <c r="B13" s="1825" t="s">
        <v>644</v>
      </c>
      <c r="C13" s="791">
        <f ca="1">ROUND(C29*F13,0)</f>
        <v>2081</v>
      </c>
      <c r="D13" s="1832" t="s">
        <v>2297</v>
      </c>
      <c r="E13" s="1832" t="s">
        <v>643</v>
      </c>
      <c r="F13" s="2534">
        <f ca="1">INDIRECT("'数据-取费表'!y"&amp;$G$1)</f>
        <v>1</v>
      </c>
      <c r="G13" s="1591"/>
      <c r="H13" s="1827">
        <v>2</v>
      </c>
      <c r="I13" s="1825" t="s">
        <v>644</v>
      </c>
      <c r="J13" s="1817">
        <f ca="1">ROUND(J14*J15,0)</f>
        <v>0</v>
      </c>
      <c r="K13" s="1819" t="s">
        <v>642</v>
      </c>
      <c r="L13" s="2550"/>
      <c r="M13" s="2551"/>
    </row>
    <row r="14" spans="1:33" ht="18" customHeight="1">
      <c r="A14" s="1647" t="s">
        <v>1832</v>
      </c>
      <c r="B14" s="783" t="s">
        <v>645</v>
      </c>
      <c r="C14" s="803">
        <f ca="1">INDIRECT("'数据-取费表'!m"&amp;$G$1)+INDIRECT("'数据-取费表'!t"&amp;$G$1)</f>
        <v>1525</v>
      </c>
      <c r="D14" s="3211" t="s">
        <v>646</v>
      </c>
      <c r="E14" s="3210"/>
      <c r="F14" s="804"/>
      <c r="G14" s="1591"/>
      <c r="H14" s="1648" t="s">
        <v>1825</v>
      </c>
      <c r="I14" s="2229" t="s">
        <v>2822</v>
      </c>
      <c r="J14" s="53">
        <f ca="1">C29</f>
        <v>2081</v>
      </c>
      <c r="K14" s="26"/>
      <c r="L14" s="800"/>
      <c r="M14" s="801"/>
    </row>
    <row r="15" spans="1:33" s="2062" customFormat="1" ht="18" customHeight="1" thickBot="1">
      <c r="A15" s="1647" t="s">
        <v>1833</v>
      </c>
      <c r="B15" s="783" t="s">
        <v>647</v>
      </c>
      <c r="C15" s="53">
        <f ca="1">ROUND(C14*F15,0)</f>
        <v>46</v>
      </c>
      <c r="D15" s="805" t="s">
        <v>648</v>
      </c>
      <c r="E15" s="805" t="s">
        <v>649</v>
      </c>
      <c r="F15" s="806">
        <f>'数据-取费表'!B33</f>
        <v>0.03</v>
      </c>
      <c r="G15" s="1592"/>
      <c r="H15" s="2549" t="s">
        <v>1890</v>
      </c>
      <c r="I15" s="2544" t="s">
        <v>643</v>
      </c>
      <c r="J15" s="2553">
        <f ca="1">INDIRECT("'数据-取费表'!ad"&amp;$G$1)</f>
        <v>0</v>
      </c>
      <c r="K15" s="2554"/>
      <c r="L15" s="2555"/>
      <c r="M15" s="2556"/>
      <c r="N15" s="2061"/>
      <c r="O15" s="2061"/>
      <c r="P15" s="2061"/>
      <c r="Q15" s="2391"/>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1834</v>
      </c>
      <c r="B16" s="783" t="s">
        <v>650</v>
      </c>
      <c r="C16" s="53">
        <f ca="1">ROUND(INDIRECT("'数据-取费表'!m"&amp;$G$1)*F16,0)</f>
        <v>0</v>
      </c>
      <c r="D16" s="783" t="s">
        <v>648</v>
      </c>
      <c r="E16" s="783" t="s">
        <v>649</v>
      </c>
      <c r="F16" s="808">
        <f ca="1">IF(INDIRECT("'数据-取费表'!c"&amp;$G$1)="住宅",'数据-取费表'!B34,0)</f>
        <v>0</v>
      </c>
      <c r="G16" s="1591"/>
      <c r="H16" s="1827" t="s">
        <v>7</v>
      </c>
      <c r="I16" s="1825" t="s">
        <v>651</v>
      </c>
      <c r="J16" s="791">
        <f ca="1">ROUND(J17+J22+J23+J24,0)</f>
        <v>206</v>
      </c>
      <c r="K16" s="1819" t="s">
        <v>652</v>
      </c>
      <c r="L16" s="3213"/>
      <c r="M16" s="2489"/>
    </row>
    <row r="17" spans="1:33" s="2062" customFormat="1" ht="18" customHeight="1">
      <c r="A17" s="1647" t="s">
        <v>1888</v>
      </c>
      <c r="B17" s="783" t="s">
        <v>653</v>
      </c>
      <c r="C17" s="53">
        <f ca="1">ROUND(F17*(F43+INDIRECT("'数据-取费表'!S"&amp;$G$1))/10000,0)</f>
        <v>127</v>
      </c>
      <c r="D17" s="783" t="s">
        <v>654</v>
      </c>
      <c r="E17" s="783" t="s">
        <v>655</v>
      </c>
      <c r="F17" s="56">
        <f>'数据-取费表'!B35</f>
        <v>200</v>
      </c>
      <c r="G17" s="1592"/>
      <c r="H17" s="1648" t="s">
        <v>1825</v>
      </c>
      <c r="I17" s="783" t="s">
        <v>656</v>
      </c>
      <c r="J17" s="53">
        <f ca="1">ROUND(IF(项目基本情况!B11="自然人",J5*M17,J18+J19+J20),0)</f>
        <v>175</v>
      </c>
      <c r="K17" s="3211" t="s">
        <v>657</v>
      </c>
      <c r="L17" s="3212" t="s">
        <v>658</v>
      </c>
      <c r="M17" s="809" t="str">
        <f ca="1">IF(项目基本情况!B11="企业","",IF(INDIRECT("'数据-取费表'!c"&amp;$G$1)="住宅",5%,IF(M6*M7*M8/12/(1+'数据-取费表'!C42)&gt;20000,12%,7%)))</f>
        <v/>
      </c>
      <c r="N17" s="2061"/>
      <c r="O17" s="2061"/>
      <c r="P17" s="2061"/>
      <c r="Q17" s="2391"/>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1889</v>
      </c>
      <c r="B18" s="783" t="s">
        <v>659</v>
      </c>
      <c r="C18" s="53">
        <f ca="1">ROUND(C14*F18,0)</f>
        <v>23</v>
      </c>
      <c r="D18" s="783" t="s">
        <v>648</v>
      </c>
      <c r="E18" s="783" t="s">
        <v>649</v>
      </c>
      <c r="F18" s="808">
        <f>'数据-取费表'!B36</f>
        <v>1.4999999999999999E-2</v>
      </c>
      <c r="G18" s="1592"/>
      <c r="H18" s="1647" t="s">
        <v>1832</v>
      </c>
      <c r="I18" s="783" t="s">
        <v>660</v>
      </c>
      <c r="J18" s="53">
        <f ca="1">ROUND(J5*M18/1.05,1)</f>
        <v>0</v>
      </c>
      <c r="K18" s="3212" t="s">
        <v>661</v>
      </c>
      <c r="L18" s="783" t="s">
        <v>649</v>
      </c>
      <c r="M18" s="808">
        <f>'数据-取费表'!B41</f>
        <v>5.5000000000000007E-2</v>
      </c>
      <c r="N18" s="2061"/>
      <c r="O18" s="2061"/>
      <c r="P18" s="2061"/>
      <c r="Q18" s="2391"/>
      <c r="R18" s="2061"/>
      <c r="S18" s="2061"/>
      <c r="T18" s="2061"/>
      <c r="U18" s="2061"/>
      <c r="V18" s="2061"/>
      <c r="W18" s="2061"/>
      <c r="X18" s="2061"/>
      <c r="Y18" s="2061"/>
      <c r="Z18" s="2061"/>
      <c r="AA18" s="2061"/>
      <c r="AB18" s="2061"/>
      <c r="AC18" s="2061"/>
      <c r="AD18" s="2061"/>
      <c r="AE18" s="2061"/>
      <c r="AF18" s="2061"/>
      <c r="AG18" s="2061"/>
    </row>
    <row r="19" spans="1:33" ht="18" customHeight="1">
      <c r="A19" s="1648" t="s">
        <v>1825</v>
      </c>
      <c r="B19" s="783" t="s">
        <v>662</v>
      </c>
      <c r="C19" s="53">
        <f ca="1">SUM(C14:C18)</f>
        <v>1721</v>
      </c>
      <c r="D19" s="260" t="s">
        <v>663</v>
      </c>
      <c r="E19" s="3214"/>
      <c r="F19" s="56"/>
      <c r="G19" s="1591"/>
      <c r="H19" s="1647" t="s">
        <v>1833</v>
      </c>
      <c r="I19" s="783" t="s">
        <v>664</v>
      </c>
      <c r="J19" s="53">
        <f ca="1">IF(K19="按租金收入计税",ROUND(J5*M19,1),ROUND(C29*F33*0.7,1))</f>
        <v>174.8</v>
      </c>
      <c r="K19" s="810" t="s">
        <v>665</v>
      </c>
      <c r="L19" s="783" t="s">
        <v>649</v>
      </c>
      <c r="M19" s="808">
        <f>IF(K19="按租金收入计税",'数据-取费表'!B51,'数据-取费表'!B50)</f>
        <v>1.2E-2</v>
      </c>
    </row>
    <row r="20" spans="1:33" s="2062" customFormat="1" ht="18" customHeight="1">
      <c r="A20" s="1648" t="s">
        <v>1890</v>
      </c>
      <c r="B20" s="783" t="s">
        <v>666</v>
      </c>
      <c r="C20" s="53">
        <f ca="1">ROUND(C19*F20,0)</f>
        <v>34</v>
      </c>
      <c r="D20" s="811" t="s">
        <v>667</v>
      </c>
      <c r="E20" s="783" t="s">
        <v>649</v>
      </c>
      <c r="F20" s="808">
        <f>'数据-取费表'!B37</f>
        <v>0.02</v>
      </c>
      <c r="G20" s="1592"/>
      <c r="H20" s="1650" t="s">
        <v>1881</v>
      </c>
      <c r="I20" s="340" t="s">
        <v>668</v>
      </c>
      <c r="J20" s="54">
        <f ca="1">ROUND(M20*M21/10000,0)</f>
        <v>0</v>
      </c>
      <c r="K20" s="813" t="s">
        <v>669</v>
      </c>
      <c r="L20" s="783" t="s">
        <v>670</v>
      </c>
      <c r="M20" s="639">
        <f>'数据-取费表'!B52</f>
        <v>1.5</v>
      </c>
      <c r="N20" s="2061"/>
      <c r="O20" s="2061"/>
      <c r="P20" s="2061"/>
      <c r="Q20" s="2391"/>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1891</v>
      </c>
      <c r="B21" s="783" t="s">
        <v>671</v>
      </c>
      <c r="C21" s="53" t="s">
        <v>1</v>
      </c>
      <c r="D21" s="811" t="s">
        <v>2298</v>
      </c>
      <c r="E21" s="783" t="s">
        <v>673</v>
      </c>
      <c r="F21" s="808">
        <f>'数据-取费表'!B38</f>
        <v>0.02</v>
      </c>
      <c r="G21" s="1592"/>
      <c r="H21" s="2504"/>
      <c r="I21" s="792"/>
      <c r="J21" s="69"/>
      <c r="K21" s="815"/>
      <c r="L21" s="783" t="s">
        <v>674</v>
      </c>
      <c r="M21" s="784">
        <f ca="1">INDIRECT("'数据-取费表'!r"&amp;$G$1)</f>
        <v>2398.3200000000002</v>
      </c>
      <c r="N21" s="2061"/>
      <c r="O21" s="2061"/>
      <c r="P21" s="2061"/>
      <c r="Q21" s="2391"/>
      <c r="R21" s="2061"/>
      <c r="S21" s="2061"/>
      <c r="T21" s="2061"/>
      <c r="U21" s="2061"/>
      <c r="V21" s="2061"/>
      <c r="W21" s="2061"/>
      <c r="X21" s="2061"/>
      <c r="Y21" s="2061"/>
      <c r="Z21" s="2061"/>
      <c r="AA21" s="2061"/>
      <c r="AB21" s="2061"/>
      <c r="AC21" s="2061"/>
      <c r="AD21" s="2061"/>
      <c r="AE21" s="2061"/>
      <c r="AF21" s="2061"/>
      <c r="AG21" s="2061"/>
    </row>
    <row r="22" spans="1:33" ht="18" customHeight="1">
      <c r="A22" s="1648" t="s">
        <v>1892</v>
      </c>
      <c r="B22" s="783" t="s">
        <v>675</v>
      </c>
      <c r="C22" s="53"/>
      <c r="D22" s="2570" t="str">
        <f>IF(F23&lt;=1,"单利计息。","复利计息。")&amp;"建造成本、管理费用、销售费用产生的利息。"</f>
        <v>复利计息。建造成本、管理费用、销售费用产生的利息。</v>
      </c>
      <c r="E22" s="3214"/>
      <c r="F22" s="56"/>
      <c r="G22" s="1591"/>
      <c r="H22" s="1648" t="s">
        <v>1890</v>
      </c>
      <c r="I22" s="783" t="s">
        <v>676</v>
      </c>
      <c r="J22" s="53">
        <f ca="1">ROUND(J14*M22,0)</f>
        <v>31</v>
      </c>
      <c r="K22" s="3212" t="s">
        <v>677</v>
      </c>
      <c r="L22" s="783" t="s">
        <v>649</v>
      </c>
      <c r="M22" s="816">
        <f ca="1">INDIRECT("'数据-取费表'!Ak"&amp;$G$1)</f>
        <v>1.4999999999999999E-2</v>
      </c>
    </row>
    <row r="23" spans="1:33" s="2062" customFormat="1" ht="18" customHeight="1">
      <c r="A23" s="1647" t="s">
        <v>1832</v>
      </c>
      <c r="B23" s="783" t="s">
        <v>2435</v>
      </c>
      <c r="C23" s="53">
        <f ca="1">ROUND(IF('数据-取费表'!B22&lt;=1,(C19+C20)*F24*F23/2,(C19+C20)*(POWER((1+F24),F23/2)-1)),0)</f>
        <v>83</v>
      </c>
      <c r="D23" s="2569" t="str">
        <f>IF(F23&lt;=1,"(建造成本+管理费用)×利率×(建设周期÷2)","(建造成本+管理费用)×((1+利率)^(建设周期÷2)-1)")</f>
        <v>(建造成本+管理费用)×((1+利率)^(建设周期÷2)-1)</v>
      </c>
      <c r="E23" s="783" t="s">
        <v>678</v>
      </c>
      <c r="F23" s="639">
        <f>'数据-取费表'!B20</f>
        <v>2</v>
      </c>
      <c r="G23" s="1592"/>
      <c r="H23" s="1648" t="s">
        <v>1891</v>
      </c>
      <c r="I23" s="783" t="s">
        <v>679</v>
      </c>
      <c r="J23" s="53">
        <f ca="1">ROUND(J13*M23,0)</f>
        <v>0</v>
      </c>
      <c r="K23" s="3212" t="s">
        <v>680</v>
      </c>
      <c r="L23" s="783" t="s">
        <v>649</v>
      </c>
      <c r="M23" s="817">
        <f ca="1">INDIRECT("'数据-取费表'!Al"&amp;$G$1)</f>
        <v>1.5E-3</v>
      </c>
      <c r="N23" s="2061"/>
      <c r="O23" s="2061"/>
      <c r="P23" s="2061"/>
      <c r="Q23" s="2391"/>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1833</v>
      </c>
      <c r="B24" s="783" t="s">
        <v>681</v>
      </c>
      <c r="C24" s="53">
        <f ca="1">ROUND(IF('数据-取费表'!B22&lt;=1,F21*F24*F23/2,F21*(POWER((1+F24),F23/2)-1)),4)</f>
        <v>1E-3</v>
      </c>
      <c r="D24" s="2569" t="str">
        <f>IF(F23&lt;=1,"销售费用×利率×(建设周期÷2)","销售费用×((1+利率)^(建设周期÷2)-1)")</f>
        <v>销售费用×((1+利率)^(建设周期÷2)-1)</v>
      </c>
      <c r="E24" s="783" t="s">
        <v>682</v>
      </c>
      <c r="F24" s="818">
        <f ca="1">'数据-取费表'!B40</f>
        <v>4.7500000000000001E-2</v>
      </c>
      <c r="G24" s="1592"/>
      <c r="H24" s="2549" t="s">
        <v>1892</v>
      </c>
      <c r="I24" s="2544" t="s">
        <v>666</v>
      </c>
      <c r="J24" s="2542">
        <f ca="1">ROUND(J5*M24,0)</f>
        <v>0</v>
      </c>
      <c r="K24" s="2543" t="s">
        <v>683</v>
      </c>
      <c r="L24" s="2544" t="s">
        <v>649</v>
      </c>
      <c r="M24" s="2540">
        <f ca="1">INDIRECT("'数据-取费表'!Am"&amp;$G$1)</f>
        <v>1.4999999999999999E-2</v>
      </c>
      <c r="N24" s="2061"/>
      <c r="O24" s="2061"/>
      <c r="P24" s="2061"/>
      <c r="Q24" s="2391"/>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1841</v>
      </c>
      <c r="B25" s="783" t="s">
        <v>684</v>
      </c>
      <c r="C25" s="53"/>
      <c r="D25" s="260" t="s">
        <v>685</v>
      </c>
      <c r="E25" s="3214"/>
      <c r="F25" s="56"/>
      <c r="G25" s="1591"/>
      <c r="H25" s="1827" t="s">
        <v>1777</v>
      </c>
      <c r="I25" s="3007" t="s">
        <v>2819</v>
      </c>
      <c r="J25" s="791">
        <f ca="1">J5-J16</f>
        <v>-206</v>
      </c>
      <c r="K25" s="2546" t="s">
        <v>700</v>
      </c>
      <c r="L25" s="2547"/>
      <c r="M25" s="2548"/>
    </row>
    <row r="26" spans="1:33" ht="18" customHeight="1">
      <c r="A26" s="1647" t="s">
        <v>1832</v>
      </c>
      <c r="B26" s="783" t="s">
        <v>2436</v>
      </c>
      <c r="C26" s="53">
        <f ca="1">ROUND((C19+C20)*F26,0)</f>
        <v>88</v>
      </c>
      <c r="D26" s="811" t="s">
        <v>701</v>
      </c>
      <c r="E26" s="794" t="s">
        <v>702</v>
      </c>
      <c r="F26" s="793">
        <f ca="1">INDIRECT("'数据-取费表'!q"&amp;$G$1)</f>
        <v>0.05</v>
      </c>
      <c r="G26" s="1591"/>
      <c r="H26" s="2500" t="s">
        <v>1781</v>
      </c>
      <c r="I26" s="2230" t="s">
        <v>2824</v>
      </c>
      <c r="J26" s="782">
        <f ca="1">IF(J5&lt;&gt;0,ROUND(J25*(1-((1+M28)/(1+M26))^M27)/(M26-M28),0),0)</f>
        <v>0</v>
      </c>
      <c r="K26" s="813" t="s">
        <v>704</v>
      </c>
      <c r="L26" s="783" t="s">
        <v>2417</v>
      </c>
      <c r="M26" s="793">
        <f ca="1">INDIRECT("'数据-取费表'!I"&amp;$G$1)</f>
        <v>0.05</v>
      </c>
    </row>
    <row r="27" spans="1:33" ht="18" customHeight="1">
      <c r="A27" s="1647" t="s">
        <v>1833</v>
      </c>
      <c r="B27" s="783" t="s">
        <v>686</v>
      </c>
      <c r="C27" s="53">
        <f ca="1">ROUND(F21*F26,4)</f>
        <v>1E-3</v>
      </c>
      <c r="D27" s="811" t="s">
        <v>706</v>
      </c>
      <c r="E27" s="805"/>
      <c r="F27" s="806"/>
      <c r="G27" s="1591"/>
      <c r="H27" s="2501"/>
      <c r="I27" s="786"/>
      <c r="J27" s="787"/>
      <c r="K27" s="820" t="s">
        <v>707</v>
      </c>
      <c r="L27" s="783" t="s">
        <v>708</v>
      </c>
      <c r="M27" s="821">
        <f ca="1">INDIRECT("'数据-取费表'!ag"&amp;$G$1)</f>
        <v>0</v>
      </c>
    </row>
    <row r="28" spans="1:33" s="2062" customFormat="1" ht="18" customHeight="1">
      <c r="A28" s="1649" t="s">
        <v>1842</v>
      </c>
      <c r="B28" s="783" t="s">
        <v>687</v>
      </c>
      <c r="C28" s="53">
        <f>ROUND(F28/(1+'数据-取费表'!C42),4)</f>
        <v>5.2400000000000002E-2</v>
      </c>
      <c r="D28" s="811" t="s">
        <v>2299</v>
      </c>
      <c r="E28" s="783" t="s">
        <v>649</v>
      </c>
      <c r="F28" s="808">
        <f>'数据-取费表'!B41</f>
        <v>5.5000000000000007E-2</v>
      </c>
      <c r="G28" s="1592"/>
      <c r="H28" s="1827"/>
      <c r="I28" s="790"/>
      <c r="J28" s="791"/>
      <c r="K28" s="815"/>
      <c r="L28" s="783" t="s">
        <v>710</v>
      </c>
      <c r="M28" s="793">
        <f ca="1">INDIRECT("'数据-取费表'!aa"&amp;$G$1)</f>
        <v>0</v>
      </c>
      <c r="N28" s="2061"/>
      <c r="O28" s="2061"/>
      <c r="P28" s="2061"/>
      <c r="Q28" s="2391"/>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41" t="s">
        <v>1893</v>
      </c>
      <c r="B29" s="2539" t="s">
        <v>2300</v>
      </c>
      <c r="C29" s="2542">
        <f ca="1">ROUND((C19+C20+C23+C26)/(1-F21-C24-C27-C28),0)</f>
        <v>2081</v>
      </c>
      <c r="D29" s="2543"/>
      <c r="E29" s="2544"/>
      <c r="F29" s="2545"/>
      <c r="G29" s="1592"/>
      <c r="H29" s="822" t="s">
        <v>1788</v>
      </c>
      <c r="I29" s="823" t="s">
        <v>1789</v>
      </c>
      <c r="J29" s="824">
        <f ca="1">ROUND(J26/(1+F40)^F41,0)</f>
        <v>0</v>
      </c>
      <c r="K29" s="825" t="s">
        <v>1790</v>
      </c>
      <c r="L29" s="826"/>
      <c r="M29" s="827">
        <f ca="1">INDIRECT("'数据-取费表'!k"&amp;$G$1)</f>
        <v>5874.31</v>
      </c>
      <c r="N29" s="2061"/>
      <c r="O29" s="2061"/>
      <c r="P29" s="2061"/>
      <c r="Q29" s="2391"/>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7</v>
      </c>
      <c r="B30" s="1825" t="s">
        <v>1791</v>
      </c>
      <c r="C30" s="791">
        <f ca="1">ROUND(C31+C36+C37+C38,0)</f>
        <v>89</v>
      </c>
      <c r="D30" s="1819" t="s">
        <v>652</v>
      </c>
      <c r="E30" s="3213"/>
      <c r="F30" s="2489"/>
      <c r="G30" s="2060"/>
      <c r="H30" s="2063"/>
      <c r="I30" s="2064"/>
      <c r="J30" s="2065"/>
      <c r="K30" s="2066"/>
      <c r="L30" s="2067"/>
      <c r="M30" s="2068"/>
    </row>
    <row r="31" spans="1:33" ht="18" customHeight="1">
      <c r="A31" s="1648" t="s">
        <v>1825</v>
      </c>
      <c r="B31" s="783" t="s">
        <v>656</v>
      </c>
      <c r="C31" s="53">
        <f ca="1">ROUND(IF(项目基本情况!B11="自然人",C5*F31,C32+C33+C34),1)</f>
        <v>50.2</v>
      </c>
      <c r="D31" s="3211" t="s">
        <v>657</v>
      </c>
      <c r="E31" s="3212" t="s">
        <v>690</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7" t="s">
        <v>1832</v>
      </c>
      <c r="B32" s="783" t="s">
        <v>660</v>
      </c>
      <c r="C32" s="53">
        <f ca="1">ROUND(C5*F32/1.05,1)</f>
        <v>15.1</v>
      </c>
      <c r="D32" s="3212" t="s">
        <v>661</v>
      </c>
      <c r="E32" s="783" t="s">
        <v>649</v>
      </c>
      <c r="F32" s="808">
        <f>'数据-取费表'!B41</f>
        <v>5.5000000000000007E-2</v>
      </c>
      <c r="G32" s="2060"/>
      <c r="H32" s="2069"/>
      <c r="I32" s="2070"/>
      <c r="J32" s="2071"/>
      <c r="K32" s="2072"/>
      <c r="L32" s="2073"/>
      <c r="M32" s="2074"/>
    </row>
    <row r="33" spans="1:18" ht="18" customHeight="1">
      <c r="A33" s="1647" t="s">
        <v>1833</v>
      </c>
      <c r="B33" s="783" t="s">
        <v>664</v>
      </c>
      <c r="C33" s="53">
        <f ca="1">IF(D33="按租金收入计税",ROUND(C5*F33,1),IF(D33="按房产原值计税",ROUND(C29*F33*0.7,1),INDIRECT("'数据-取费表'!Aj"&amp;$G$1)))</f>
        <v>34.700000000000003</v>
      </c>
      <c r="D33" s="810" t="s">
        <v>3235</v>
      </c>
      <c r="E33" s="783" t="s">
        <v>649</v>
      </c>
      <c r="F33" s="808">
        <f>IF(D33="按租金收入计税",'数据-取费表'!B51,'数据-取费表'!B50)</f>
        <v>0.12</v>
      </c>
      <c r="G33" s="2060"/>
      <c r="H33" s="2075"/>
      <c r="I33" s="2075"/>
      <c r="J33" s="2075"/>
      <c r="K33" s="2076"/>
      <c r="L33" s="2075"/>
      <c r="M33" s="2075"/>
    </row>
    <row r="34" spans="1:18" ht="18" customHeight="1">
      <c r="A34" s="1650" t="s">
        <v>1834</v>
      </c>
      <c r="B34" s="340" t="s">
        <v>668</v>
      </c>
      <c r="C34" s="54">
        <f ca="1">ROUND(F34*F35/10000,1)</f>
        <v>0.4</v>
      </c>
      <c r="D34" s="813" t="s">
        <v>669</v>
      </c>
      <c r="E34" s="783" t="s">
        <v>670</v>
      </c>
      <c r="F34" s="639">
        <f>'数据-取费表'!B52</f>
        <v>1.5</v>
      </c>
      <c r="G34" s="2060"/>
      <c r="H34" s="2063"/>
      <c r="I34" s="834" t="s">
        <v>1814</v>
      </c>
      <c r="J34" s="835"/>
      <c r="K34" s="2078"/>
      <c r="L34" s="2077"/>
      <c r="M34" s="2077"/>
    </row>
    <row r="35" spans="1:18" ht="18" customHeight="1">
      <c r="A35" s="814"/>
      <c r="B35" s="792"/>
      <c r="C35" s="69"/>
      <c r="D35" s="815"/>
      <c r="E35" s="783" t="s">
        <v>674</v>
      </c>
      <c r="F35" s="784">
        <f ca="1">INDIRECT("'数据-取费表'!r"&amp;$G$1)</f>
        <v>2398.3200000000002</v>
      </c>
      <c r="G35" s="2060"/>
      <c r="H35" s="2063"/>
      <c r="I35" s="836" t="s">
        <v>1815</v>
      </c>
      <c r="J35" s="837">
        <f ca="1">ROUND(C13*J36,0)</f>
        <v>177</v>
      </c>
      <c r="K35" s="2076"/>
      <c r="L35" s="2075"/>
      <c r="M35" s="2075"/>
    </row>
    <row r="36" spans="1:18" ht="18" customHeight="1">
      <c r="A36" s="1648" t="s">
        <v>1890</v>
      </c>
      <c r="B36" s="783" t="s">
        <v>676</v>
      </c>
      <c r="C36" s="53">
        <f ca="1">ROUND(C29*F36,1)</f>
        <v>31.2</v>
      </c>
      <c r="D36" s="3212" t="s">
        <v>691</v>
      </c>
      <c r="E36" s="783" t="s">
        <v>649</v>
      </c>
      <c r="F36" s="816">
        <f ca="1">INDIRECT("'数据-取费表'!Ak"&amp;$G$1)</f>
        <v>1.4999999999999999E-2</v>
      </c>
      <c r="G36" s="2060"/>
      <c r="H36" s="2075"/>
      <c r="I36" s="838" t="s">
        <v>1816</v>
      </c>
      <c r="J36" s="839">
        <f ca="1">INDIRECT("'数据-取费表'!j"&amp;$G$1)</f>
        <v>8.5000000000000006E-2</v>
      </c>
      <c r="K36" s="2080"/>
      <c r="L36" s="2075"/>
      <c r="M36" s="2075"/>
    </row>
    <row r="37" spans="1:18" ht="18" customHeight="1">
      <c r="A37" s="1648" t="s">
        <v>1891</v>
      </c>
      <c r="B37" s="783" t="s">
        <v>679</v>
      </c>
      <c r="C37" s="53">
        <f ca="1">ROUND(C13*F37,1)</f>
        <v>3.1</v>
      </c>
      <c r="D37" s="3212" t="s">
        <v>680</v>
      </c>
      <c r="E37" s="783" t="s">
        <v>649</v>
      </c>
      <c r="F37" s="817">
        <f ca="1">INDIRECT("'数据-取费表'!Al"&amp;$G$1)</f>
        <v>1.5E-3</v>
      </c>
      <c r="G37" s="2060"/>
      <c r="H37" s="2075"/>
      <c r="I37" s="840" t="s">
        <v>1817</v>
      </c>
      <c r="J37" s="841"/>
      <c r="K37" s="2080"/>
      <c r="L37" s="2075"/>
      <c r="M37" s="2075"/>
    </row>
    <row r="38" spans="1:18" ht="18" customHeight="1" thickBot="1">
      <c r="A38" s="2549" t="s">
        <v>1892</v>
      </c>
      <c r="B38" s="2544" t="s">
        <v>666</v>
      </c>
      <c r="C38" s="2542">
        <f ca="1">ROUND(C5*F38,1)</f>
        <v>4.3</v>
      </c>
      <c r="D38" s="2543" t="s">
        <v>683</v>
      </c>
      <c r="E38" s="2544" t="s">
        <v>649</v>
      </c>
      <c r="F38" s="2540">
        <f ca="1">INDIRECT("'数据-取费表'!Am"&amp;$G$1)</f>
        <v>1.4999999999999999E-2</v>
      </c>
      <c r="G38" s="2060"/>
      <c r="H38" s="2075"/>
      <c r="I38" s="842" t="s">
        <v>1818</v>
      </c>
      <c r="J38" s="843"/>
      <c r="K38" s="2081"/>
      <c r="L38" s="2075"/>
      <c r="M38" s="2075"/>
    </row>
    <row r="39" spans="1:18" ht="24.6" customHeight="1" thickTop="1">
      <c r="A39" s="1827" t="s">
        <v>1777</v>
      </c>
      <c r="B39" s="3007" t="s">
        <v>2819</v>
      </c>
      <c r="C39" s="791">
        <f ca="1">C5-C30</f>
        <v>200</v>
      </c>
      <c r="D39" s="2546" t="s">
        <v>700</v>
      </c>
      <c r="E39" s="2547"/>
      <c r="F39" s="2548"/>
      <c r="G39" s="2060"/>
      <c r="H39" s="2075"/>
      <c r="I39" s="836" t="s">
        <v>1819</v>
      </c>
      <c r="J39" s="844">
        <f ca="1">ROUND(J35/C39,3)</f>
        <v>0.88500000000000001</v>
      </c>
      <c r="K39" s="2081"/>
      <c r="L39" s="2075"/>
      <c r="M39" s="2075"/>
    </row>
    <row r="40" spans="1:18" ht="18" customHeight="1">
      <c r="A40" s="780" t="s">
        <v>1781</v>
      </c>
      <c r="B40" s="2230" t="s">
        <v>2301</v>
      </c>
      <c r="C40" s="782">
        <f ca="1">ROUND(C39*(1-((1+F42)/(1+F40))^F41)/(F40-F42),0)</f>
        <v>5923</v>
      </c>
      <c r="D40" s="813" t="s">
        <v>704</v>
      </c>
      <c r="E40" s="783" t="s">
        <v>2417</v>
      </c>
      <c r="F40" s="793">
        <f ca="1">INDIRECT("'数据-取费表'!I"&amp;$G$1)</f>
        <v>0.05</v>
      </c>
      <c r="G40" s="2060"/>
      <c r="H40" s="2060"/>
      <c r="I40" s="836" t="s">
        <v>1820</v>
      </c>
      <c r="J40" s="844">
        <f ca="1">1-J39</f>
        <v>0.11499999999999999</v>
      </c>
      <c r="K40" s="2081"/>
      <c r="L40" s="2060"/>
      <c r="M40" s="2060"/>
    </row>
    <row r="41" spans="1:18" ht="18" customHeight="1">
      <c r="A41" s="785"/>
      <c r="B41" s="786"/>
      <c r="C41" s="787"/>
      <c r="D41" s="820" t="s">
        <v>1809</v>
      </c>
      <c r="E41" s="783" t="s">
        <v>708</v>
      </c>
      <c r="F41" s="821">
        <f ca="1">IF(INDIRECT("'数据-取费表'!af"&amp;$G$1)=0,INDIRECT("'数据-取费表'!ae"&amp;$G$1),INDIRECT("'数据-取费表'!af"&amp;$G$1))</f>
        <v>46.66</v>
      </c>
      <c r="G41" s="2060"/>
      <c r="H41" s="1986"/>
      <c r="I41" s="842" t="s">
        <v>1821</v>
      </c>
      <c r="J41" s="845"/>
      <c r="K41" s="2080"/>
      <c r="L41" s="1986"/>
      <c r="M41" s="1986"/>
    </row>
    <row r="42" spans="1:18" ht="18" customHeight="1">
      <c r="A42" s="789"/>
      <c r="B42" s="790"/>
      <c r="C42" s="791"/>
      <c r="D42" s="815"/>
      <c r="E42" s="783" t="s">
        <v>710</v>
      </c>
      <c r="F42" s="793">
        <f ca="1">INDIRECT("'数据-取费表'!v"&amp;$G$1)</f>
        <v>0.03</v>
      </c>
      <c r="G42" s="2060"/>
      <c r="H42" s="1986"/>
      <c r="I42" s="846" t="s">
        <v>1822</v>
      </c>
      <c r="J42" s="844">
        <f ca="1">ROUND(C13/C40,3)</f>
        <v>0.35099999999999998</v>
      </c>
      <c r="K42" s="2080"/>
      <c r="L42" s="1986"/>
      <c r="M42" s="1986"/>
    </row>
    <row r="43" spans="1:18" ht="18" customHeight="1" thickBot="1">
      <c r="A43" s="822" t="s">
        <v>1788</v>
      </c>
      <c r="B43" s="823" t="s">
        <v>1811</v>
      </c>
      <c r="C43" s="824">
        <f ca="1">ROUND(C40*10000/F43,0)</f>
        <v>10083</v>
      </c>
      <c r="D43" s="825" t="s">
        <v>1812</v>
      </c>
      <c r="E43" s="826" t="s">
        <v>1813</v>
      </c>
      <c r="F43" s="827">
        <f ca="1">INDIRECT("'数据-取费表'!k"&amp;$G$1)</f>
        <v>5874.31</v>
      </c>
      <c r="G43" s="2060"/>
      <c r="H43" s="1986"/>
      <c r="I43" s="846" t="s">
        <v>1823</v>
      </c>
      <c r="J43" s="847">
        <f ca="1">1-J42</f>
        <v>0.64900000000000002</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2295</v>
      </c>
      <c r="B46" s="2083"/>
      <c r="C46" s="2572">
        <f ca="1">C67-C40</f>
        <v>-6551</v>
      </c>
      <c r="D46" s="2083"/>
      <c r="E46" s="2083"/>
      <c r="F46" s="2083"/>
      <c r="I46" s="2376" t="s">
        <v>2341</v>
      </c>
      <c r="J46" s="2377"/>
      <c r="K46" s="2378"/>
      <c r="L46" s="3155">
        <f>IF(OR(M47="住宅",D1="土地（套用方法）"),0,IF(L48&gt;J51,L60,J60))</f>
        <v>0</v>
      </c>
      <c r="O46" s="2392" t="s">
        <v>2408</v>
      </c>
      <c r="P46" s="1591"/>
      <c r="Q46" s="1603"/>
      <c r="R46" s="1591"/>
    </row>
    <row r="47" spans="1:18" s="2057" customFormat="1" ht="18" customHeight="1" thickBot="1">
      <c r="A47" s="2370">
        <v>1</v>
      </c>
      <c r="B47" s="2371" t="s">
        <v>635</v>
      </c>
      <c r="C47" s="2572">
        <f ca="1">C48+C52+C54</f>
        <v>0</v>
      </c>
      <c r="D47" s="2083"/>
      <c r="E47" s="2083"/>
      <c r="F47" s="2083"/>
      <c r="I47" s="3145" t="s">
        <v>2342</v>
      </c>
      <c r="J47" s="2379" t="s">
        <v>3261</v>
      </c>
      <c r="K47" s="3152" t="s">
        <v>2347</v>
      </c>
      <c r="L47" s="3156">
        <f ca="1">INDIRECT("'数据-取费表'!d"&amp;$G$1)</f>
        <v>50</v>
      </c>
      <c r="M47" s="1603" t="str">
        <f>IF(ISNUMBER(FIND("住宅",C1)),"住宅","非住宅")</f>
        <v>非住宅</v>
      </c>
      <c r="O47" s="2393" t="s">
        <v>2373</v>
      </c>
      <c r="P47" s="2394" t="s">
        <v>2374</v>
      </c>
      <c r="Q47" s="2395" t="s">
        <v>2375</v>
      </c>
      <c r="R47" s="2394" t="s">
        <v>2376</v>
      </c>
    </row>
    <row r="48" spans="1:18" s="2057" customFormat="1" ht="18" customHeight="1" thickBot="1">
      <c r="A48" s="2640" t="s">
        <v>1871</v>
      </c>
      <c r="B48" s="2641" t="s">
        <v>2536</v>
      </c>
      <c r="C48" s="2372">
        <f ca="1">ROUND(F48*F50*F49*(1-F51)/10000,0)</f>
        <v>0</v>
      </c>
      <c r="D48" s="2373" t="s">
        <v>636</v>
      </c>
      <c r="E48" s="2374" t="s">
        <v>2296</v>
      </c>
      <c r="F48" s="2375"/>
      <c r="G48" s="2088"/>
      <c r="I48" s="3121" t="s">
        <v>2343</v>
      </c>
      <c r="J48" s="2380" t="s">
        <v>2348</v>
      </c>
      <c r="K48" s="3153" t="s">
        <v>2349</v>
      </c>
      <c r="L48" s="1906">
        <f ca="1">INDIRECT("'数据-取费表'!f"&amp;$G$1)</f>
        <v>48.66</v>
      </c>
      <c r="O48" s="2396" t="s">
        <v>2377</v>
      </c>
      <c r="P48" s="2397" t="s">
        <v>2403</v>
      </c>
      <c r="Q48" s="2398">
        <f ca="1">C40+J29</f>
        <v>5923</v>
      </c>
      <c r="R48" s="2397" t="s">
        <v>2378</v>
      </c>
    </row>
    <row r="49" spans="1:18" s="2057" customFormat="1" ht="18" customHeight="1" thickBot="1">
      <c r="A49" s="785"/>
      <c r="B49" s="786"/>
      <c r="C49" s="787"/>
      <c r="D49" s="788"/>
      <c r="E49" s="783" t="s">
        <v>638</v>
      </c>
      <c r="F49" s="784">
        <f ca="1">F7</f>
        <v>5874.31</v>
      </c>
      <c r="G49" s="2088"/>
      <c r="H49" s="2091"/>
      <c r="I49" s="3121" t="s">
        <v>2344</v>
      </c>
      <c r="J49" s="2381">
        <v>2020</v>
      </c>
      <c r="K49" s="3154" t="s">
        <v>2350</v>
      </c>
      <c r="L49" s="2382"/>
      <c r="O49" s="2396" t="s">
        <v>2379</v>
      </c>
      <c r="P49" s="2397" t="s">
        <v>2404</v>
      </c>
      <c r="Q49" s="2398" t="str">
        <f ca="1">J60</f>
        <v>0</v>
      </c>
      <c r="R49" s="2397" t="s">
        <v>2380</v>
      </c>
    </row>
    <row r="50" spans="1:18" s="2057" customFormat="1" ht="18" customHeight="1" thickBot="1">
      <c r="A50" s="785"/>
      <c r="B50" s="786"/>
      <c r="C50" s="787"/>
      <c r="D50" s="788"/>
      <c r="E50" s="783" t="s">
        <v>639</v>
      </c>
      <c r="F50" s="784">
        <f ca="1">F8</f>
        <v>365</v>
      </c>
      <c r="G50" s="2093"/>
      <c r="H50" s="2091"/>
      <c r="I50" s="3121" t="s">
        <v>2345</v>
      </c>
      <c r="J50" s="3149">
        <f>SUMPRODUCT((I63:I65=J47)*(J62:L62=J48)*(J63:L65))</f>
        <v>60</v>
      </c>
      <c r="K50" s="3154" t="s">
        <v>2351</v>
      </c>
      <c r="L50" s="2382"/>
      <c r="O50" s="2399" t="s">
        <v>2381</v>
      </c>
      <c r="P50" s="2397" t="s">
        <v>2405</v>
      </c>
      <c r="Q50" s="2398">
        <f ca="1">C29</f>
        <v>2081</v>
      </c>
      <c r="R50" s="2397" t="s">
        <v>2378</v>
      </c>
    </row>
    <row r="51" spans="1:18" s="2057" customFormat="1" ht="18" customHeight="1" thickBot="1">
      <c r="A51" s="785"/>
      <c r="B51" s="786"/>
      <c r="C51" s="787"/>
      <c r="D51" s="788"/>
      <c r="E51" s="783" t="s">
        <v>640</v>
      </c>
      <c r="F51" s="2369"/>
      <c r="H51" s="2091"/>
      <c r="I51" s="3146" t="s">
        <v>2346</v>
      </c>
      <c r="J51" s="3150">
        <f>IF(J49="",J50,J49+J50-YEAR('数据-取费表'!B2))</f>
        <v>62</v>
      </c>
      <c r="K51" s="3121" t="s">
        <v>2352</v>
      </c>
      <c r="L51" s="3157">
        <f ca="1">ROUND(-PV(INDIRECT("'数据-取费表'!h"&amp;$G$1),L48,(C39-C13*J36),0),0)</f>
        <v>453</v>
      </c>
      <c r="O51" s="2399" t="s">
        <v>2382</v>
      </c>
      <c r="P51" s="2397" t="s">
        <v>2383</v>
      </c>
      <c r="Q51" s="2400" t="e">
        <f ca="1">J58</f>
        <v>#VALUE!</v>
      </c>
      <c r="R51" s="2401"/>
    </row>
    <row r="52" spans="1:18" s="2057" customFormat="1" ht="18" customHeight="1" thickBot="1">
      <c r="A52" s="780" t="s">
        <v>2534</v>
      </c>
      <c r="B52" s="2492" t="s">
        <v>2457</v>
      </c>
      <c r="C52" s="798">
        <f ca="1">ROUND(IF(F52="押一",C48/12*F11,IF(F52="押二",C48/12*2*F11,IF(F52="押三",C48/12*3*F11,C53*F11))),0)</f>
        <v>0</v>
      </c>
      <c r="D52" s="2499" t="s">
        <v>2963</v>
      </c>
      <c r="E52" s="2496" t="s">
        <v>2462</v>
      </c>
      <c r="F52" s="2619"/>
      <c r="I52" s="3147" t="s">
        <v>2419</v>
      </c>
      <c r="J52" s="2383">
        <v>0.09</v>
      </c>
      <c r="K52" s="3147" t="s">
        <v>2418</v>
      </c>
      <c r="L52" s="2383"/>
      <c r="O52" s="2399" t="s">
        <v>2384</v>
      </c>
      <c r="P52" s="2397" t="s">
        <v>2385</v>
      </c>
      <c r="Q52" s="2400">
        <f>J52</f>
        <v>0.09</v>
      </c>
      <c r="R52" s="2401"/>
    </row>
    <row r="53" spans="1:18" s="2057" customFormat="1" ht="39.75" customHeight="1" thickBot="1">
      <c r="A53" s="785"/>
      <c r="B53" s="2493" t="s">
        <v>2571</v>
      </c>
      <c r="C53" s="2497"/>
      <c r="D53" s="2499"/>
      <c r="E53" s="2496"/>
      <c r="F53" s="799"/>
      <c r="I53" s="3148" t="s">
        <v>2967</v>
      </c>
      <c r="J53" s="3151">
        <f ca="1">IF(M47="住宅",IF(D1="——",MAX(J51,L48),MAX(J51,L48-'数据-取费表'!B20)),IF(D1="——",MIN(J51,L48),MIN(J51,L48-'数据-取费表'!B20)))</f>
        <v>46.66</v>
      </c>
      <c r="K53" s="3587" t="s">
        <v>2954</v>
      </c>
      <c r="L53" s="3588"/>
      <c r="O53" s="2399" t="s">
        <v>2386</v>
      </c>
      <c r="P53" s="2397" t="s">
        <v>2387</v>
      </c>
      <c r="Q53" s="2398">
        <f ca="1">J53</f>
        <v>46.66</v>
      </c>
      <c r="R53" s="2397" t="s">
        <v>2388</v>
      </c>
    </row>
    <row r="54" spans="1:18" s="2057" customFormat="1" ht="18" customHeight="1" thickBot="1">
      <c r="A54" s="2535" t="s">
        <v>2465</v>
      </c>
      <c r="B54" s="2536" t="s">
        <v>2458</v>
      </c>
      <c r="C54" s="2537"/>
      <c r="D54" s="2499"/>
      <c r="E54" s="2496"/>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96" t="s">
        <v>2389</v>
      </c>
      <c r="P54" s="2397" t="s">
        <v>2406</v>
      </c>
      <c r="Q54" s="2398">
        <f ca="1">Q48+Q49</f>
        <v>5923</v>
      </c>
      <c r="R54" s="2401" t="s">
        <v>2390</v>
      </c>
    </row>
    <row r="55" spans="1:18" s="2057" customFormat="1" ht="18" customHeight="1" thickTop="1" thickBot="1">
      <c r="A55" s="796">
        <v>2</v>
      </c>
      <c r="B55" s="797" t="s">
        <v>644</v>
      </c>
      <c r="C55" s="798">
        <f ca="1">C13</f>
        <v>2081</v>
      </c>
      <c r="D55" s="794"/>
      <c r="E55" s="794"/>
      <c r="F55" s="799"/>
      <c r="I55" s="3160" t="s">
        <v>2353</v>
      </c>
      <c r="J55" s="3096" t="e">
        <f ca="1">ROUND(IF(J47="钢混",J57/J50,1-(1-2%)*(J50-J57)/J50),3)</f>
        <v>#VALUE!</v>
      </c>
      <c r="K55" s="3161" t="s">
        <v>2354</v>
      </c>
      <c r="L55" s="2384"/>
      <c r="O55" s="2402" t="s">
        <v>2409</v>
      </c>
      <c r="P55" s="1591"/>
      <c r="Q55" s="1603"/>
      <c r="R55" s="1591"/>
    </row>
    <row r="56" spans="1:18" s="2057" customFormat="1" ht="42.75" customHeight="1" thickBot="1">
      <c r="A56" s="1649"/>
      <c r="B56" s="2229" t="s">
        <v>2300</v>
      </c>
      <c r="C56" s="53">
        <f ca="1">C29</f>
        <v>2081</v>
      </c>
      <c r="D56" s="3212"/>
      <c r="E56" s="783"/>
      <c r="F56" s="808"/>
      <c r="I56" s="3162" t="s">
        <v>2355</v>
      </c>
      <c r="J56" s="3172" t="s">
        <v>1679</v>
      </c>
      <c r="K56" s="3121" t="s">
        <v>2360</v>
      </c>
      <c r="L56" s="1906" t="str">
        <f ca="1">IF(L48&lt;J51,"——",L48-J51)</f>
        <v>——</v>
      </c>
      <c r="O56" s="2393" t="s">
        <v>2373</v>
      </c>
      <c r="P56" s="2394" t="s">
        <v>2374</v>
      </c>
      <c r="Q56" s="2395" t="s">
        <v>2375</v>
      </c>
      <c r="R56" s="2394" t="s">
        <v>2376</v>
      </c>
    </row>
    <row r="57" spans="1:18" s="2057" customFormat="1" ht="28.5" customHeight="1" thickBot="1">
      <c r="A57" s="796" t="s">
        <v>7</v>
      </c>
      <c r="B57" s="797" t="s">
        <v>651</v>
      </c>
      <c r="C57" s="798">
        <f ca="1">ROUND(C58+C63+C64+C65,0)</f>
        <v>35</v>
      </c>
      <c r="D57" s="26" t="s">
        <v>652</v>
      </c>
      <c r="E57" s="3214"/>
      <c r="F57" s="56"/>
      <c r="I57" s="3163" t="s">
        <v>2356</v>
      </c>
      <c r="J57" s="3164" t="str">
        <f ca="1">IF(OR(M47="住宅",J51&lt;L48,J56="是"),"——",J51-L48)</f>
        <v>——</v>
      </c>
      <c r="K57" s="3121" t="s">
        <v>2361</v>
      </c>
      <c r="L57" s="1906" t="str">
        <f ca="1">IF(L48&lt;J51,"——",IF(L55="比较法",L49,IF(L55="基准地价",L50,L51)))</f>
        <v>——</v>
      </c>
      <c r="O57" s="2396" t="s">
        <v>2377</v>
      </c>
      <c r="P57" s="2397" t="s">
        <v>2403</v>
      </c>
      <c r="Q57" s="2398">
        <f ca="1">C40+J29</f>
        <v>5923</v>
      </c>
      <c r="R57" s="2397" t="s">
        <v>2378</v>
      </c>
    </row>
    <row r="58" spans="1:18" s="2057" customFormat="1" ht="28.5" customHeight="1" thickBot="1">
      <c r="A58" s="1648" t="s">
        <v>1825</v>
      </c>
      <c r="B58" s="783" t="s">
        <v>656</v>
      </c>
      <c r="C58" s="53">
        <f ca="1">ROUND(IF(项目基本情况!B11="自然人",C47*F58,C59+C60+C61),1)</f>
        <v>0.4</v>
      </c>
      <c r="D58" s="3211" t="s">
        <v>657</v>
      </c>
      <c r="E58" s="3212" t="s">
        <v>690</v>
      </c>
      <c r="F58" s="809" t="str">
        <f ca="1">IF(项目基本情况!B11="企业","",IF(INDIRECT("'数据-取费表'!c"&amp;$G$1)="住宅",5%,IF(F48*F49*F50/12/(1+'数据-取费表'!C42)&gt;20000,12%,7%)))</f>
        <v/>
      </c>
      <c r="I58" s="3163" t="s">
        <v>2357</v>
      </c>
      <c r="J58" s="3097" t="e">
        <f ca="1">IF(J55&lt;0.4,0.4,J55)</f>
        <v>#VALUE!</v>
      </c>
      <c r="K58" s="3121" t="s">
        <v>2362</v>
      </c>
      <c r="L58" s="1906" t="e">
        <f ca="1">ROUND(POWER(1+L52,L47-L48)*(POWER(1+L52,L48)-1)/(POWER(1+L52,L47)-1),4)</f>
        <v>#DIV/0!</v>
      </c>
      <c r="O58" s="2396" t="s">
        <v>2379</v>
      </c>
      <c r="P58" s="2397" t="s">
        <v>2410</v>
      </c>
      <c r="Q58" s="2398">
        <f ca="1">L60</f>
        <v>0</v>
      </c>
      <c r="R58" s="2401" t="s">
        <v>2412</v>
      </c>
    </row>
    <row r="59" spans="1:18" s="2057" customFormat="1" ht="28.5" customHeight="1" thickBot="1">
      <c r="A59" s="1647" t="s">
        <v>1832</v>
      </c>
      <c r="B59" s="783" t="s">
        <v>660</v>
      </c>
      <c r="C59" s="53">
        <f ca="1">ROUND(C47*F59/1.05,1)</f>
        <v>0</v>
      </c>
      <c r="D59" s="3212" t="s">
        <v>661</v>
      </c>
      <c r="E59" s="783" t="s">
        <v>649</v>
      </c>
      <c r="F59" s="808">
        <f t="shared" ref="F59:F65" si="0">F32</f>
        <v>5.5000000000000007E-2</v>
      </c>
      <c r="I59" s="3163" t="s">
        <v>2358</v>
      </c>
      <c r="J59" s="3164" t="str">
        <f ca="1">IF(OR(M47="住宅",J51&lt;L48,J56="是"),"——",ROUND(C29*J58,0))</f>
        <v>——</v>
      </c>
      <c r="K59" s="3121"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99" t="s">
        <v>2381</v>
      </c>
      <c r="P59" s="2397" t="s">
        <v>2411</v>
      </c>
      <c r="Q59" s="2398">
        <f>IF(L55="比较法",L49,IF(L55="基准地价",L50,0))</f>
        <v>0</v>
      </c>
      <c r="R59" s="2397" t="s">
        <v>2378</v>
      </c>
    </row>
    <row r="60" spans="1:18" s="2057" customFormat="1" ht="18" customHeight="1" thickBot="1">
      <c r="A60" s="1647" t="s">
        <v>1833</v>
      </c>
      <c r="B60" s="783" t="s">
        <v>664</v>
      </c>
      <c r="C60" s="53">
        <f ca="1">IF(D60="按租金收入计税",ROUND(C47*F60,1),IF(D60="按房产原值计税",ROUND(C56*F60*0.7,1),INDIRECT("'数据-取费表'!Aj"&amp;$G$1)))</f>
        <v>0</v>
      </c>
      <c r="D60" s="3212" t="str">
        <f>D33</f>
        <v>按租金收入计税</v>
      </c>
      <c r="E60" s="783" t="s">
        <v>649</v>
      </c>
      <c r="F60" s="808">
        <f t="shared" si="0"/>
        <v>0.12</v>
      </c>
      <c r="I60" s="3165" t="s">
        <v>2359</v>
      </c>
      <c r="J60" s="3166" t="str">
        <f ca="1">IF(OR(M47="住宅",J51&lt;L48,J56="是"),"0",ROUND(J59/(1+J52)^J53,0))</f>
        <v>0</v>
      </c>
      <c r="K60" s="3167" t="s">
        <v>2364</v>
      </c>
      <c r="L60" s="3166">
        <f ca="1">IF(OR(M47="住宅",L48&lt;J51),0,ROUND(L57*(L58/L59-1),0))</f>
        <v>0</v>
      </c>
      <c r="O60" s="2399" t="s">
        <v>2382</v>
      </c>
      <c r="P60" s="2397" t="s">
        <v>2391</v>
      </c>
      <c r="Q60" s="2400">
        <f>L52</f>
        <v>0</v>
      </c>
      <c r="R60" s="2401"/>
    </row>
    <row r="61" spans="1:18" s="2057" customFormat="1" ht="18" customHeight="1" thickBot="1">
      <c r="A61" s="1650" t="s">
        <v>1834</v>
      </c>
      <c r="B61" s="340" t="s">
        <v>668</v>
      </c>
      <c r="C61" s="54">
        <f ca="1">ROUND(F61*F62/10000,1)</f>
        <v>0.4</v>
      </c>
      <c r="D61" s="813" t="s">
        <v>669</v>
      </c>
      <c r="E61" s="783" t="s">
        <v>670</v>
      </c>
      <c r="F61" s="639">
        <f t="shared" si="0"/>
        <v>1.5</v>
      </c>
      <c r="K61" s="2084"/>
      <c r="O61" s="2399" t="s">
        <v>2384</v>
      </c>
      <c r="P61" s="2397" t="s">
        <v>2392</v>
      </c>
      <c r="Q61" s="2398" t="e">
        <f ca="1">L58</f>
        <v>#DIV/0!</v>
      </c>
      <c r="R61" s="2401" t="s">
        <v>2393</v>
      </c>
    </row>
    <row r="62" spans="1:18" s="2057" customFormat="1" ht="15.75" thickBot="1">
      <c r="A62" s="814"/>
      <c r="B62" s="792"/>
      <c r="C62" s="69"/>
      <c r="D62" s="815"/>
      <c r="E62" s="783" t="s">
        <v>674</v>
      </c>
      <c r="F62" s="784">
        <f t="shared" ca="1" si="0"/>
        <v>2398.3200000000002</v>
      </c>
      <c r="I62" s="3168" t="s">
        <v>2365</v>
      </c>
      <c r="J62" s="3169" t="s">
        <v>2366</v>
      </c>
      <c r="K62" s="3169" t="s">
        <v>2367</v>
      </c>
      <c r="L62" s="3169" t="s">
        <v>2348</v>
      </c>
      <c r="M62" s="3170" t="s">
        <v>2930</v>
      </c>
      <c r="O62" s="2399" t="s">
        <v>2386</v>
      </c>
      <c r="P62" s="2397" t="str">
        <f>K59</f>
        <v>建设期及建筑物耐用年限下的土地年期修正系数Kn</v>
      </c>
      <c r="Q62" s="2398" t="e">
        <f ca="1">L59</f>
        <v>#DIV/0!</v>
      </c>
      <c r="R62" s="2401" t="s">
        <v>2395</v>
      </c>
    </row>
    <row r="63" spans="1:18" s="2057" customFormat="1" ht="15.75" thickBot="1">
      <c r="A63" s="1648" t="s">
        <v>1890</v>
      </c>
      <c r="B63" s="783" t="s">
        <v>676</v>
      </c>
      <c r="C63" s="53">
        <f ca="1">ROUND(C56*F63,1)</f>
        <v>31.2</v>
      </c>
      <c r="D63" s="3212" t="s">
        <v>691</v>
      </c>
      <c r="E63" s="783" t="s">
        <v>649</v>
      </c>
      <c r="F63" s="816">
        <f t="shared" ca="1" si="0"/>
        <v>1.4999999999999999E-2</v>
      </c>
      <c r="I63" s="3168" t="s">
        <v>2368</v>
      </c>
      <c r="J63" s="3169">
        <v>70</v>
      </c>
      <c r="K63" s="3169">
        <v>50</v>
      </c>
      <c r="L63" s="3169">
        <v>80</v>
      </c>
      <c r="M63" s="3171">
        <v>0.02</v>
      </c>
      <c r="O63" s="2396" t="s">
        <v>2389</v>
      </c>
      <c r="P63" s="2397" t="s">
        <v>2406</v>
      </c>
      <c r="Q63" s="2398">
        <f ca="1">Q57+Q58</f>
        <v>5923</v>
      </c>
      <c r="R63" s="2401" t="s">
        <v>2390</v>
      </c>
    </row>
    <row r="64" spans="1:18" s="2057" customFormat="1" ht="16.5" thickBot="1">
      <c r="A64" s="1648" t="s">
        <v>1891</v>
      </c>
      <c r="B64" s="783" t="s">
        <v>679</v>
      </c>
      <c r="C64" s="53">
        <f ca="1">ROUND(C55*F64,1)</f>
        <v>3.1</v>
      </c>
      <c r="D64" s="3212" t="s">
        <v>680</v>
      </c>
      <c r="E64" s="783" t="s">
        <v>649</v>
      </c>
      <c r="F64" s="817">
        <f t="shared" ca="1" si="0"/>
        <v>1.5E-3</v>
      </c>
      <c r="I64" s="3168" t="s">
        <v>2369</v>
      </c>
      <c r="J64" s="3169">
        <v>50</v>
      </c>
      <c r="K64" s="3169">
        <v>35</v>
      </c>
      <c r="L64" s="3169">
        <v>60</v>
      </c>
      <c r="M64" s="845">
        <v>0</v>
      </c>
      <c r="O64" s="2402" t="s">
        <v>2413</v>
      </c>
      <c r="P64" s="1591"/>
      <c r="Q64" s="1603"/>
      <c r="R64" s="1591"/>
    </row>
    <row r="65" spans="1:18" s="2057" customFormat="1" ht="15.75" thickBot="1">
      <c r="A65" s="1648" t="s">
        <v>1892</v>
      </c>
      <c r="B65" s="783" t="s">
        <v>666</v>
      </c>
      <c r="C65" s="53">
        <f ca="1">ROUND(C47*F65,1)</f>
        <v>0</v>
      </c>
      <c r="D65" s="3212" t="s">
        <v>683</v>
      </c>
      <c r="E65" s="783" t="s">
        <v>649</v>
      </c>
      <c r="F65" s="793">
        <f t="shared" ca="1" si="0"/>
        <v>1.4999999999999999E-2</v>
      </c>
      <c r="I65" s="3168" t="s">
        <v>2370</v>
      </c>
      <c r="J65" s="3169">
        <v>40</v>
      </c>
      <c r="K65" s="3169">
        <v>30</v>
      </c>
      <c r="L65" s="3169">
        <v>50</v>
      </c>
      <c r="M65" s="3171">
        <v>0.02</v>
      </c>
      <c r="O65" s="2393" t="s">
        <v>2373</v>
      </c>
      <c r="P65" s="2394" t="s">
        <v>2374</v>
      </c>
      <c r="Q65" s="2395" t="s">
        <v>2375</v>
      </c>
      <c r="R65" s="2394" t="s">
        <v>2376</v>
      </c>
    </row>
    <row r="66" spans="1:18" s="2057" customFormat="1" ht="24.75" thickBot="1">
      <c r="A66" s="796" t="s">
        <v>1777</v>
      </c>
      <c r="B66" s="3008" t="s">
        <v>2819</v>
      </c>
      <c r="C66" s="798">
        <f ca="1">C47-C57</f>
        <v>-35</v>
      </c>
      <c r="D66" s="3211" t="s">
        <v>700</v>
      </c>
      <c r="E66" s="3209"/>
      <c r="F66" s="819"/>
      <c r="K66" s="2084"/>
      <c r="O66" s="2396" t="s">
        <v>2377</v>
      </c>
      <c r="P66" s="2397" t="s">
        <v>2403</v>
      </c>
      <c r="Q66" s="2398">
        <f ca="1">C40+J29</f>
        <v>5923</v>
      </c>
      <c r="R66" s="2397" t="s">
        <v>2378</v>
      </c>
    </row>
    <row r="67" spans="1:18" s="2057" customFormat="1" ht="20.25" thickBot="1">
      <c r="A67" s="780" t="s">
        <v>1781</v>
      </c>
      <c r="B67" s="2230" t="s">
        <v>2301</v>
      </c>
      <c r="C67" s="782">
        <f ca="1">ROUND(C66*(1-((1+F69)/(1+F67))^F68)/(F67-F69),0)</f>
        <v>-628</v>
      </c>
      <c r="D67" s="813" t="s">
        <v>704</v>
      </c>
      <c r="E67" s="783" t="s">
        <v>705</v>
      </c>
      <c r="F67" s="793">
        <f ca="1">F40</f>
        <v>0.05</v>
      </c>
      <c r="K67" s="2084"/>
      <c r="O67" s="2396" t="s">
        <v>2379</v>
      </c>
      <c r="P67" s="2397" t="s">
        <v>2410</v>
      </c>
      <c r="Q67" s="2398">
        <f ca="1">L60</f>
        <v>0</v>
      </c>
      <c r="R67" s="2401" t="s">
        <v>2412</v>
      </c>
    </row>
    <row r="68" spans="1:18" ht="21.75" thickBot="1">
      <c r="A68" s="785"/>
      <c r="B68" s="786"/>
      <c r="C68" s="787"/>
      <c r="D68" s="820" t="s">
        <v>1809</v>
      </c>
      <c r="E68" s="783" t="s">
        <v>708</v>
      </c>
      <c r="F68" s="821">
        <f ca="1">F41</f>
        <v>46.66</v>
      </c>
      <c r="O68" s="2399" t="s">
        <v>2381</v>
      </c>
      <c r="P68" s="2397" t="s">
        <v>2411</v>
      </c>
      <c r="Q68" s="2403">
        <f ca="1">L51</f>
        <v>453</v>
      </c>
      <c r="R68" s="2404" t="s">
        <v>2414</v>
      </c>
    </row>
    <row r="69" spans="1:18" ht="20.25" thickBot="1">
      <c r="A69" s="789"/>
      <c r="B69" s="790"/>
      <c r="C69" s="791"/>
      <c r="D69" s="815"/>
      <c r="E69" s="783" t="s">
        <v>710</v>
      </c>
      <c r="F69" s="2369"/>
      <c r="O69" s="2399" t="s">
        <v>2382</v>
      </c>
      <c r="P69" s="2405" t="s">
        <v>2396</v>
      </c>
      <c r="Q69" s="2398">
        <f ca="1">ROUND(Q70-Q71*Q72,0)</f>
        <v>23</v>
      </c>
      <c r="R69" s="2401"/>
    </row>
    <row r="70" spans="1:18" ht="15.75" thickBot="1">
      <c r="A70" s="822" t="s">
        <v>1788</v>
      </c>
      <c r="B70" s="823" t="s">
        <v>1811</v>
      </c>
      <c r="C70" s="824">
        <f ca="1">ROUND(C67*10000/F70,0)</f>
        <v>-1069</v>
      </c>
      <c r="D70" s="825" t="s">
        <v>1812</v>
      </c>
      <c r="E70" s="826" t="s">
        <v>1813</v>
      </c>
      <c r="F70" s="827">
        <f ca="1">F43</f>
        <v>5874.31</v>
      </c>
      <c r="O70" s="2399" t="s">
        <v>2397</v>
      </c>
      <c r="P70" s="2405" t="s">
        <v>2398</v>
      </c>
      <c r="Q70" s="2398">
        <f ca="1">C39</f>
        <v>200</v>
      </c>
      <c r="R70" s="2397" t="s">
        <v>2378</v>
      </c>
    </row>
    <row r="71" spans="1:18" ht="15.75" thickBot="1">
      <c r="O71" s="2399" t="s">
        <v>2399</v>
      </c>
      <c r="P71" s="2405" t="s">
        <v>2400</v>
      </c>
      <c r="Q71" s="2398">
        <f ca="1">C13</f>
        <v>2081</v>
      </c>
      <c r="R71" s="2397" t="s">
        <v>2378</v>
      </c>
    </row>
    <row r="72" spans="1:18" ht="15.75" thickBot="1">
      <c r="O72" s="2399" t="s">
        <v>2401</v>
      </c>
      <c r="P72" s="2405" t="s">
        <v>2402</v>
      </c>
      <c r="Q72" s="2400">
        <f ca="1">J36</f>
        <v>8.5000000000000006E-2</v>
      </c>
      <c r="R72" s="2401"/>
    </row>
    <row r="73" spans="1:18" ht="15.75" thickBot="1">
      <c r="O73" s="2399" t="s">
        <v>2384</v>
      </c>
      <c r="P73" s="2397" t="s">
        <v>2391</v>
      </c>
      <c r="Q73" s="2400">
        <f>L52</f>
        <v>0</v>
      </c>
      <c r="R73" s="2401"/>
    </row>
    <row r="74" spans="1:18" ht="20.25" thickBot="1">
      <c r="O74" s="2399" t="s">
        <v>2386</v>
      </c>
      <c r="P74" s="2397" t="s">
        <v>2392</v>
      </c>
      <c r="Q74" s="2398" t="e">
        <f ca="1">L58</f>
        <v>#DIV/0!</v>
      </c>
      <c r="R74" s="2401" t="s">
        <v>2393</v>
      </c>
    </row>
    <row r="75" spans="1:18" ht="15.75" thickBot="1">
      <c r="O75" s="2399" t="s">
        <v>2415</v>
      </c>
      <c r="P75" s="2397" t="str">
        <f>K59</f>
        <v>建设期及建筑物耐用年限下的土地年期修正系数Kn</v>
      </c>
      <c r="Q75" s="2398" t="e">
        <f ca="1">L59</f>
        <v>#DIV/0!</v>
      </c>
      <c r="R75" s="2401" t="s">
        <v>2395</v>
      </c>
    </row>
    <row r="76" spans="1:18" ht="15.75" thickBot="1">
      <c r="O76" s="2396" t="s">
        <v>2389</v>
      </c>
      <c r="P76" s="2397" t="s">
        <v>2406</v>
      </c>
      <c r="Q76" s="2398">
        <f ca="1">Q66+Q67</f>
        <v>5923</v>
      </c>
      <c r="R76" s="2401" t="s">
        <v>2390</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7" priority="6">
      <formula>$L$48&gt;$J$51</formula>
    </cfRule>
  </conditionalFormatting>
  <conditionalFormatting sqref="I55">
    <cfRule type="expression" dxfId="6" priority="7">
      <formula>$J$51&gt;$L$48</formula>
    </cfRule>
  </conditionalFormatting>
  <conditionalFormatting sqref="I60">
    <cfRule type="expression" dxfId="5" priority="5">
      <formula>$J$51&gt;$L$48</formula>
    </cfRule>
  </conditionalFormatting>
  <conditionalFormatting sqref="K60">
    <cfRule type="expression" dxfId="4" priority="4">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F18" sqref="F18"/>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1726</v>
      </c>
      <c r="B1" s="737"/>
      <c r="C1" s="772" t="s">
        <v>35</v>
      </c>
      <c r="D1" s="3120" t="s">
        <v>3233</v>
      </c>
      <c r="E1" s="2385" t="s">
        <v>870</v>
      </c>
      <c r="F1" s="2386">
        <f ca="1">J53</f>
        <v>46.66</v>
      </c>
      <c r="G1" s="773">
        <f>MATCH(C1,'数据-取费表'!A6:A16,0)+5</f>
        <v>10</v>
      </c>
      <c r="H1" s="2048"/>
      <c r="I1" s="2049"/>
      <c r="J1" s="2049"/>
      <c r="K1" s="2050"/>
      <c r="L1" s="2049"/>
      <c r="M1" s="2049"/>
      <c r="N1" s="2051"/>
      <c r="O1" s="2051"/>
      <c r="P1" s="2051"/>
      <c r="Q1" s="2390"/>
      <c r="R1" s="2051"/>
      <c r="S1" s="2051"/>
      <c r="T1" s="2051"/>
      <c r="U1" s="2051"/>
      <c r="V1" s="2051"/>
      <c r="W1" s="2051"/>
      <c r="X1" s="2051"/>
      <c r="Y1" s="2051"/>
      <c r="Z1" s="2051"/>
      <c r="AA1" s="2051"/>
      <c r="AB1" s="2051"/>
      <c r="AC1" s="2051"/>
      <c r="AD1" s="2051"/>
      <c r="AE1" s="2051"/>
      <c r="AF1" s="2051"/>
      <c r="AG1" s="2051"/>
    </row>
    <row r="2" spans="1:33" ht="18" customHeight="1">
      <c r="A2" s="422" t="s">
        <v>467</v>
      </c>
      <c r="B2" s="774">
        <f ca="1">C40+J29+L46</f>
        <v>16082</v>
      </c>
      <c r="C2" s="2055"/>
      <c r="D2" s="2053"/>
      <c r="E2" s="2054"/>
      <c r="F2" s="2054"/>
      <c r="G2" s="1589"/>
      <c r="H2" s="2055"/>
      <c r="I2" s="2055"/>
      <c r="J2" s="2055"/>
      <c r="K2" s="2056"/>
      <c r="L2" s="2055"/>
      <c r="M2" s="2055"/>
    </row>
    <row r="3" spans="1:33" ht="18" customHeight="1" thickBot="1">
      <c r="A3" s="832" t="s">
        <v>519</v>
      </c>
      <c r="B3" s="833">
        <f ca="1">IF(ISERROR(B2*10000/F43),0,ROUND(B2*10000/F43,0))</f>
        <v>6156</v>
      </c>
      <c r="C3" s="2055"/>
      <c r="D3" s="2053"/>
      <c r="E3" s="2054"/>
      <c r="F3" s="2054"/>
      <c r="G3" s="1589"/>
      <c r="H3" s="775" t="s">
        <v>695</v>
      </c>
      <c r="I3" s="1362"/>
      <c r="J3" s="1362"/>
      <c r="K3" s="1590"/>
      <c r="L3" s="1362"/>
      <c r="M3" s="1362"/>
    </row>
    <row r="4" spans="1:33" ht="18" customHeight="1">
      <c r="A4" s="776" t="s">
        <v>630</v>
      </c>
      <c r="B4" s="777" t="s">
        <v>631</v>
      </c>
      <c r="C4" s="777" t="s">
        <v>632</v>
      </c>
      <c r="D4" s="777" t="s">
        <v>633</v>
      </c>
      <c r="E4" s="778" t="s">
        <v>634</v>
      </c>
      <c r="F4" s="779"/>
      <c r="G4" s="1591"/>
      <c r="H4" s="776" t="s">
        <v>630</v>
      </c>
      <c r="I4" s="777" t="s">
        <v>631</v>
      </c>
      <c r="J4" s="777" t="s">
        <v>632</v>
      </c>
      <c r="K4" s="777" t="s">
        <v>633</v>
      </c>
      <c r="L4" s="778" t="s">
        <v>634</v>
      </c>
      <c r="M4" s="779"/>
    </row>
    <row r="5" spans="1:33" ht="18" customHeight="1">
      <c r="A5" s="780">
        <v>1</v>
      </c>
      <c r="B5" s="781" t="s">
        <v>2456</v>
      </c>
      <c r="C5" s="55">
        <f ca="1">C6+C10+C12</f>
        <v>858</v>
      </c>
      <c r="D5" s="2494" t="s">
        <v>2459</v>
      </c>
      <c r="E5" s="2488"/>
      <c r="F5" s="2489"/>
      <c r="G5" s="1591"/>
      <c r="H5" s="780">
        <v>1</v>
      </c>
      <c r="I5" s="781" t="s">
        <v>2456</v>
      </c>
      <c r="J5" s="55">
        <f ca="1">J6+J10+J12</f>
        <v>0</v>
      </c>
      <c r="K5" s="2494" t="s">
        <v>2459</v>
      </c>
      <c r="L5" s="2488"/>
      <c r="M5" s="2489"/>
    </row>
    <row r="6" spans="1:33" ht="18" customHeight="1">
      <c r="A6" s="1828" t="s">
        <v>1825</v>
      </c>
      <c r="B6" s="3571" t="s">
        <v>2461</v>
      </c>
      <c r="C6" s="782">
        <f ca="1">ROUND(F6*F8*F7*(1-F9)/10000,0)</f>
        <v>858</v>
      </c>
      <c r="D6" s="2495" t="s">
        <v>2460</v>
      </c>
      <c r="E6" s="783" t="s">
        <v>637</v>
      </c>
      <c r="F6" s="784">
        <f ca="1">INDIRECT("'数据-取费表'!u"&amp;$G$1)</f>
        <v>1</v>
      </c>
      <c r="G6" s="1591"/>
      <c r="H6" s="2502" t="s">
        <v>1825</v>
      </c>
      <c r="I6" s="3571" t="s">
        <v>2461</v>
      </c>
      <c r="J6" s="782">
        <f ca="1">ROUND(M6*M8*M7*(1-M9)/10000,0)</f>
        <v>0</v>
      </c>
      <c r="K6" s="340" t="s">
        <v>636</v>
      </c>
      <c r="L6" s="783" t="s">
        <v>637</v>
      </c>
      <c r="M6" s="784">
        <f ca="1">INDIRECT("'数据-取费表'!z"&amp;$G$1)</f>
        <v>0</v>
      </c>
    </row>
    <row r="7" spans="1:33" ht="18" customHeight="1">
      <c r="A7" s="2498"/>
      <c r="B7" s="3572"/>
      <c r="C7" s="787"/>
      <c r="D7" s="788"/>
      <c r="E7" s="783" t="s">
        <v>638</v>
      </c>
      <c r="F7" s="784">
        <f ca="1">IF(INDIRECT("'数据-取费表'!ah"&amp;$G$1)="",INDIRECT("'数据-取费表'!k"&amp;$G$1),INDIRECT("'数据-取费表'!ah"&amp;$G$1))</f>
        <v>26123.5</v>
      </c>
      <c r="G7" s="1591"/>
      <c r="H7" s="2487"/>
      <c r="I7" s="3572"/>
      <c r="J7" s="787"/>
      <c r="K7" s="788"/>
      <c r="L7" s="783" t="s">
        <v>638</v>
      </c>
      <c r="M7" s="784">
        <f ca="1">F7</f>
        <v>26123.5</v>
      </c>
    </row>
    <row r="8" spans="1:33" ht="18" customHeight="1">
      <c r="A8" s="2491"/>
      <c r="B8" s="3573"/>
      <c r="C8" s="787"/>
      <c r="D8" s="788"/>
      <c r="E8" s="783" t="s">
        <v>639</v>
      </c>
      <c r="F8" s="784">
        <f ca="1">INDIRECT("'数据-取费表'!ai"&amp;$G$1)</f>
        <v>365</v>
      </c>
      <c r="G8" s="1591"/>
      <c r="H8" s="2487"/>
      <c r="I8" s="3573"/>
      <c r="J8" s="787"/>
      <c r="K8" s="788"/>
      <c r="L8" s="783" t="s">
        <v>639</v>
      </c>
      <c r="M8" s="784">
        <f ca="1">INDIRECT("'数据-取费表'!ai"&amp;$G$1)</f>
        <v>365</v>
      </c>
    </row>
    <row r="9" spans="1:33" ht="18" customHeight="1">
      <c r="A9" s="785"/>
      <c r="B9" s="3574"/>
      <c r="C9" s="787"/>
      <c r="D9" s="788"/>
      <c r="E9" s="783" t="s">
        <v>640</v>
      </c>
      <c r="F9" s="793">
        <f ca="1">INDIRECT("'数据-取费表'!w"&amp;$G$1)</f>
        <v>0.1</v>
      </c>
      <c r="G9" s="1591"/>
      <c r="H9" s="2503"/>
      <c r="I9" s="3573"/>
      <c r="J9" s="787"/>
      <c r="K9" s="788"/>
      <c r="L9" s="794" t="s">
        <v>640</v>
      </c>
      <c r="M9" s="795">
        <f ca="1">INDIRECT("'数据-取费表'!ab"&amp;$G$1)</f>
        <v>0</v>
      </c>
    </row>
    <row r="10" spans="1:33" ht="18" customHeight="1">
      <c r="A10" s="1828" t="s">
        <v>1826</v>
      </c>
      <c r="B10" s="2492" t="s">
        <v>2457</v>
      </c>
      <c r="C10" s="798">
        <f ca="1">ROUND(IF(F10="押一",C6/12*F11,IF(F10="押二",C6/12*2*F11,IF(F10="押三",C6/12*3*F11,C11*F11))),0)</f>
        <v>0</v>
      </c>
      <c r="D10" s="2499" t="s">
        <v>2962</v>
      </c>
      <c r="E10" s="2496" t="s">
        <v>2462</v>
      </c>
      <c r="F10" s="2619" t="s">
        <v>3301</v>
      </c>
      <c r="G10" s="1591"/>
      <c r="H10" s="2559" t="s">
        <v>1826</v>
      </c>
      <c r="I10" s="2564" t="s">
        <v>2457</v>
      </c>
      <c r="J10" s="782">
        <f ca="1">ROUND(IF(M10="押一",J6/12*M11,IF(M10="押二",J6/12*2*M11,IF(M10="押三",J6/12*3*M11,J11*M11))),0)</f>
        <v>0</v>
      </c>
      <c r="K10" s="2499" t="s">
        <v>2962</v>
      </c>
      <c r="L10" s="2496" t="s">
        <v>2462</v>
      </c>
      <c r="M10" s="2619"/>
    </row>
    <row r="11" spans="1:33" ht="18" customHeight="1">
      <c r="A11" s="789"/>
      <c r="B11" s="2493" t="s">
        <v>2571</v>
      </c>
      <c r="C11" s="2497"/>
      <c r="D11" s="788"/>
      <c r="E11" s="2496" t="s">
        <v>2454</v>
      </c>
      <c r="F11" s="795">
        <f ca="1">'数据-取费表'!B39</f>
        <v>1.4999999999999999E-2</v>
      </c>
      <c r="G11" s="1591"/>
      <c r="H11" s="2560"/>
      <c r="I11" s="2493" t="s">
        <v>2571</v>
      </c>
      <c r="J11" s="2497"/>
      <c r="K11" s="2561"/>
      <c r="L11" s="2496" t="s">
        <v>2454</v>
      </c>
      <c r="M11" s="2490">
        <f ca="1">'数据-取费表'!B39</f>
        <v>1.4999999999999999E-2</v>
      </c>
    </row>
    <row r="12" spans="1:33" ht="18" customHeight="1" thickBot="1">
      <c r="A12" s="2535" t="s">
        <v>2465</v>
      </c>
      <c r="B12" s="2536" t="s">
        <v>2458</v>
      </c>
      <c r="C12" s="2537"/>
      <c r="D12" s="2538"/>
      <c r="E12" s="2539"/>
      <c r="F12" s="2540"/>
      <c r="G12" s="1591"/>
      <c r="H12" s="2549" t="s">
        <v>2465</v>
      </c>
      <c r="I12" s="2562" t="s">
        <v>2458</v>
      </c>
      <c r="J12" s="2563"/>
      <c r="K12" s="2538"/>
      <c r="L12" s="2539"/>
      <c r="M12" s="2552"/>
    </row>
    <row r="13" spans="1:33" ht="18" customHeight="1" thickTop="1">
      <c r="A13" s="1827">
        <v>2</v>
      </c>
      <c r="B13" s="1825" t="s">
        <v>644</v>
      </c>
      <c r="C13" s="791">
        <f ca="1">ROUND(C29*F13,0)</f>
        <v>9256</v>
      </c>
      <c r="D13" s="1832" t="s">
        <v>2297</v>
      </c>
      <c r="E13" s="1832" t="s">
        <v>643</v>
      </c>
      <c r="F13" s="2534">
        <f ca="1">INDIRECT("'数据-取费表'!y"&amp;$G$1)</f>
        <v>1</v>
      </c>
      <c r="G13" s="1591"/>
      <c r="H13" s="1827">
        <v>2</v>
      </c>
      <c r="I13" s="1825" t="s">
        <v>644</v>
      </c>
      <c r="J13" s="1817">
        <f ca="1">ROUND(J14*J15,0)</f>
        <v>0</v>
      </c>
      <c r="K13" s="1819" t="s">
        <v>642</v>
      </c>
      <c r="L13" s="2550"/>
      <c r="M13" s="2551"/>
    </row>
    <row r="14" spans="1:33" ht="18" customHeight="1">
      <c r="A14" s="1647" t="s">
        <v>1832</v>
      </c>
      <c r="B14" s="783" t="s">
        <v>645</v>
      </c>
      <c r="C14" s="803">
        <f ca="1">INDIRECT("'数据-取费表'!m"&amp;$G$1)+INDIRECT("'数据-取费表'!t"&amp;$G$1)</f>
        <v>6783</v>
      </c>
      <c r="D14" s="3211" t="s">
        <v>646</v>
      </c>
      <c r="E14" s="3210"/>
      <c r="F14" s="804"/>
      <c r="G14" s="1591"/>
      <c r="H14" s="1648" t="s">
        <v>1825</v>
      </c>
      <c r="I14" s="2229" t="s">
        <v>2822</v>
      </c>
      <c r="J14" s="53">
        <f ca="1">C29</f>
        <v>9256</v>
      </c>
      <c r="K14" s="26"/>
      <c r="L14" s="800"/>
      <c r="M14" s="801"/>
    </row>
    <row r="15" spans="1:33" s="2062" customFormat="1" ht="18" customHeight="1" thickBot="1">
      <c r="A15" s="1647" t="s">
        <v>1833</v>
      </c>
      <c r="B15" s="783" t="s">
        <v>647</v>
      </c>
      <c r="C15" s="53">
        <f ca="1">ROUND(C14*F15,0)</f>
        <v>203</v>
      </c>
      <c r="D15" s="805" t="s">
        <v>648</v>
      </c>
      <c r="E15" s="805" t="s">
        <v>649</v>
      </c>
      <c r="F15" s="806">
        <f>'数据-取费表'!B33</f>
        <v>0.03</v>
      </c>
      <c r="G15" s="1592"/>
      <c r="H15" s="2549" t="s">
        <v>1890</v>
      </c>
      <c r="I15" s="2544" t="s">
        <v>643</v>
      </c>
      <c r="J15" s="2553">
        <f ca="1">INDIRECT("'数据-取费表'!ad"&amp;$G$1)</f>
        <v>0</v>
      </c>
      <c r="K15" s="2554"/>
      <c r="L15" s="2555"/>
      <c r="M15" s="2556"/>
      <c r="N15" s="2061"/>
      <c r="O15" s="2061"/>
      <c r="P15" s="2061"/>
      <c r="Q15" s="2391"/>
      <c r="R15" s="2061"/>
      <c r="S15" s="2061"/>
      <c r="T15" s="2061"/>
      <c r="U15" s="2061"/>
      <c r="V15" s="2061"/>
      <c r="W15" s="2061"/>
      <c r="X15" s="2061"/>
      <c r="Y15" s="2061"/>
      <c r="Z15" s="2061"/>
      <c r="AA15" s="2061"/>
      <c r="AB15" s="2061"/>
      <c r="AC15" s="2061"/>
      <c r="AD15" s="2061"/>
      <c r="AE15" s="2061"/>
      <c r="AF15" s="2061"/>
      <c r="AG15" s="2061"/>
    </row>
    <row r="16" spans="1:33" ht="18" customHeight="1" thickTop="1">
      <c r="A16" s="1647" t="s">
        <v>1834</v>
      </c>
      <c r="B16" s="783" t="s">
        <v>650</v>
      </c>
      <c r="C16" s="53">
        <f ca="1">ROUND(INDIRECT("'数据-取费表'!m"&amp;$G$1)*F16,0)</f>
        <v>0</v>
      </c>
      <c r="D16" s="783" t="s">
        <v>648</v>
      </c>
      <c r="E16" s="783" t="s">
        <v>649</v>
      </c>
      <c r="F16" s="808">
        <f ca="1">IF(INDIRECT("'数据-取费表'!c"&amp;$G$1)="住宅",'数据-取费表'!B34,0)</f>
        <v>0</v>
      </c>
      <c r="G16" s="1591"/>
      <c r="H16" s="1827" t="s">
        <v>7</v>
      </c>
      <c r="I16" s="1825" t="s">
        <v>651</v>
      </c>
      <c r="J16" s="791">
        <f ca="1">ROUND(J17+J22+J23+J24,0)</f>
        <v>919</v>
      </c>
      <c r="K16" s="1819" t="s">
        <v>652</v>
      </c>
      <c r="L16" s="3213"/>
      <c r="M16" s="2489"/>
    </row>
    <row r="17" spans="1:33" s="2062" customFormat="1" ht="18" customHeight="1">
      <c r="A17" s="1647" t="s">
        <v>1888</v>
      </c>
      <c r="B17" s="783" t="s">
        <v>653</v>
      </c>
      <c r="C17" s="53">
        <f ca="1">ROUND(F17*(F43+INDIRECT("'数据-取费表'!S"&amp;$G$1))/10000,0)</f>
        <v>565</v>
      </c>
      <c r="D17" s="783" t="s">
        <v>654</v>
      </c>
      <c r="E17" s="783" t="s">
        <v>655</v>
      </c>
      <c r="F17" s="56">
        <f>'数据-取费表'!B35</f>
        <v>200</v>
      </c>
      <c r="G17" s="1592"/>
      <c r="H17" s="1648" t="s">
        <v>1825</v>
      </c>
      <c r="I17" s="783" t="s">
        <v>656</v>
      </c>
      <c r="J17" s="53">
        <f ca="1">ROUND(IF(项目基本情况!B11="自然人",J5*M17,J18+J19+J20),0)</f>
        <v>780</v>
      </c>
      <c r="K17" s="3211" t="s">
        <v>657</v>
      </c>
      <c r="L17" s="3212" t="s">
        <v>658</v>
      </c>
      <c r="M17" s="809" t="str">
        <f ca="1">IF(项目基本情况!B11="企业","",IF(INDIRECT("'数据-取费表'!c"&amp;$G$1)="住宅",5%,IF(M6*M7*M8/12/(1+'数据-取费表'!C42)&gt;20000,12%,7%)))</f>
        <v/>
      </c>
      <c r="N17" s="2061"/>
      <c r="O17" s="2061"/>
      <c r="P17" s="2061"/>
      <c r="Q17" s="2391"/>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7" t="s">
        <v>1889</v>
      </c>
      <c r="B18" s="783" t="s">
        <v>659</v>
      </c>
      <c r="C18" s="53">
        <f ca="1">ROUND(C14*F18,0)</f>
        <v>102</v>
      </c>
      <c r="D18" s="783" t="s">
        <v>648</v>
      </c>
      <c r="E18" s="783" t="s">
        <v>649</v>
      </c>
      <c r="F18" s="808">
        <f>'数据-取费表'!B36</f>
        <v>1.4999999999999999E-2</v>
      </c>
      <c r="G18" s="1592"/>
      <c r="H18" s="1647" t="s">
        <v>1832</v>
      </c>
      <c r="I18" s="783" t="s">
        <v>660</v>
      </c>
      <c r="J18" s="53">
        <f ca="1">ROUND(J5*M18/1.05,1)</f>
        <v>0</v>
      </c>
      <c r="K18" s="3212" t="s">
        <v>661</v>
      </c>
      <c r="L18" s="783" t="s">
        <v>649</v>
      </c>
      <c r="M18" s="808">
        <f>'数据-取费表'!B41</f>
        <v>5.5000000000000007E-2</v>
      </c>
      <c r="N18" s="2061"/>
      <c r="O18" s="2061"/>
      <c r="P18" s="2061"/>
      <c r="Q18" s="2391"/>
      <c r="R18" s="2061"/>
      <c r="S18" s="2061"/>
      <c r="T18" s="2061"/>
      <c r="U18" s="2061"/>
      <c r="V18" s="2061"/>
      <c r="W18" s="2061"/>
      <c r="X18" s="2061"/>
      <c r="Y18" s="2061"/>
      <c r="Z18" s="2061"/>
      <c r="AA18" s="2061"/>
      <c r="AB18" s="2061"/>
      <c r="AC18" s="2061"/>
      <c r="AD18" s="2061"/>
      <c r="AE18" s="2061"/>
      <c r="AF18" s="2061"/>
      <c r="AG18" s="2061"/>
    </row>
    <row r="19" spans="1:33" ht="18" customHeight="1">
      <c r="A19" s="1648" t="s">
        <v>1825</v>
      </c>
      <c r="B19" s="783" t="s">
        <v>662</v>
      </c>
      <c r="C19" s="53">
        <f ca="1">SUM(C14:C18)</f>
        <v>7653</v>
      </c>
      <c r="D19" s="260" t="s">
        <v>663</v>
      </c>
      <c r="E19" s="3214"/>
      <c r="F19" s="56"/>
      <c r="G19" s="1591"/>
      <c r="H19" s="1647" t="s">
        <v>1833</v>
      </c>
      <c r="I19" s="783" t="s">
        <v>664</v>
      </c>
      <c r="J19" s="53">
        <f ca="1">IF(K19="按租金收入计税",ROUND(J5*M19,1),ROUND(C29*F33*0.7,1))</f>
        <v>777.5</v>
      </c>
      <c r="K19" s="810" t="s">
        <v>665</v>
      </c>
      <c r="L19" s="783" t="s">
        <v>649</v>
      </c>
      <c r="M19" s="808">
        <f>IF(K19="按租金收入计税",'数据-取费表'!B51,'数据-取费表'!B50)</f>
        <v>1.2E-2</v>
      </c>
    </row>
    <row r="20" spans="1:33" s="2062" customFormat="1" ht="18" customHeight="1">
      <c r="A20" s="1648" t="s">
        <v>1890</v>
      </c>
      <c r="B20" s="783" t="s">
        <v>666</v>
      </c>
      <c r="C20" s="53">
        <f ca="1">ROUND(C19*F20,0)</f>
        <v>153</v>
      </c>
      <c r="D20" s="811" t="s">
        <v>667</v>
      </c>
      <c r="E20" s="783" t="s">
        <v>649</v>
      </c>
      <c r="F20" s="808">
        <f>'数据-取费表'!B37</f>
        <v>0.02</v>
      </c>
      <c r="G20" s="1592"/>
      <c r="H20" s="1650" t="s">
        <v>1881</v>
      </c>
      <c r="I20" s="340" t="s">
        <v>668</v>
      </c>
      <c r="J20" s="54">
        <f ca="1">ROUND(M20*M21/10000,0)</f>
        <v>2</v>
      </c>
      <c r="K20" s="813" t="s">
        <v>669</v>
      </c>
      <c r="L20" s="783" t="s">
        <v>670</v>
      </c>
      <c r="M20" s="639">
        <f>'数据-取费表'!B52</f>
        <v>1.5</v>
      </c>
      <c r="N20" s="2061"/>
      <c r="O20" s="2061"/>
      <c r="P20" s="2061"/>
      <c r="Q20" s="2391"/>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8" t="s">
        <v>1891</v>
      </c>
      <c r="B21" s="783" t="s">
        <v>671</v>
      </c>
      <c r="C21" s="53" t="s">
        <v>1</v>
      </c>
      <c r="D21" s="811" t="s">
        <v>2298</v>
      </c>
      <c r="E21" s="783" t="s">
        <v>673</v>
      </c>
      <c r="F21" s="808">
        <f>'数据-取费表'!B38</f>
        <v>0.02</v>
      </c>
      <c r="G21" s="1592"/>
      <c r="H21" s="2504"/>
      <c r="I21" s="792"/>
      <c r="J21" s="69"/>
      <c r="K21" s="815"/>
      <c r="L21" s="783" t="s">
        <v>674</v>
      </c>
      <c r="M21" s="784">
        <f ca="1">INDIRECT("'数据-取费表'!r"&amp;$G$1)</f>
        <v>10665.53</v>
      </c>
      <c r="N21" s="2061"/>
      <c r="O21" s="2061"/>
      <c r="P21" s="2061"/>
      <c r="Q21" s="2391"/>
      <c r="R21" s="2061"/>
      <c r="S21" s="2061"/>
      <c r="T21" s="2061"/>
      <c r="U21" s="2061"/>
      <c r="V21" s="2061"/>
      <c r="W21" s="2061"/>
      <c r="X21" s="2061"/>
      <c r="Y21" s="2061"/>
      <c r="Z21" s="2061"/>
      <c r="AA21" s="2061"/>
      <c r="AB21" s="2061"/>
      <c r="AC21" s="2061"/>
      <c r="AD21" s="2061"/>
      <c r="AE21" s="2061"/>
      <c r="AF21" s="2061"/>
      <c r="AG21" s="2061"/>
    </row>
    <row r="22" spans="1:33" ht="18" customHeight="1">
      <c r="A22" s="1648" t="s">
        <v>1892</v>
      </c>
      <c r="B22" s="783" t="s">
        <v>675</v>
      </c>
      <c r="C22" s="53"/>
      <c r="D22" s="2570" t="str">
        <f>IF(F23&lt;=1,"单利计息。","复利计息。")&amp;"建造成本、管理费用、销售费用产生的利息。"</f>
        <v>复利计息。建造成本、管理费用、销售费用产生的利息。</v>
      </c>
      <c r="E22" s="3214"/>
      <c r="F22" s="56"/>
      <c r="G22" s="1591"/>
      <c r="H22" s="1648" t="s">
        <v>1890</v>
      </c>
      <c r="I22" s="783" t="s">
        <v>676</v>
      </c>
      <c r="J22" s="53">
        <f ca="1">ROUND(J14*M22,0)</f>
        <v>139</v>
      </c>
      <c r="K22" s="3212" t="s">
        <v>677</v>
      </c>
      <c r="L22" s="783" t="s">
        <v>649</v>
      </c>
      <c r="M22" s="816">
        <f ca="1">INDIRECT("'数据-取费表'!Ak"&amp;$G$1)</f>
        <v>1.4999999999999999E-2</v>
      </c>
    </row>
    <row r="23" spans="1:33" s="2062" customFormat="1" ht="18" customHeight="1">
      <c r="A23" s="1647" t="s">
        <v>1832</v>
      </c>
      <c r="B23" s="783" t="s">
        <v>2435</v>
      </c>
      <c r="C23" s="53">
        <f ca="1">ROUND(IF('数据-取费表'!B22&lt;=1,(C19+C20)*F24*F23/2,(C19+C20)*(POWER((1+F24),F23/2)-1)),0)</f>
        <v>371</v>
      </c>
      <c r="D23" s="2569" t="str">
        <f>IF(F23&lt;=1,"(建造成本+管理费用)×利率×(建设周期÷2)","(建造成本+管理费用)×((1+利率)^(建设周期÷2)-1)")</f>
        <v>(建造成本+管理费用)×((1+利率)^(建设周期÷2)-1)</v>
      </c>
      <c r="E23" s="783" t="s">
        <v>678</v>
      </c>
      <c r="F23" s="639">
        <f>'数据-取费表'!B20</f>
        <v>2</v>
      </c>
      <c r="G23" s="1592"/>
      <c r="H23" s="1648" t="s">
        <v>1891</v>
      </c>
      <c r="I23" s="783" t="s">
        <v>679</v>
      </c>
      <c r="J23" s="53">
        <f ca="1">ROUND(J13*M23,0)</f>
        <v>0</v>
      </c>
      <c r="K23" s="3212" t="s">
        <v>680</v>
      </c>
      <c r="L23" s="783" t="s">
        <v>649</v>
      </c>
      <c r="M23" s="817">
        <f ca="1">INDIRECT("'数据-取费表'!Al"&amp;$G$1)</f>
        <v>1.5E-3</v>
      </c>
      <c r="N23" s="2061"/>
      <c r="O23" s="2061"/>
      <c r="P23" s="2061"/>
      <c r="Q23" s="2391"/>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7" t="s">
        <v>1833</v>
      </c>
      <c r="B24" s="783" t="s">
        <v>681</v>
      </c>
      <c r="C24" s="53">
        <f ca="1">ROUND(IF('数据-取费表'!B22&lt;=1,F21*F24*F23/2,F21*(POWER((1+F24),F23/2)-1)),4)</f>
        <v>1E-3</v>
      </c>
      <c r="D24" s="2569" t="str">
        <f>IF(F23&lt;=1,"销售费用×利率×(建设周期÷2)","销售费用×((1+利率)^(建设周期÷2)-1)")</f>
        <v>销售费用×((1+利率)^(建设周期÷2)-1)</v>
      </c>
      <c r="E24" s="783" t="s">
        <v>682</v>
      </c>
      <c r="F24" s="818">
        <f ca="1">'数据-取费表'!B40</f>
        <v>4.7500000000000001E-2</v>
      </c>
      <c r="G24" s="1592"/>
      <c r="H24" s="2549" t="s">
        <v>1892</v>
      </c>
      <c r="I24" s="2544" t="s">
        <v>666</v>
      </c>
      <c r="J24" s="2542">
        <f ca="1">ROUND(J5*M24,0)</f>
        <v>0</v>
      </c>
      <c r="K24" s="2543" t="s">
        <v>683</v>
      </c>
      <c r="L24" s="2544" t="s">
        <v>649</v>
      </c>
      <c r="M24" s="2540">
        <f ca="1">INDIRECT("'数据-取费表'!Am"&amp;$G$1)</f>
        <v>1.4999999999999999E-2</v>
      </c>
      <c r="N24" s="2061"/>
      <c r="O24" s="2061"/>
      <c r="P24" s="2061"/>
      <c r="Q24" s="2391"/>
      <c r="R24" s="2061"/>
      <c r="S24" s="2061"/>
      <c r="T24" s="2061"/>
      <c r="U24" s="2061"/>
      <c r="V24" s="2061"/>
      <c r="W24" s="2061"/>
      <c r="X24" s="2061"/>
      <c r="Y24" s="2061"/>
      <c r="Z24" s="2061"/>
      <c r="AA24" s="2061"/>
      <c r="AB24" s="2061"/>
      <c r="AC24" s="2061"/>
      <c r="AD24" s="2061"/>
      <c r="AE24" s="2061"/>
      <c r="AF24" s="2061"/>
      <c r="AG24" s="2061"/>
    </row>
    <row r="25" spans="1:33" ht="18" customHeight="1" thickTop="1">
      <c r="A25" s="1649" t="s">
        <v>1841</v>
      </c>
      <c r="B25" s="783" t="s">
        <v>684</v>
      </c>
      <c r="C25" s="53"/>
      <c r="D25" s="260" t="s">
        <v>685</v>
      </c>
      <c r="E25" s="3214"/>
      <c r="F25" s="56"/>
      <c r="G25" s="1591"/>
      <c r="H25" s="1827" t="s">
        <v>1777</v>
      </c>
      <c r="I25" s="3007" t="s">
        <v>2819</v>
      </c>
      <c r="J25" s="791">
        <f ca="1">J5-J16</f>
        <v>-919</v>
      </c>
      <c r="K25" s="2546" t="s">
        <v>700</v>
      </c>
      <c r="L25" s="2547"/>
      <c r="M25" s="2548"/>
    </row>
    <row r="26" spans="1:33" ht="18" customHeight="1">
      <c r="A26" s="1647" t="s">
        <v>1832</v>
      </c>
      <c r="B26" s="783" t="s">
        <v>2436</v>
      </c>
      <c r="C26" s="53">
        <f ca="1">ROUND((C19+C20)*F26,0)</f>
        <v>390</v>
      </c>
      <c r="D26" s="811" t="s">
        <v>701</v>
      </c>
      <c r="E26" s="794" t="s">
        <v>702</v>
      </c>
      <c r="F26" s="793">
        <f ca="1">INDIRECT("'数据-取费表'!q"&amp;$G$1)</f>
        <v>0.05</v>
      </c>
      <c r="G26" s="1591"/>
      <c r="H26" s="2500" t="s">
        <v>1781</v>
      </c>
      <c r="I26" s="2230" t="s">
        <v>2824</v>
      </c>
      <c r="J26" s="782">
        <f ca="1">IF(J5&lt;&gt;0,ROUND(J25*(1-((1+M28)/(1+M26))^M27)/(M26-M28),0),0)</f>
        <v>0</v>
      </c>
      <c r="K26" s="813" t="s">
        <v>704</v>
      </c>
      <c r="L26" s="783" t="s">
        <v>2417</v>
      </c>
      <c r="M26" s="793">
        <f ca="1">INDIRECT("'数据-取费表'!I"&amp;$G$1)</f>
        <v>0.05</v>
      </c>
    </row>
    <row r="27" spans="1:33" ht="18" customHeight="1">
      <c r="A27" s="1647" t="s">
        <v>1833</v>
      </c>
      <c r="B27" s="783" t="s">
        <v>686</v>
      </c>
      <c r="C27" s="53">
        <f ca="1">ROUND(F21*F26,4)</f>
        <v>1E-3</v>
      </c>
      <c r="D27" s="811" t="s">
        <v>706</v>
      </c>
      <c r="E27" s="805"/>
      <c r="F27" s="806"/>
      <c r="G27" s="1591"/>
      <c r="H27" s="2501"/>
      <c r="I27" s="786"/>
      <c r="J27" s="787"/>
      <c r="K27" s="820" t="s">
        <v>707</v>
      </c>
      <c r="L27" s="783" t="s">
        <v>708</v>
      </c>
      <c r="M27" s="821">
        <f ca="1">INDIRECT("'数据-取费表'!ag"&amp;$G$1)</f>
        <v>0</v>
      </c>
    </row>
    <row r="28" spans="1:33" s="2062" customFormat="1" ht="18" customHeight="1">
      <c r="A28" s="1649" t="s">
        <v>1842</v>
      </c>
      <c r="B28" s="783" t="s">
        <v>687</v>
      </c>
      <c r="C28" s="53">
        <f>ROUND(F28/(1+'数据-取费表'!C42),4)</f>
        <v>5.2400000000000002E-2</v>
      </c>
      <c r="D28" s="811" t="s">
        <v>2299</v>
      </c>
      <c r="E28" s="783" t="s">
        <v>649</v>
      </c>
      <c r="F28" s="808">
        <f>'数据-取费表'!B41</f>
        <v>5.5000000000000007E-2</v>
      </c>
      <c r="G28" s="1592"/>
      <c r="H28" s="1827"/>
      <c r="I28" s="790"/>
      <c r="J28" s="791"/>
      <c r="K28" s="815"/>
      <c r="L28" s="783" t="s">
        <v>710</v>
      </c>
      <c r="M28" s="793">
        <f ca="1">INDIRECT("'数据-取费表'!aa"&amp;$G$1)</f>
        <v>0</v>
      </c>
      <c r="N28" s="2061"/>
      <c r="O28" s="2061"/>
      <c r="P28" s="2061"/>
      <c r="Q28" s="2391"/>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41" t="s">
        <v>1893</v>
      </c>
      <c r="B29" s="2539" t="s">
        <v>2300</v>
      </c>
      <c r="C29" s="2542">
        <f ca="1">ROUND((C19+C20+C23+C26)/(1-F21-C24-C27-C28),0)</f>
        <v>9256</v>
      </c>
      <c r="D29" s="2543"/>
      <c r="E29" s="2544"/>
      <c r="F29" s="2545"/>
      <c r="G29" s="1592"/>
      <c r="H29" s="822" t="s">
        <v>1788</v>
      </c>
      <c r="I29" s="823" t="s">
        <v>1789</v>
      </c>
      <c r="J29" s="824">
        <f ca="1">ROUND(J26/(1+F40)^F41,0)</f>
        <v>0</v>
      </c>
      <c r="K29" s="825" t="s">
        <v>1790</v>
      </c>
      <c r="L29" s="826"/>
      <c r="M29" s="827">
        <f ca="1">INDIRECT("'数据-取费表'!k"&amp;$G$1)</f>
        <v>26123.5</v>
      </c>
      <c r="N29" s="2061"/>
      <c r="O29" s="2061"/>
      <c r="P29" s="2061"/>
      <c r="Q29" s="2391"/>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7</v>
      </c>
      <c r="B30" s="1825" t="s">
        <v>1791</v>
      </c>
      <c r="C30" s="791">
        <f ca="1">ROUND(C31+C36+C37+C38,0)</f>
        <v>315</v>
      </c>
      <c r="D30" s="1819" t="s">
        <v>652</v>
      </c>
      <c r="E30" s="3213"/>
      <c r="F30" s="2489"/>
      <c r="G30" s="2060"/>
      <c r="H30" s="2063"/>
      <c r="I30" s="2064"/>
      <c r="J30" s="2065"/>
      <c r="K30" s="2066"/>
      <c r="L30" s="2067"/>
      <c r="M30" s="2068"/>
    </row>
    <row r="31" spans="1:33" ht="18" customHeight="1">
      <c r="A31" s="1648" t="s">
        <v>1825</v>
      </c>
      <c r="B31" s="783" t="s">
        <v>656</v>
      </c>
      <c r="C31" s="53">
        <f ca="1">ROUND(IF(项目基本情况!B11="自然人",C5*F31,C32+C33+C34),1)</f>
        <v>149.5</v>
      </c>
      <c r="D31" s="3211" t="s">
        <v>657</v>
      </c>
      <c r="E31" s="3212" t="s">
        <v>690</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7" t="s">
        <v>1832</v>
      </c>
      <c r="B32" s="783" t="s">
        <v>660</v>
      </c>
      <c r="C32" s="53">
        <f ca="1">ROUND(C5*F32/1.05,1)</f>
        <v>44.9</v>
      </c>
      <c r="D32" s="3212" t="s">
        <v>661</v>
      </c>
      <c r="E32" s="783" t="s">
        <v>649</v>
      </c>
      <c r="F32" s="808">
        <f>'数据-取费表'!B41</f>
        <v>5.5000000000000007E-2</v>
      </c>
      <c r="G32" s="2060"/>
      <c r="H32" s="2069"/>
      <c r="I32" s="2070"/>
      <c r="J32" s="2071"/>
      <c r="K32" s="2072"/>
      <c r="L32" s="2073"/>
      <c r="M32" s="2074"/>
    </row>
    <row r="33" spans="1:18" ht="18" customHeight="1">
      <c r="A33" s="1647" t="s">
        <v>1833</v>
      </c>
      <c r="B33" s="783" t="s">
        <v>664</v>
      </c>
      <c r="C33" s="53">
        <f ca="1">IF(D33="按租金收入计税",ROUND(C5*F33,1),IF(D33="按房产原值计税",ROUND(C29*F33*0.7,1),INDIRECT("'数据-取费表'!Aj"&amp;$G$1)))</f>
        <v>103</v>
      </c>
      <c r="D33" s="810" t="s">
        <v>3235</v>
      </c>
      <c r="E33" s="783" t="s">
        <v>649</v>
      </c>
      <c r="F33" s="808">
        <f>IF(D33="按租金收入计税",'数据-取费表'!B51,'数据-取费表'!B50)</f>
        <v>0.12</v>
      </c>
      <c r="G33" s="2060"/>
      <c r="H33" s="2075"/>
      <c r="I33" s="2075"/>
      <c r="J33" s="2075"/>
      <c r="K33" s="2076"/>
      <c r="L33" s="2075"/>
      <c r="M33" s="2075"/>
    </row>
    <row r="34" spans="1:18" ht="18" customHeight="1">
      <c r="A34" s="1650" t="s">
        <v>1834</v>
      </c>
      <c r="B34" s="340" t="s">
        <v>668</v>
      </c>
      <c r="C34" s="54">
        <f ca="1">ROUND(F34*F35/10000,1)</f>
        <v>1.6</v>
      </c>
      <c r="D34" s="813" t="s">
        <v>669</v>
      </c>
      <c r="E34" s="783" t="s">
        <v>670</v>
      </c>
      <c r="F34" s="639">
        <f>'数据-取费表'!B52</f>
        <v>1.5</v>
      </c>
      <c r="G34" s="2060"/>
      <c r="H34" s="2063"/>
      <c r="I34" s="834" t="s">
        <v>1814</v>
      </c>
      <c r="J34" s="835"/>
      <c r="K34" s="2078"/>
      <c r="L34" s="2077"/>
      <c r="M34" s="2077"/>
    </row>
    <row r="35" spans="1:18" ht="18" customHeight="1">
      <c r="A35" s="814"/>
      <c r="B35" s="792"/>
      <c r="C35" s="69"/>
      <c r="D35" s="815"/>
      <c r="E35" s="783" t="s">
        <v>674</v>
      </c>
      <c r="F35" s="784">
        <f ca="1">INDIRECT("'数据-取费表'!r"&amp;$G$1)</f>
        <v>10665.53</v>
      </c>
      <c r="G35" s="2060"/>
      <c r="H35" s="2063"/>
      <c r="I35" s="836" t="s">
        <v>1815</v>
      </c>
      <c r="J35" s="837">
        <f ca="1">ROUND(C13*J36,0)</f>
        <v>787</v>
      </c>
      <c r="K35" s="2076"/>
      <c r="L35" s="2075"/>
      <c r="M35" s="2075"/>
    </row>
    <row r="36" spans="1:18" ht="18" customHeight="1">
      <c r="A36" s="1648" t="s">
        <v>1890</v>
      </c>
      <c r="B36" s="783" t="s">
        <v>676</v>
      </c>
      <c r="C36" s="53">
        <f ca="1">ROUND(C29*F36,1)</f>
        <v>138.80000000000001</v>
      </c>
      <c r="D36" s="3212" t="s">
        <v>691</v>
      </c>
      <c r="E36" s="783" t="s">
        <v>649</v>
      </c>
      <c r="F36" s="816">
        <f ca="1">INDIRECT("'数据-取费表'!Ak"&amp;$G$1)</f>
        <v>1.4999999999999999E-2</v>
      </c>
      <c r="G36" s="2060"/>
      <c r="H36" s="2075"/>
      <c r="I36" s="838" t="s">
        <v>1816</v>
      </c>
      <c r="J36" s="839">
        <f ca="1">INDIRECT("'数据-取费表'!j"&amp;$G$1)</f>
        <v>8.5000000000000006E-2</v>
      </c>
      <c r="K36" s="2080"/>
      <c r="L36" s="2075"/>
      <c r="M36" s="2075"/>
    </row>
    <row r="37" spans="1:18" ht="18" customHeight="1">
      <c r="A37" s="1648" t="s">
        <v>1891</v>
      </c>
      <c r="B37" s="783" t="s">
        <v>679</v>
      </c>
      <c r="C37" s="53">
        <f ca="1">ROUND(C13*F37,1)</f>
        <v>13.9</v>
      </c>
      <c r="D37" s="3212" t="s">
        <v>680</v>
      </c>
      <c r="E37" s="783" t="s">
        <v>649</v>
      </c>
      <c r="F37" s="817">
        <f ca="1">INDIRECT("'数据-取费表'!Al"&amp;$G$1)</f>
        <v>1.5E-3</v>
      </c>
      <c r="G37" s="2060"/>
      <c r="H37" s="2075"/>
      <c r="I37" s="840" t="s">
        <v>1817</v>
      </c>
      <c r="J37" s="841"/>
      <c r="K37" s="2080"/>
      <c r="L37" s="2075"/>
      <c r="M37" s="2075"/>
    </row>
    <row r="38" spans="1:18" ht="18" customHeight="1" thickBot="1">
      <c r="A38" s="2549" t="s">
        <v>1892</v>
      </c>
      <c r="B38" s="2544" t="s">
        <v>666</v>
      </c>
      <c r="C38" s="2542">
        <f ca="1">ROUND(C5*F38,1)</f>
        <v>12.9</v>
      </c>
      <c r="D38" s="2543" t="s">
        <v>683</v>
      </c>
      <c r="E38" s="2544" t="s">
        <v>649</v>
      </c>
      <c r="F38" s="2540">
        <f ca="1">INDIRECT("'数据-取费表'!Am"&amp;$G$1)</f>
        <v>1.4999999999999999E-2</v>
      </c>
      <c r="G38" s="2060"/>
      <c r="H38" s="2075"/>
      <c r="I38" s="842" t="s">
        <v>1818</v>
      </c>
      <c r="J38" s="843"/>
      <c r="K38" s="2081"/>
      <c r="L38" s="2075"/>
      <c r="M38" s="2075"/>
    </row>
    <row r="39" spans="1:18" ht="24.6" customHeight="1" thickTop="1">
      <c r="A39" s="1827" t="s">
        <v>1777</v>
      </c>
      <c r="B39" s="3007" t="s">
        <v>2819</v>
      </c>
      <c r="C39" s="791">
        <f ca="1">C5-C30</f>
        <v>543</v>
      </c>
      <c r="D39" s="2546" t="s">
        <v>700</v>
      </c>
      <c r="E39" s="2547"/>
      <c r="F39" s="2548"/>
      <c r="G39" s="2060"/>
      <c r="H39" s="2075"/>
      <c r="I39" s="836" t="s">
        <v>1819</v>
      </c>
      <c r="J39" s="844">
        <f ca="1">ROUND(J35/C39,3)</f>
        <v>1.4490000000000001</v>
      </c>
      <c r="K39" s="2081"/>
      <c r="L39" s="2075"/>
      <c r="M39" s="2075"/>
    </row>
    <row r="40" spans="1:18" ht="18" customHeight="1">
      <c r="A40" s="780" t="s">
        <v>1781</v>
      </c>
      <c r="B40" s="2230" t="s">
        <v>2301</v>
      </c>
      <c r="C40" s="782">
        <f ca="1">ROUND(C39*(1-((1+F42)/(1+F40))^F41)/(F40-F42),0)</f>
        <v>16082</v>
      </c>
      <c r="D40" s="813" t="s">
        <v>704</v>
      </c>
      <c r="E40" s="783" t="s">
        <v>2417</v>
      </c>
      <c r="F40" s="793">
        <f ca="1">INDIRECT("'数据-取费表'!I"&amp;$G$1)</f>
        <v>0.05</v>
      </c>
      <c r="G40" s="2060"/>
      <c r="H40" s="2060"/>
      <c r="I40" s="836" t="s">
        <v>1820</v>
      </c>
      <c r="J40" s="844">
        <f ca="1">1-J39</f>
        <v>-0.44900000000000007</v>
      </c>
      <c r="K40" s="2081"/>
      <c r="L40" s="2060"/>
      <c r="M40" s="2060"/>
    </row>
    <row r="41" spans="1:18" ht="18" customHeight="1">
      <c r="A41" s="785"/>
      <c r="B41" s="786"/>
      <c r="C41" s="787"/>
      <c r="D41" s="820" t="s">
        <v>1809</v>
      </c>
      <c r="E41" s="783" t="s">
        <v>708</v>
      </c>
      <c r="F41" s="821">
        <f ca="1">IF(INDIRECT("'数据-取费表'!af"&amp;$G$1)=0,INDIRECT("'数据-取费表'!ae"&amp;$G$1),INDIRECT("'数据-取费表'!af"&amp;$G$1))</f>
        <v>46.66</v>
      </c>
      <c r="G41" s="2060"/>
      <c r="H41" s="1986"/>
      <c r="I41" s="842" t="s">
        <v>1821</v>
      </c>
      <c r="J41" s="845"/>
      <c r="K41" s="2080"/>
      <c r="L41" s="1986"/>
      <c r="M41" s="1986"/>
    </row>
    <row r="42" spans="1:18" ht="18" customHeight="1">
      <c r="A42" s="789"/>
      <c r="B42" s="790"/>
      <c r="C42" s="791"/>
      <c r="D42" s="815"/>
      <c r="E42" s="783" t="s">
        <v>710</v>
      </c>
      <c r="F42" s="793">
        <f ca="1">INDIRECT("'数据-取费表'!v"&amp;$G$1)</f>
        <v>0.03</v>
      </c>
      <c r="G42" s="2060"/>
      <c r="H42" s="1986"/>
      <c r="I42" s="846" t="s">
        <v>1822</v>
      </c>
      <c r="J42" s="844">
        <f ca="1">ROUND(C13/C40,3)</f>
        <v>0.57599999999999996</v>
      </c>
      <c r="K42" s="2080"/>
      <c r="L42" s="1986"/>
      <c r="M42" s="1986"/>
    </row>
    <row r="43" spans="1:18" ht="18" customHeight="1" thickBot="1">
      <c r="A43" s="822" t="s">
        <v>1788</v>
      </c>
      <c r="B43" s="823" t="s">
        <v>1811</v>
      </c>
      <c r="C43" s="824">
        <f ca="1">ROUND(C40*10000/F43,0)</f>
        <v>6156</v>
      </c>
      <c r="D43" s="825" t="s">
        <v>1812</v>
      </c>
      <c r="E43" s="826" t="s">
        <v>1813</v>
      </c>
      <c r="F43" s="827">
        <f ca="1">INDIRECT("'数据-取费表'!k"&amp;$G$1)</f>
        <v>26123.5</v>
      </c>
      <c r="G43" s="2060"/>
      <c r="H43" s="1986"/>
      <c r="I43" s="846" t="s">
        <v>1823</v>
      </c>
      <c r="J43" s="847">
        <f ca="1">1-J42</f>
        <v>0.42400000000000004</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2295</v>
      </c>
      <c r="B46" s="2083"/>
      <c r="C46" s="2572">
        <f ca="1">C67-C40</f>
        <v>-18846</v>
      </c>
      <c r="D46" s="2083"/>
      <c r="E46" s="2083"/>
      <c r="F46" s="2083"/>
      <c r="I46" s="2376" t="s">
        <v>2341</v>
      </c>
      <c r="J46" s="2377"/>
      <c r="K46" s="2378"/>
      <c r="L46" s="3155">
        <f>IF(OR(M47="住宅",D1="土地（套用方法）"),0,IF(L48&gt;J51,L60,J60))</f>
        <v>0</v>
      </c>
      <c r="O46" s="2392" t="s">
        <v>2408</v>
      </c>
      <c r="P46" s="1591"/>
      <c r="Q46" s="1603"/>
      <c r="R46" s="1591"/>
    </row>
    <row r="47" spans="1:18" s="2057" customFormat="1" ht="18" customHeight="1" thickBot="1">
      <c r="A47" s="2370">
        <v>1</v>
      </c>
      <c r="B47" s="2371" t="s">
        <v>635</v>
      </c>
      <c r="C47" s="2572">
        <f ca="1">C48+C52+C54</f>
        <v>0</v>
      </c>
      <c r="D47" s="2083"/>
      <c r="E47" s="2083"/>
      <c r="F47" s="2083"/>
      <c r="I47" s="3145" t="s">
        <v>2342</v>
      </c>
      <c r="J47" s="2379" t="s">
        <v>3261</v>
      </c>
      <c r="K47" s="3152" t="s">
        <v>2347</v>
      </c>
      <c r="L47" s="3156">
        <f ca="1">INDIRECT("'数据-取费表'!d"&amp;$G$1)</f>
        <v>50</v>
      </c>
      <c r="M47" s="1603" t="str">
        <f>IF(ISNUMBER(FIND("住宅",C1)),"住宅","非住宅")</f>
        <v>非住宅</v>
      </c>
      <c r="O47" s="2393" t="s">
        <v>2373</v>
      </c>
      <c r="P47" s="2394" t="s">
        <v>2374</v>
      </c>
      <c r="Q47" s="2395" t="s">
        <v>2375</v>
      </c>
      <c r="R47" s="2394" t="s">
        <v>2376</v>
      </c>
    </row>
    <row r="48" spans="1:18" s="2057" customFormat="1" ht="18" customHeight="1" thickBot="1">
      <c r="A48" s="2640" t="s">
        <v>1871</v>
      </c>
      <c r="B48" s="2641" t="s">
        <v>2536</v>
      </c>
      <c r="C48" s="2372">
        <f ca="1">ROUND(F48*F50*F49*(1-F51)/10000,0)</f>
        <v>0</v>
      </c>
      <c r="D48" s="2373" t="s">
        <v>636</v>
      </c>
      <c r="E48" s="2374" t="s">
        <v>2296</v>
      </c>
      <c r="F48" s="2375"/>
      <c r="G48" s="2088"/>
      <c r="I48" s="3121" t="s">
        <v>2343</v>
      </c>
      <c r="J48" s="2380" t="s">
        <v>2348</v>
      </c>
      <c r="K48" s="3153" t="s">
        <v>2349</v>
      </c>
      <c r="L48" s="1906">
        <f ca="1">INDIRECT("'数据-取费表'!f"&amp;$G$1)</f>
        <v>48.66</v>
      </c>
      <c r="O48" s="2396" t="s">
        <v>2377</v>
      </c>
      <c r="P48" s="2397" t="s">
        <v>2403</v>
      </c>
      <c r="Q48" s="2398">
        <f ca="1">C40+J29</f>
        <v>16082</v>
      </c>
      <c r="R48" s="2397" t="s">
        <v>2378</v>
      </c>
    </row>
    <row r="49" spans="1:18" s="2057" customFormat="1" ht="18" customHeight="1" thickBot="1">
      <c r="A49" s="785"/>
      <c r="B49" s="786"/>
      <c r="C49" s="787"/>
      <c r="D49" s="788"/>
      <c r="E49" s="783" t="s">
        <v>638</v>
      </c>
      <c r="F49" s="784">
        <f ca="1">F7</f>
        <v>26123.5</v>
      </c>
      <c r="G49" s="2088"/>
      <c r="H49" s="2091"/>
      <c r="I49" s="3121" t="s">
        <v>2344</v>
      </c>
      <c r="J49" s="2381">
        <v>2020</v>
      </c>
      <c r="K49" s="3154" t="s">
        <v>2350</v>
      </c>
      <c r="L49" s="2382"/>
      <c r="O49" s="2396" t="s">
        <v>2379</v>
      </c>
      <c r="P49" s="2397" t="s">
        <v>2404</v>
      </c>
      <c r="Q49" s="2398" t="str">
        <f ca="1">J60</f>
        <v>0</v>
      </c>
      <c r="R49" s="2397" t="s">
        <v>2380</v>
      </c>
    </row>
    <row r="50" spans="1:18" s="2057" customFormat="1" ht="18" customHeight="1" thickBot="1">
      <c r="A50" s="785"/>
      <c r="B50" s="786"/>
      <c r="C50" s="787"/>
      <c r="D50" s="788"/>
      <c r="E50" s="783" t="s">
        <v>639</v>
      </c>
      <c r="F50" s="784">
        <f ca="1">F8</f>
        <v>365</v>
      </c>
      <c r="G50" s="2093"/>
      <c r="H50" s="2091"/>
      <c r="I50" s="3121" t="s">
        <v>2345</v>
      </c>
      <c r="J50" s="3149">
        <f>SUMPRODUCT((I63:I65=J47)*(J62:L62=J48)*(J63:L65))</f>
        <v>60</v>
      </c>
      <c r="K50" s="3154" t="s">
        <v>2351</v>
      </c>
      <c r="L50" s="2382"/>
      <c r="O50" s="2399" t="s">
        <v>2381</v>
      </c>
      <c r="P50" s="2397" t="s">
        <v>2405</v>
      </c>
      <c r="Q50" s="2398">
        <f ca="1">C29</f>
        <v>9256</v>
      </c>
      <c r="R50" s="2397" t="s">
        <v>2378</v>
      </c>
    </row>
    <row r="51" spans="1:18" s="2057" customFormat="1" ht="18" customHeight="1" thickBot="1">
      <c r="A51" s="785"/>
      <c r="B51" s="786"/>
      <c r="C51" s="787"/>
      <c r="D51" s="788"/>
      <c r="E51" s="783" t="s">
        <v>640</v>
      </c>
      <c r="F51" s="2369"/>
      <c r="H51" s="2091"/>
      <c r="I51" s="3146" t="s">
        <v>2346</v>
      </c>
      <c r="J51" s="3150">
        <f>IF(J49="",J50,J49+J50-YEAR('数据-取费表'!B2))</f>
        <v>62</v>
      </c>
      <c r="K51" s="3121" t="s">
        <v>2352</v>
      </c>
      <c r="L51" s="3157">
        <f ca="1">ROUND(-PV(INDIRECT("'数据-取费表'!h"&amp;$G$1),L48,(C39-C13*J36),0),0)</f>
        <v>-4781</v>
      </c>
      <c r="O51" s="2399" t="s">
        <v>2382</v>
      </c>
      <c r="P51" s="2397" t="s">
        <v>2383</v>
      </c>
      <c r="Q51" s="2400" t="e">
        <f ca="1">J58</f>
        <v>#VALUE!</v>
      </c>
      <c r="R51" s="2401"/>
    </row>
    <row r="52" spans="1:18" s="2057" customFormat="1" ht="18" customHeight="1" thickBot="1">
      <c r="A52" s="780" t="s">
        <v>2534</v>
      </c>
      <c r="B52" s="2492" t="s">
        <v>2457</v>
      </c>
      <c r="C52" s="798">
        <f ca="1">ROUND(IF(F52="押一",C48/12*F11,IF(F52="押二",C48/12*2*F11,IF(F52="押三",C48/12*3*F11,C53*F11))),0)</f>
        <v>0</v>
      </c>
      <c r="D52" s="2499" t="s">
        <v>2963</v>
      </c>
      <c r="E52" s="2496" t="s">
        <v>2462</v>
      </c>
      <c r="F52" s="2619"/>
      <c r="I52" s="3147" t="s">
        <v>2419</v>
      </c>
      <c r="J52" s="2383">
        <v>0.09</v>
      </c>
      <c r="K52" s="3147" t="s">
        <v>2418</v>
      </c>
      <c r="L52" s="2383"/>
      <c r="O52" s="2399" t="s">
        <v>2384</v>
      </c>
      <c r="P52" s="2397" t="s">
        <v>2385</v>
      </c>
      <c r="Q52" s="2400">
        <f>J52</f>
        <v>0.09</v>
      </c>
      <c r="R52" s="2401"/>
    </row>
    <row r="53" spans="1:18" s="2057" customFormat="1" ht="39.75" customHeight="1" thickBot="1">
      <c r="A53" s="785"/>
      <c r="B53" s="2493" t="s">
        <v>2571</v>
      </c>
      <c r="C53" s="2497"/>
      <c r="D53" s="2499"/>
      <c r="E53" s="2496"/>
      <c r="F53" s="799"/>
      <c r="I53" s="3148" t="s">
        <v>2967</v>
      </c>
      <c r="J53" s="3151">
        <f ca="1">IF(M47="住宅",IF(D1="——",MAX(J51,L48),MAX(J51,L48-'数据-取费表'!B20)),IF(D1="——",MIN(J51,L48),MIN(J51,L48-'数据-取费表'!B20)))</f>
        <v>46.66</v>
      </c>
      <c r="K53" s="3587" t="s">
        <v>2954</v>
      </c>
      <c r="L53" s="3588"/>
      <c r="O53" s="2399" t="s">
        <v>2386</v>
      </c>
      <c r="P53" s="2397" t="s">
        <v>2387</v>
      </c>
      <c r="Q53" s="2398">
        <f ca="1">J53</f>
        <v>46.66</v>
      </c>
      <c r="R53" s="2397" t="s">
        <v>2388</v>
      </c>
    </row>
    <row r="54" spans="1:18" s="2057" customFormat="1" ht="18" customHeight="1" thickBot="1">
      <c r="A54" s="2535" t="s">
        <v>2465</v>
      </c>
      <c r="B54" s="2536" t="s">
        <v>2458</v>
      </c>
      <c r="C54" s="2537"/>
      <c r="D54" s="2499"/>
      <c r="E54" s="2496"/>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96" t="s">
        <v>2389</v>
      </c>
      <c r="P54" s="2397" t="s">
        <v>2406</v>
      </c>
      <c r="Q54" s="2398">
        <f ca="1">Q48+Q49</f>
        <v>16082</v>
      </c>
      <c r="R54" s="2401" t="s">
        <v>2390</v>
      </c>
    </row>
    <row r="55" spans="1:18" s="2057" customFormat="1" ht="18" customHeight="1" thickTop="1" thickBot="1">
      <c r="A55" s="796">
        <v>2</v>
      </c>
      <c r="B55" s="797" t="s">
        <v>644</v>
      </c>
      <c r="C55" s="798">
        <f ca="1">C13</f>
        <v>9256</v>
      </c>
      <c r="D55" s="794"/>
      <c r="E55" s="794"/>
      <c r="F55" s="799"/>
      <c r="I55" s="3160" t="s">
        <v>2353</v>
      </c>
      <c r="J55" s="3096" t="e">
        <f ca="1">ROUND(IF(J47="钢混",J57/J50,1-(1-2%)*(J50-J57)/J50),3)</f>
        <v>#VALUE!</v>
      </c>
      <c r="K55" s="3161" t="s">
        <v>2354</v>
      </c>
      <c r="L55" s="2384"/>
      <c r="O55" s="2402" t="s">
        <v>2409</v>
      </c>
      <c r="P55" s="1591"/>
      <c r="Q55" s="1603"/>
      <c r="R55" s="1591"/>
    </row>
    <row r="56" spans="1:18" s="2057" customFormat="1" ht="42.75" customHeight="1" thickBot="1">
      <c r="A56" s="1649"/>
      <c r="B56" s="2229" t="s">
        <v>2300</v>
      </c>
      <c r="C56" s="53">
        <f ca="1">C29</f>
        <v>9256</v>
      </c>
      <c r="D56" s="3212"/>
      <c r="E56" s="783"/>
      <c r="F56" s="808"/>
      <c r="I56" s="3162" t="s">
        <v>2355</v>
      </c>
      <c r="J56" s="3172" t="s">
        <v>1679</v>
      </c>
      <c r="K56" s="3121" t="s">
        <v>2360</v>
      </c>
      <c r="L56" s="1906" t="str">
        <f ca="1">IF(L48&lt;J51,"——",L48-J51)</f>
        <v>——</v>
      </c>
      <c r="O56" s="2393" t="s">
        <v>2373</v>
      </c>
      <c r="P56" s="2394" t="s">
        <v>2374</v>
      </c>
      <c r="Q56" s="2395" t="s">
        <v>2375</v>
      </c>
      <c r="R56" s="2394" t="s">
        <v>2376</v>
      </c>
    </row>
    <row r="57" spans="1:18" s="2057" customFormat="1" ht="28.5" customHeight="1" thickBot="1">
      <c r="A57" s="796" t="s">
        <v>7</v>
      </c>
      <c r="B57" s="797" t="s">
        <v>651</v>
      </c>
      <c r="C57" s="798">
        <f ca="1">ROUND(C58+C63+C64+C65,0)</f>
        <v>154</v>
      </c>
      <c r="D57" s="26" t="s">
        <v>652</v>
      </c>
      <c r="E57" s="3214"/>
      <c r="F57" s="56"/>
      <c r="I57" s="3163" t="s">
        <v>2356</v>
      </c>
      <c r="J57" s="3164" t="str">
        <f ca="1">IF(OR(M47="住宅",J51&lt;L48,J56="是"),"——",J51-L48)</f>
        <v>——</v>
      </c>
      <c r="K57" s="3121" t="s">
        <v>2361</v>
      </c>
      <c r="L57" s="1906" t="str">
        <f ca="1">IF(L48&lt;J51,"——",IF(L55="比较法",L49,IF(L55="基准地价",L50,L51)))</f>
        <v>——</v>
      </c>
      <c r="O57" s="2396" t="s">
        <v>2377</v>
      </c>
      <c r="P57" s="2397" t="s">
        <v>2403</v>
      </c>
      <c r="Q57" s="2398">
        <f ca="1">C40+J29</f>
        <v>16082</v>
      </c>
      <c r="R57" s="2397" t="s">
        <v>2378</v>
      </c>
    </row>
    <row r="58" spans="1:18" s="2057" customFormat="1" ht="28.5" customHeight="1" thickBot="1">
      <c r="A58" s="1648" t="s">
        <v>1825</v>
      </c>
      <c r="B58" s="783" t="s">
        <v>656</v>
      </c>
      <c r="C58" s="53">
        <f ca="1">ROUND(IF(项目基本情况!B11="自然人",C47*F58,C59+C60+C61),1)</f>
        <v>1.6</v>
      </c>
      <c r="D58" s="3211" t="s">
        <v>657</v>
      </c>
      <c r="E58" s="3212" t="s">
        <v>690</v>
      </c>
      <c r="F58" s="809" t="str">
        <f ca="1">IF(项目基本情况!B11="企业","",IF(INDIRECT("'数据-取费表'!c"&amp;$G$1)="住宅",5%,IF(F48*F49*F50/12/(1+'数据-取费表'!C42)&gt;20000,12%,7%)))</f>
        <v/>
      </c>
      <c r="I58" s="3163" t="s">
        <v>2357</v>
      </c>
      <c r="J58" s="3097" t="e">
        <f ca="1">IF(J55&lt;0.4,0.4,J55)</f>
        <v>#VALUE!</v>
      </c>
      <c r="K58" s="3121" t="s">
        <v>2362</v>
      </c>
      <c r="L58" s="1906" t="e">
        <f ca="1">ROUND(POWER(1+L52,L47-L48)*(POWER(1+L52,L48)-1)/(POWER(1+L52,L47)-1),4)</f>
        <v>#DIV/0!</v>
      </c>
      <c r="O58" s="2396" t="s">
        <v>2379</v>
      </c>
      <c r="P58" s="2397" t="s">
        <v>2410</v>
      </c>
      <c r="Q58" s="2398">
        <f ca="1">L60</f>
        <v>0</v>
      </c>
      <c r="R58" s="2401" t="s">
        <v>2412</v>
      </c>
    </row>
    <row r="59" spans="1:18" s="2057" customFormat="1" ht="28.5" customHeight="1" thickBot="1">
      <c r="A59" s="1647" t="s">
        <v>1832</v>
      </c>
      <c r="B59" s="783" t="s">
        <v>660</v>
      </c>
      <c r="C59" s="53">
        <f ca="1">ROUND(C47*F59/1.05,1)</f>
        <v>0</v>
      </c>
      <c r="D59" s="3212" t="s">
        <v>661</v>
      </c>
      <c r="E59" s="783" t="s">
        <v>649</v>
      </c>
      <c r="F59" s="808">
        <f t="shared" ref="F59:F65" si="0">F32</f>
        <v>5.5000000000000007E-2</v>
      </c>
      <c r="I59" s="3163" t="s">
        <v>2358</v>
      </c>
      <c r="J59" s="3164" t="str">
        <f ca="1">IF(OR(M47="住宅",J51&lt;L48,J56="是"),"——",ROUND(C29*J58,0))</f>
        <v>——</v>
      </c>
      <c r="K59" s="3121"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99" t="s">
        <v>2381</v>
      </c>
      <c r="P59" s="2397" t="s">
        <v>2411</v>
      </c>
      <c r="Q59" s="2398">
        <f>IF(L55="比较法",L49,IF(L55="基准地价",L50,0))</f>
        <v>0</v>
      </c>
      <c r="R59" s="2397" t="s">
        <v>2378</v>
      </c>
    </row>
    <row r="60" spans="1:18" s="2057" customFormat="1" ht="18" customHeight="1" thickBot="1">
      <c r="A60" s="1647" t="s">
        <v>1833</v>
      </c>
      <c r="B60" s="783" t="s">
        <v>664</v>
      </c>
      <c r="C60" s="53">
        <f ca="1">IF(D60="按租金收入计税",ROUND(C47*F60,1),IF(D60="按房产原值计税",ROUND(C56*F60*0.7,1),INDIRECT("'数据-取费表'!Aj"&amp;$G$1)))</f>
        <v>0</v>
      </c>
      <c r="D60" s="3212" t="str">
        <f>D33</f>
        <v>按租金收入计税</v>
      </c>
      <c r="E60" s="783" t="s">
        <v>649</v>
      </c>
      <c r="F60" s="808">
        <f t="shared" si="0"/>
        <v>0.12</v>
      </c>
      <c r="I60" s="3165" t="s">
        <v>2359</v>
      </c>
      <c r="J60" s="3166" t="str">
        <f ca="1">IF(OR(M47="住宅",J51&lt;L48,J56="是"),"0",ROUND(J59/(1+J52)^J53,0))</f>
        <v>0</v>
      </c>
      <c r="K60" s="3167" t="s">
        <v>2364</v>
      </c>
      <c r="L60" s="3166">
        <f ca="1">IF(OR(M47="住宅",L48&lt;J51),0,ROUND(L57*(L58/L59-1),0))</f>
        <v>0</v>
      </c>
      <c r="O60" s="2399" t="s">
        <v>2382</v>
      </c>
      <c r="P60" s="2397" t="s">
        <v>2391</v>
      </c>
      <c r="Q60" s="2400">
        <f>L52</f>
        <v>0</v>
      </c>
      <c r="R60" s="2401"/>
    </row>
    <row r="61" spans="1:18" s="2057" customFormat="1" ht="18" customHeight="1" thickBot="1">
      <c r="A61" s="1650" t="s">
        <v>1834</v>
      </c>
      <c r="B61" s="340" t="s">
        <v>668</v>
      </c>
      <c r="C61" s="54">
        <f ca="1">ROUND(F61*F62/10000,1)</f>
        <v>1.6</v>
      </c>
      <c r="D61" s="813" t="s">
        <v>669</v>
      </c>
      <c r="E61" s="783" t="s">
        <v>670</v>
      </c>
      <c r="F61" s="639">
        <f t="shared" si="0"/>
        <v>1.5</v>
      </c>
      <c r="K61" s="2084"/>
      <c r="O61" s="2399" t="s">
        <v>2384</v>
      </c>
      <c r="P61" s="2397" t="s">
        <v>2392</v>
      </c>
      <c r="Q61" s="2398" t="e">
        <f ca="1">L58</f>
        <v>#DIV/0!</v>
      </c>
      <c r="R61" s="2401" t="s">
        <v>2393</v>
      </c>
    </row>
    <row r="62" spans="1:18" s="2057" customFormat="1" ht="15.75" thickBot="1">
      <c r="A62" s="814"/>
      <c r="B62" s="792"/>
      <c r="C62" s="69"/>
      <c r="D62" s="815"/>
      <c r="E62" s="783" t="s">
        <v>674</v>
      </c>
      <c r="F62" s="784">
        <f t="shared" ca="1" si="0"/>
        <v>10665.53</v>
      </c>
      <c r="I62" s="3168" t="s">
        <v>2365</v>
      </c>
      <c r="J62" s="3169" t="s">
        <v>2366</v>
      </c>
      <c r="K62" s="3169" t="s">
        <v>2367</v>
      </c>
      <c r="L62" s="3169" t="s">
        <v>2348</v>
      </c>
      <c r="M62" s="3170" t="s">
        <v>2930</v>
      </c>
      <c r="O62" s="2399" t="s">
        <v>2386</v>
      </c>
      <c r="P62" s="2397" t="str">
        <f>K59</f>
        <v>建设期及建筑物耐用年限下的土地年期修正系数Kn</v>
      </c>
      <c r="Q62" s="2398" t="e">
        <f ca="1">L59</f>
        <v>#DIV/0!</v>
      </c>
      <c r="R62" s="2401" t="s">
        <v>2395</v>
      </c>
    </row>
    <row r="63" spans="1:18" s="2057" customFormat="1" ht="15.75" thickBot="1">
      <c r="A63" s="1648" t="s">
        <v>1890</v>
      </c>
      <c r="B63" s="783" t="s">
        <v>676</v>
      </c>
      <c r="C63" s="53">
        <f ca="1">ROUND(C56*F63,1)</f>
        <v>138.80000000000001</v>
      </c>
      <c r="D63" s="3212" t="s">
        <v>691</v>
      </c>
      <c r="E63" s="783" t="s">
        <v>649</v>
      </c>
      <c r="F63" s="816">
        <f t="shared" ca="1" si="0"/>
        <v>1.4999999999999999E-2</v>
      </c>
      <c r="I63" s="3168" t="s">
        <v>2368</v>
      </c>
      <c r="J63" s="3169">
        <v>70</v>
      </c>
      <c r="K63" s="3169">
        <v>50</v>
      </c>
      <c r="L63" s="3169">
        <v>80</v>
      </c>
      <c r="M63" s="3171">
        <v>0.02</v>
      </c>
      <c r="O63" s="2396" t="s">
        <v>2389</v>
      </c>
      <c r="P63" s="2397" t="s">
        <v>2406</v>
      </c>
      <c r="Q63" s="2398">
        <f ca="1">Q57+Q58</f>
        <v>16082</v>
      </c>
      <c r="R63" s="2401" t="s">
        <v>2390</v>
      </c>
    </row>
    <row r="64" spans="1:18" s="2057" customFormat="1" ht="16.5" thickBot="1">
      <c r="A64" s="1648" t="s">
        <v>1891</v>
      </c>
      <c r="B64" s="783" t="s">
        <v>679</v>
      </c>
      <c r="C64" s="53">
        <f ca="1">ROUND(C55*F64,1)</f>
        <v>13.9</v>
      </c>
      <c r="D64" s="3212" t="s">
        <v>680</v>
      </c>
      <c r="E64" s="783" t="s">
        <v>649</v>
      </c>
      <c r="F64" s="817">
        <f t="shared" ca="1" si="0"/>
        <v>1.5E-3</v>
      </c>
      <c r="I64" s="3168" t="s">
        <v>2369</v>
      </c>
      <c r="J64" s="3169">
        <v>50</v>
      </c>
      <c r="K64" s="3169">
        <v>35</v>
      </c>
      <c r="L64" s="3169">
        <v>60</v>
      </c>
      <c r="M64" s="845">
        <v>0</v>
      </c>
      <c r="O64" s="2402" t="s">
        <v>2413</v>
      </c>
      <c r="P64" s="1591"/>
      <c r="Q64" s="1603"/>
      <c r="R64" s="1591"/>
    </row>
    <row r="65" spans="1:18" s="2057" customFormat="1" ht="15.75" thickBot="1">
      <c r="A65" s="1648" t="s">
        <v>1892</v>
      </c>
      <c r="B65" s="783" t="s">
        <v>666</v>
      </c>
      <c r="C65" s="53">
        <f ca="1">ROUND(C47*F65,1)</f>
        <v>0</v>
      </c>
      <c r="D65" s="3212" t="s">
        <v>683</v>
      </c>
      <c r="E65" s="783" t="s">
        <v>649</v>
      </c>
      <c r="F65" s="793">
        <f t="shared" ca="1" si="0"/>
        <v>1.4999999999999999E-2</v>
      </c>
      <c r="I65" s="3168" t="s">
        <v>2370</v>
      </c>
      <c r="J65" s="3169">
        <v>40</v>
      </c>
      <c r="K65" s="3169">
        <v>30</v>
      </c>
      <c r="L65" s="3169">
        <v>50</v>
      </c>
      <c r="M65" s="3171">
        <v>0.02</v>
      </c>
      <c r="O65" s="2393" t="s">
        <v>2373</v>
      </c>
      <c r="P65" s="2394" t="s">
        <v>2374</v>
      </c>
      <c r="Q65" s="2395" t="s">
        <v>2375</v>
      </c>
      <c r="R65" s="2394" t="s">
        <v>2376</v>
      </c>
    </row>
    <row r="66" spans="1:18" s="2057" customFormat="1" ht="24.75" thickBot="1">
      <c r="A66" s="796" t="s">
        <v>1777</v>
      </c>
      <c r="B66" s="3008" t="s">
        <v>2819</v>
      </c>
      <c r="C66" s="798">
        <f ca="1">C47-C57</f>
        <v>-154</v>
      </c>
      <c r="D66" s="3211" t="s">
        <v>700</v>
      </c>
      <c r="E66" s="3209"/>
      <c r="F66" s="819"/>
      <c r="K66" s="2084"/>
      <c r="O66" s="2396" t="s">
        <v>2377</v>
      </c>
      <c r="P66" s="2397" t="s">
        <v>2403</v>
      </c>
      <c r="Q66" s="2398">
        <f ca="1">C40+J29</f>
        <v>16082</v>
      </c>
      <c r="R66" s="2397" t="s">
        <v>2378</v>
      </c>
    </row>
    <row r="67" spans="1:18" s="2057" customFormat="1" ht="20.25" thickBot="1">
      <c r="A67" s="780" t="s">
        <v>1781</v>
      </c>
      <c r="B67" s="2230" t="s">
        <v>2301</v>
      </c>
      <c r="C67" s="782">
        <f ca="1">ROUND(C66*(1-((1+F69)/(1+F67))^F68)/(F67-F69),0)</f>
        <v>-2764</v>
      </c>
      <c r="D67" s="813" t="s">
        <v>704</v>
      </c>
      <c r="E67" s="783" t="s">
        <v>705</v>
      </c>
      <c r="F67" s="793">
        <f ca="1">F40</f>
        <v>0.05</v>
      </c>
      <c r="K67" s="2084"/>
      <c r="O67" s="2396" t="s">
        <v>2379</v>
      </c>
      <c r="P67" s="2397" t="s">
        <v>2410</v>
      </c>
      <c r="Q67" s="2398">
        <f ca="1">L60</f>
        <v>0</v>
      </c>
      <c r="R67" s="2401" t="s">
        <v>2412</v>
      </c>
    </row>
    <row r="68" spans="1:18" ht="21.75" thickBot="1">
      <c r="A68" s="785"/>
      <c r="B68" s="786"/>
      <c r="C68" s="787"/>
      <c r="D68" s="820" t="s">
        <v>1809</v>
      </c>
      <c r="E68" s="783" t="s">
        <v>708</v>
      </c>
      <c r="F68" s="821">
        <f ca="1">F41</f>
        <v>46.66</v>
      </c>
      <c r="O68" s="2399" t="s">
        <v>2381</v>
      </c>
      <c r="P68" s="2397" t="s">
        <v>2411</v>
      </c>
      <c r="Q68" s="2403">
        <f ca="1">L51</f>
        <v>-4781</v>
      </c>
      <c r="R68" s="2404" t="s">
        <v>2414</v>
      </c>
    </row>
    <row r="69" spans="1:18" ht="20.25" thickBot="1">
      <c r="A69" s="789"/>
      <c r="B69" s="790"/>
      <c r="C69" s="791"/>
      <c r="D69" s="815"/>
      <c r="E69" s="783" t="s">
        <v>710</v>
      </c>
      <c r="F69" s="2369"/>
      <c r="O69" s="2399" t="s">
        <v>2382</v>
      </c>
      <c r="P69" s="2405" t="s">
        <v>2396</v>
      </c>
      <c r="Q69" s="2398">
        <f ca="1">ROUND(Q70-Q71*Q72,0)</f>
        <v>-244</v>
      </c>
      <c r="R69" s="2401"/>
    </row>
    <row r="70" spans="1:18" ht="15.75" thickBot="1">
      <c r="A70" s="822" t="s">
        <v>1788</v>
      </c>
      <c r="B70" s="823" t="s">
        <v>1811</v>
      </c>
      <c r="C70" s="824">
        <f ca="1">ROUND(C67*10000/F70,0)</f>
        <v>-1058</v>
      </c>
      <c r="D70" s="825" t="s">
        <v>1812</v>
      </c>
      <c r="E70" s="826" t="s">
        <v>1813</v>
      </c>
      <c r="F70" s="827">
        <f ca="1">F43</f>
        <v>26123.5</v>
      </c>
      <c r="O70" s="2399" t="s">
        <v>2397</v>
      </c>
      <c r="P70" s="2405" t="s">
        <v>2398</v>
      </c>
      <c r="Q70" s="2398">
        <f ca="1">C39</f>
        <v>543</v>
      </c>
      <c r="R70" s="2397" t="s">
        <v>2378</v>
      </c>
    </row>
    <row r="71" spans="1:18" ht="15.75" thickBot="1">
      <c r="O71" s="2399" t="s">
        <v>2399</v>
      </c>
      <c r="P71" s="2405" t="s">
        <v>2400</v>
      </c>
      <c r="Q71" s="2398">
        <f ca="1">C13</f>
        <v>9256</v>
      </c>
      <c r="R71" s="2397" t="s">
        <v>2378</v>
      </c>
    </row>
    <row r="72" spans="1:18" ht="15.75" thickBot="1">
      <c r="O72" s="2399" t="s">
        <v>2401</v>
      </c>
      <c r="P72" s="2405" t="s">
        <v>2402</v>
      </c>
      <c r="Q72" s="2400">
        <f ca="1">J36</f>
        <v>8.5000000000000006E-2</v>
      </c>
      <c r="R72" s="2401"/>
    </row>
    <row r="73" spans="1:18" ht="15.75" thickBot="1">
      <c r="O73" s="2399" t="s">
        <v>2384</v>
      </c>
      <c r="P73" s="2397" t="s">
        <v>2391</v>
      </c>
      <c r="Q73" s="2400">
        <f>L52</f>
        <v>0</v>
      </c>
      <c r="R73" s="2401"/>
    </row>
    <row r="74" spans="1:18" ht="20.25" thickBot="1">
      <c r="O74" s="2399" t="s">
        <v>2386</v>
      </c>
      <c r="P74" s="2397" t="s">
        <v>2392</v>
      </c>
      <c r="Q74" s="2398" t="e">
        <f ca="1">L58</f>
        <v>#DIV/0!</v>
      </c>
      <c r="R74" s="2401" t="s">
        <v>2393</v>
      </c>
    </row>
    <row r="75" spans="1:18" ht="15.75" thickBot="1">
      <c r="O75" s="2399" t="s">
        <v>2415</v>
      </c>
      <c r="P75" s="2397" t="str">
        <f>K59</f>
        <v>建设期及建筑物耐用年限下的土地年期修正系数Kn</v>
      </c>
      <c r="Q75" s="2398" t="e">
        <f ca="1">L59</f>
        <v>#DIV/0!</v>
      </c>
      <c r="R75" s="2401" t="s">
        <v>2395</v>
      </c>
    </row>
    <row r="76" spans="1:18" ht="15.75" thickBot="1">
      <c r="O76" s="2396" t="s">
        <v>2389</v>
      </c>
      <c r="P76" s="2397" t="s">
        <v>2406</v>
      </c>
      <c r="Q76" s="2398">
        <f ca="1">Q66+Q67</f>
        <v>16082</v>
      </c>
      <c r="R76" s="2401" t="s">
        <v>2390</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3" priority="6">
      <formula>$L$48&gt;$J$51</formula>
    </cfRule>
  </conditionalFormatting>
  <conditionalFormatting sqref="I55">
    <cfRule type="expression" dxfId="2" priority="7">
      <formula>$J$51&gt;$L$48</formula>
    </cfRule>
  </conditionalFormatting>
  <conditionalFormatting sqref="I60">
    <cfRule type="expression" dxfId="1" priority="5">
      <formula>$J$51&gt;$L$48</formula>
    </cfRule>
  </conditionalFormatting>
  <conditionalFormatting sqref="K60">
    <cfRule type="expression" dxfId="0" priority="4">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
  <sheetViews>
    <sheetView workbookViewId="0">
      <selection activeCell="H5" sqref="H5"/>
    </sheetView>
  </sheetViews>
  <sheetFormatPr defaultRowHeight="12"/>
  <cols>
    <col min="1" max="1" width="42.125" style="3175" customWidth="1"/>
    <col min="2" max="6" width="9" style="3175"/>
    <col min="7" max="7" width="4.875" style="3175" customWidth="1"/>
    <col min="8" max="8" width="11" style="3175" customWidth="1"/>
    <col min="9" max="12" width="9" style="3175"/>
    <col min="13" max="13" width="33.625" style="3175" customWidth="1"/>
    <col min="14" max="16384" width="9" style="3175"/>
  </cols>
  <sheetData>
    <row r="1" spans="1:20" s="3231" customFormat="1" ht="24">
      <c r="A1" s="3230" t="s">
        <v>2970</v>
      </c>
      <c r="B1" s="3230" t="s">
        <v>2971</v>
      </c>
      <c r="C1" s="3230" t="s">
        <v>2972</v>
      </c>
      <c r="D1" s="3230" t="s">
        <v>2973</v>
      </c>
      <c r="E1" s="3230" t="s">
        <v>2974</v>
      </c>
      <c r="F1" s="3230" t="s">
        <v>2032</v>
      </c>
      <c r="G1" s="3230" t="s">
        <v>2975</v>
      </c>
      <c r="H1" s="3230" t="s">
        <v>2976</v>
      </c>
      <c r="I1" s="3230" t="s">
        <v>2977</v>
      </c>
      <c r="J1" s="3230" t="s">
        <v>2978</v>
      </c>
      <c r="K1" s="3230" t="s">
        <v>2979</v>
      </c>
      <c r="L1" s="3230" t="s">
        <v>2980</v>
      </c>
      <c r="M1" s="3230" t="s">
        <v>2981</v>
      </c>
      <c r="N1" s="3231" t="s">
        <v>3021</v>
      </c>
    </row>
    <row r="2" spans="1:20" s="3176" customFormat="1" ht="24">
      <c r="A2" s="3218" t="s">
        <v>3279</v>
      </c>
      <c r="B2" s="3218" t="s">
        <v>1948</v>
      </c>
      <c r="C2" s="3218" t="s">
        <v>2982</v>
      </c>
      <c r="D2" s="3218">
        <v>36365.370000000003</v>
      </c>
      <c r="E2" s="3218">
        <v>65458</v>
      </c>
      <c r="F2" s="3218">
        <v>1.8</v>
      </c>
      <c r="G2" s="3218" t="s">
        <v>2983</v>
      </c>
      <c r="H2" s="3234">
        <v>43285</v>
      </c>
      <c r="I2" s="3218">
        <v>180000</v>
      </c>
      <c r="J2" s="3218">
        <v>260000</v>
      </c>
      <c r="K2" s="3218">
        <v>39720.120000000003</v>
      </c>
      <c r="L2" s="3218">
        <v>44.44</v>
      </c>
      <c r="M2" s="3218" t="s">
        <v>2984</v>
      </c>
      <c r="N2" s="3178">
        <v>0</v>
      </c>
    </row>
    <row r="3" spans="1:20" s="3176" customFormat="1" ht="24">
      <c r="A3" s="3218" t="s">
        <v>3280</v>
      </c>
      <c r="B3" s="3218" t="s">
        <v>1948</v>
      </c>
      <c r="C3" s="3218" t="s">
        <v>2985</v>
      </c>
      <c r="D3" s="3218">
        <v>151738.6</v>
      </c>
      <c r="E3" s="3218">
        <v>152374</v>
      </c>
      <c r="F3" s="3218">
        <v>1.004</v>
      </c>
      <c r="G3" s="3218" t="s">
        <v>2983</v>
      </c>
      <c r="H3" s="3234">
        <v>43273</v>
      </c>
      <c r="I3" s="3218">
        <v>460000</v>
      </c>
      <c r="J3" s="3218">
        <v>685400</v>
      </c>
      <c r="K3" s="3218">
        <v>44981.43</v>
      </c>
      <c r="L3" s="3218">
        <v>49</v>
      </c>
      <c r="M3" s="3218" t="s">
        <v>2986</v>
      </c>
      <c r="N3" s="3178">
        <v>0.16</v>
      </c>
    </row>
    <row r="4" spans="1:20" ht="24">
      <c r="A4" s="3217" t="s">
        <v>2987</v>
      </c>
      <c r="B4" s="3217" t="s">
        <v>1948</v>
      </c>
      <c r="C4" s="3217" t="s">
        <v>2985</v>
      </c>
      <c r="D4" s="3217">
        <v>132352.79999999999</v>
      </c>
      <c r="E4" s="3217">
        <v>201775</v>
      </c>
      <c r="F4" s="3217">
        <v>1.52</v>
      </c>
      <c r="G4" s="3217" t="s">
        <v>2983</v>
      </c>
      <c r="H4" s="3217" t="s">
        <v>2988</v>
      </c>
      <c r="I4" s="3217">
        <v>365000</v>
      </c>
      <c r="J4" s="3217">
        <v>380000</v>
      </c>
      <c r="K4" s="3217">
        <v>18832.86</v>
      </c>
      <c r="L4" s="3217">
        <v>4.1100000000000003</v>
      </c>
      <c r="M4" s="3217" t="s">
        <v>2989</v>
      </c>
    </row>
    <row r="5" spans="1:20" s="3176" customFormat="1" ht="36">
      <c r="A5" s="3218" t="s">
        <v>3281</v>
      </c>
      <c r="B5" s="3218" t="s">
        <v>1948</v>
      </c>
      <c r="C5" s="3218" t="s">
        <v>2985</v>
      </c>
      <c r="D5" s="3218">
        <v>65602.95</v>
      </c>
      <c r="E5" s="3218">
        <v>120165</v>
      </c>
      <c r="F5" s="3218">
        <v>1.83</v>
      </c>
      <c r="G5" s="3218" t="s">
        <v>2983</v>
      </c>
      <c r="H5" s="3234">
        <v>43038</v>
      </c>
      <c r="I5" s="3218">
        <v>330000</v>
      </c>
      <c r="J5" s="3218">
        <v>495000</v>
      </c>
      <c r="K5" s="3218">
        <v>41193.360000000001</v>
      </c>
      <c r="L5" s="3218">
        <v>50</v>
      </c>
      <c r="M5" s="3218" t="s">
        <v>2990</v>
      </c>
      <c r="N5" s="3178">
        <v>0.12</v>
      </c>
    </row>
    <row r="6" spans="1:20" ht="24">
      <c r="A6" s="3217" t="s">
        <v>2991</v>
      </c>
      <c r="B6" s="3217" t="s">
        <v>1948</v>
      </c>
      <c r="C6" s="3217" t="s">
        <v>2985</v>
      </c>
      <c r="D6" s="3217">
        <v>151051.70000000001</v>
      </c>
      <c r="E6" s="3217">
        <v>274253</v>
      </c>
      <c r="F6" s="3217" t="s">
        <v>2992</v>
      </c>
      <c r="G6" s="3217" t="s">
        <v>2983</v>
      </c>
      <c r="H6" s="3217" t="s">
        <v>2993</v>
      </c>
      <c r="I6" s="3217">
        <v>385000</v>
      </c>
      <c r="J6" s="3217">
        <v>502000</v>
      </c>
      <c r="K6" s="3217">
        <v>18304.27</v>
      </c>
      <c r="L6" s="3217">
        <v>30.39</v>
      </c>
      <c r="M6" s="3217" t="s">
        <v>2986</v>
      </c>
    </row>
    <row r="7" spans="1:20" s="3177" customFormat="1" ht="54.75" customHeight="1">
      <c r="A7" s="3219" t="s">
        <v>2994</v>
      </c>
      <c r="B7" s="3219" t="s">
        <v>1948</v>
      </c>
      <c r="C7" s="3219" t="s">
        <v>2982</v>
      </c>
      <c r="D7" s="3219">
        <v>155132.79999999999</v>
      </c>
      <c r="E7" s="3219">
        <v>156684</v>
      </c>
      <c r="F7" s="3219">
        <v>1.009999305</v>
      </c>
      <c r="G7" s="3219" t="s">
        <v>2983</v>
      </c>
      <c r="H7" s="3219" t="s">
        <v>2995</v>
      </c>
      <c r="I7" s="3219">
        <v>470000</v>
      </c>
      <c r="J7" s="3219">
        <v>705000</v>
      </c>
      <c r="K7" s="3219">
        <v>44995.01</v>
      </c>
      <c r="L7" s="3219">
        <v>50</v>
      </c>
      <c r="M7" s="3219" t="s">
        <v>2996</v>
      </c>
      <c r="N7" s="3179">
        <v>0.36</v>
      </c>
      <c r="O7" s="3620" t="s">
        <v>3022</v>
      </c>
      <c r="P7" s="3620"/>
      <c r="Q7" s="3620"/>
      <c r="R7" s="3620"/>
      <c r="S7" s="3620"/>
      <c r="T7" s="3620"/>
    </row>
    <row r="8" spans="1:20">
      <c r="A8" s="3217" t="s">
        <v>2997</v>
      </c>
      <c r="B8" s="3217" t="s">
        <v>1948</v>
      </c>
      <c r="C8" s="3217" t="s">
        <v>2982</v>
      </c>
      <c r="D8" s="3217">
        <v>41170.230000000003</v>
      </c>
      <c r="E8" s="3217">
        <v>60109</v>
      </c>
      <c r="F8" s="3217">
        <v>1.46</v>
      </c>
      <c r="G8" s="3217" t="s">
        <v>2983</v>
      </c>
      <c r="H8" s="3217" t="s">
        <v>2998</v>
      </c>
      <c r="I8" s="3217">
        <v>88000</v>
      </c>
      <c r="J8" s="3217">
        <v>121000</v>
      </c>
      <c r="K8" s="3217">
        <v>20130.09</v>
      </c>
      <c r="L8" s="3217">
        <v>37.5</v>
      </c>
      <c r="M8" s="3217" t="s">
        <v>2999</v>
      </c>
    </row>
    <row r="9" spans="1:20" ht="24">
      <c r="A9" s="3217" t="s">
        <v>3000</v>
      </c>
      <c r="B9" s="3217" t="s">
        <v>1948</v>
      </c>
      <c r="C9" s="3217" t="s">
        <v>2982</v>
      </c>
      <c r="D9" s="3217">
        <v>45104.74</v>
      </c>
      <c r="E9" s="3217">
        <v>112093</v>
      </c>
      <c r="F9" s="3217">
        <v>2.5</v>
      </c>
      <c r="G9" s="3217" t="s">
        <v>2983</v>
      </c>
      <c r="H9" s="3217" t="s">
        <v>2998</v>
      </c>
      <c r="I9" s="3217">
        <v>130000</v>
      </c>
      <c r="J9" s="3217">
        <v>193000</v>
      </c>
      <c r="K9" s="3217">
        <v>17217.84</v>
      </c>
      <c r="L9" s="3217">
        <v>48.46</v>
      </c>
      <c r="M9" s="3217" t="s">
        <v>3001</v>
      </c>
    </row>
    <row r="10" spans="1:20" ht="24">
      <c r="A10" s="3217" t="s">
        <v>3002</v>
      </c>
      <c r="B10" s="3217" t="s">
        <v>1948</v>
      </c>
      <c r="C10" s="3217" t="s">
        <v>2985</v>
      </c>
      <c r="D10" s="3217">
        <v>17756.68</v>
      </c>
      <c r="E10" s="3217">
        <v>39065</v>
      </c>
      <c r="F10" s="3217">
        <v>2.2000000000000002</v>
      </c>
      <c r="G10" s="3217" t="s">
        <v>2983</v>
      </c>
      <c r="H10" s="3217" t="s">
        <v>3003</v>
      </c>
      <c r="I10" s="3217">
        <v>50000</v>
      </c>
      <c r="J10" s="3217">
        <v>75000</v>
      </c>
      <c r="K10" s="3217">
        <v>19198.77</v>
      </c>
      <c r="L10" s="3217">
        <v>50</v>
      </c>
      <c r="M10" s="3217" t="s">
        <v>3004</v>
      </c>
    </row>
    <row r="11" spans="1:20" ht="24">
      <c r="A11" s="3217" t="s">
        <v>3005</v>
      </c>
      <c r="B11" s="3217" t="s">
        <v>1948</v>
      </c>
      <c r="C11" s="3217" t="s">
        <v>2985</v>
      </c>
      <c r="D11" s="3217">
        <v>74844.53</v>
      </c>
      <c r="E11" s="3217">
        <v>134689</v>
      </c>
      <c r="F11" s="3217">
        <v>1.8</v>
      </c>
      <c r="G11" s="3217" t="s">
        <v>2983</v>
      </c>
      <c r="H11" s="3217" t="s">
        <v>3006</v>
      </c>
      <c r="I11" s="3217">
        <v>87100</v>
      </c>
      <c r="J11" s="3217">
        <v>126000</v>
      </c>
      <c r="K11" s="3217">
        <v>9354.8700000000008</v>
      </c>
      <c r="L11" s="3217">
        <v>44.66</v>
      </c>
      <c r="M11" s="3217" t="s">
        <v>3007</v>
      </c>
    </row>
    <row r="12" spans="1:20">
      <c r="A12" s="3217" t="s">
        <v>3008</v>
      </c>
      <c r="B12" s="3217" t="s">
        <v>1948</v>
      </c>
      <c r="C12" s="3217" t="s">
        <v>2982</v>
      </c>
      <c r="D12" s="3217">
        <v>118126.9</v>
      </c>
      <c r="E12" s="3217">
        <v>208824</v>
      </c>
      <c r="F12" s="3217">
        <v>1.77</v>
      </c>
      <c r="G12" s="3217" t="s">
        <v>2983</v>
      </c>
      <c r="H12" s="3217" t="s">
        <v>3009</v>
      </c>
      <c r="I12" s="3217">
        <v>176500</v>
      </c>
      <c r="J12" s="3217">
        <v>264750</v>
      </c>
      <c r="K12" s="3217">
        <v>12678.13</v>
      </c>
      <c r="L12" s="3217">
        <v>50</v>
      </c>
      <c r="M12" s="3217" t="s">
        <v>3010</v>
      </c>
    </row>
    <row r="13" spans="1:20" ht="24">
      <c r="A13" s="3217" t="s">
        <v>3011</v>
      </c>
      <c r="B13" s="3217" t="s">
        <v>1948</v>
      </c>
      <c r="C13" s="3217" t="s">
        <v>2985</v>
      </c>
      <c r="D13" s="3217">
        <v>139657.29999999999</v>
      </c>
      <c r="E13" s="3217">
        <v>204355</v>
      </c>
      <c r="F13" s="3217">
        <v>1.46</v>
      </c>
      <c r="G13" s="3217" t="s">
        <v>2983</v>
      </c>
      <c r="H13" s="3217" t="s">
        <v>3009</v>
      </c>
      <c r="I13" s="3217">
        <v>156100</v>
      </c>
      <c r="J13" s="3217">
        <v>234150</v>
      </c>
      <c r="K13" s="3217">
        <v>11458</v>
      </c>
      <c r="L13" s="3217">
        <v>50</v>
      </c>
      <c r="M13" s="3217" t="s">
        <v>3010</v>
      </c>
    </row>
    <row r="14" spans="1:20" ht="24">
      <c r="A14" s="3217" t="s">
        <v>3012</v>
      </c>
      <c r="B14" s="3217" t="s">
        <v>1948</v>
      </c>
      <c r="C14" s="3217" t="s">
        <v>2985</v>
      </c>
      <c r="D14" s="3217">
        <v>79821.14</v>
      </c>
      <c r="E14" s="3217">
        <v>142412</v>
      </c>
      <c r="F14" s="3217">
        <v>1.78</v>
      </c>
      <c r="G14" s="3217" t="s">
        <v>2983</v>
      </c>
      <c r="H14" s="3217" t="s">
        <v>3013</v>
      </c>
      <c r="I14" s="3217">
        <v>142300</v>
      </c>
      <c r="J14" s="3217">
        <v>185000</v>
      </c>
      <c r="K14" s="3217">
        <v>12990.47</v>
      </c>
      <c r="L14" s="3217">
        <v>30.01</v>
      </c>
      <c r="M14" s="3217" t="s">
        <v>3014</v>
      </c>
    </row>
    <row r="15" spans="1:20" ht="24">
      <c r="A15" s="3217" t="s">
        <v>3015</v>
      </c>
      <c r="B15" s="3217" t="s">
        <v>1948</v>
      </c>
      <c r="C15" s="3217" t="s">
        <v>2985</v>
      </c>
      <c r="D15" s="3217">
        <v>85055.53</v>
      </c>
      <c r="E15" s="3217">
        <v>127584</v>
      </c>
      <c r="F15" s="3217">
        <v>1.5</v>
      </c>
      <c r="G15" s="3217" t="s">
        <v>2983</v>
      </c>
      <c r="H15" s="3217" t="s">
        <v>3016</v>
      </c>
      <c r="I15" s="3217">
        <v>46000</v>
      </c>
      <c r="J15" s="3217">
        <v>59800</v>
      </c>
      <c r="K15" s="3217">
        <v>4687.1000000000004</v>
      </c>
      <c r="L15" s="3217">
        <v>30</v>
      </c>
      <c r="M15" s="3217" t="s">
        <v>3017</v>
      </c>
    </row>
    <row r="16" spans="1:20" ht="24">
      <c r="A16" s="3217" t="s">
        <v>3018</v>
      </c>
      <c r="B16" s="3217" t="s">
        <v>1948</v>
      </c>
      <c r="C16" s="3217" t="s">
        <v>2982</v>
      </c>
      <c r="D16" s="3217">
        <v>49068.83</v>
      </c>
      <c r="E16" s="3217">
        <v>137393</v>
      </c>
      <c r="F16" s="3217">
        <v>2.8</v>
      </c>
      <c r="G16" s="3217" t="s">
        <v>2983</v>
      </c>
      <c r="H16" s="3217" t="s">
        <v>3019</v>
      </c>
      <c r="I16" s="3217">
        <v>83000</v>
      </c>
      <c r="J16" s="3217">
        <v>115000</v>
      </c>
      <c r="K16" s="3217">
        <v>8370.14</v>
      </c>
      <c r="L16" s="3217">
        <v>38.549999999999997</v>
      </c>
      <c r="M16" s="3217" t="s">
        <v>3020</v>
      </c>
    </row>
  </sheetData>
  <mergeCells count="1">
    <mergeCell ref="O7:T7"/>
  </mergeCells>
  <phoneticPr fontId="2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workbookViewId="0">
      <selection activeCell="I33" sqref="I33"/>
    </sheetView>
  </sheetViews>
  <sheetFormatPr defaultRowHeight="13.5"/>
  <sheetData>
    <row r="1" spans="1:8" ht="14.25" thickBot="1">
      <c r="A1" s="3621" t="s">
        <v>3282</v>
      </c>
      <c r="B1" s="3624" t="s">
        <v>3283</v>
      </c>
      <c r="C1" s="3624" t="s">
        <v>3284</v>
      </c>
      <c r="D1" s="3626" t="s">
        <v>3285</v>
      </c>
      <c r="E1" s="3627"/>
      <c r="F1" s="3628"/>
    </row>
    <row r="2" spans="1:8" ht="14.25" thickBot="1">
      <c r="A2" s="3622"/>
      <c r="B2" s="3625"/>
      <c r="C2" s="3625"/>
      <c r="D2" s="3235" t="s">
        <v>24</v>
      </c>
      <c r="E2" s="3236" t="s">
        <v>3061</v>
      </c>
      <c r="F2" s="3236" t="s">
        <v>3063</v>
      </c>
    </row>
    <row r="3" spans="1:8" ht="14.25" thickBot="1">
      <c r="A3" s="3622"/>
      <c r="B3" s="3629" t="s">
        <v>3286</v>
      </c>
      <c r="C3" s="3237" t="s">
        <v>3197</v>
      </c>
      <c r="D3" s="3238">
        <v>46712.66</v>
      </c>
      <c r="E3" s="3238">
        <v>46712.66</v>
      </c>
      <c r="F3" s="3238">
        <v>0</v>
      </c>
    </row>
    <row r="4" spans="1:8" ht="14.25" thickBot="1">
      <c r="A4" s="3622"/>
      <c r="B4" s="3630"/>
      <c r="C4" s="3237" t="s">
        <v>3199</v>
      </c>
      <c r="D4" s="3238">
        <v>10848.24</v>
      </c>
      <c r="E4" s="3238">
        <v>10848.24</v>
      </c>
      <c r="F4" s="3238">
        <v>0</v>
      </c>
      <c r="H4" s="3185"/>
    </row>
    <row r="5" spans="1:8" ht="14.25" thickBot="1">
      <c r="A5" s="3622"/>
      <c r="B5" s="3630"/>
      <c r="C5" s="3237" t="s">
        <v>3201</v>
      </c>
      <c r="D5" s="3238">
        <v>31676.1</v>
      </c>
      <c r="E5" s="3238">
        <v>31676.1</v>
      </c>
      <c r="F5" s="3238">
        <v>0</v>
      </c>
      <c r="H5" s="3185"/>
    </row>
    <row r="6" spans="1:8" ht="14.25" thickBot="1">
      <c r="A6" s="3622"/>
      <c r="B6" s="3630"/>
      <c r="C6" s="3237" t="s">
        <v>3033</v>
      </c>
      <c r="D6" s="3238">
        <v>480</v>
      </c>
      <c r="E6" s="3238">
        <v>250</v>
      </c>
      <c r="F6" s="3238">
        <v>230</v>
      </c>
    </row>
    <row r="7" spans="1:8" ht="14.25" thickBot="1">
      <c r="A7" s="3622"/>
      <c r="B7" s="3630"/>
      <c r="C7" s="3237" t="s">
        <v>35</v>
      </c>
      <c r="D7" s="3238">
        <v>36229.14</v>
      </c>
      <c r="E7" s="3238">
        <v>0</v>
      </c>
      <c r="F7" s="3238">
        <v>36229.14</v>
      </c>
    </row>
    <row r="8" spans="1:8" ht="14.25" thickBot="1">
      <c r="A8" s="3622"/>
      <c r="B8" s="3630"/>
      <c r="C8" s="3237" t="s">
        <v>3287</v>
      </c>
      <c r="D8" s="3238">
        <v>10172.129999999999</v>
      </c>
      <c r="E8" s="3238">
        <v>0</v>
      </c>
      <c r="F8" s="3238">
        <v>10172.129999999999</v>
      </c>
    </row>
    <row r="9" spans="1:8" ht="14.25" thickBot="1">
      <c r="A9" s="3622"/>
      <c r="B9" s="3631"/>
      <c r="C9" s="3237" t="s">
        <v>3229</v>
      </c>
      <c r="D9" s="3238">
        <v>72621.73</v>
      </c>
      <c r="E9" s="3238">
        <v>0</v>
      </c>
      <c r="F9" s="3238">
        <v>72621.73</v>
      </c>
    </row>
    <row r="10" spans="1:8" ht="14.25" thickBot="1">
      <c r="A10" s="3622"/>
      <c r="B10" s="3632" t="s">
        <v>3288</v>
      </c>
      <c r="C10" s="3633"/>
      <c r="D10" s="3238">
        <v>208740</v>
      </c>
      <c r="E10" s="3238">
        <v>89487</v>
      </c>
      <c r="F10" s="3238">
        <v>119253</v>
      </c>
    </row>
    <row r="11" spans="1:8" ht="14.25" thickBot="1">
      <c r="A11" s="3622"/>
      <c r="B11" s="3629" t="s">
        <v>1680</v>
      </c>
      <c r="C11" s="3237" t="s">
        <v>2314</v>
      </c>
      <c r="D11" s="3238">
        <v>18135</v>
      </c>
      <c r="E11" s="3238">
        <v>468</v>
      </c>
      <c r="F11" s="3238">
        <v>17667</v>
      </c>
    </row>
    <row r="12" spans="1:8" ht="14.25" thickBot="1">
      <c r="A12" s="3622"/>
      <c r="B12" s="3631"/>
      <c r="C12" s="3237" t="s">
        <v>3289</v>
      </c>
      <c r="D12" s="3238">
        <v>1920</v>
      </c>
      <c r="E12" s="3238">
        <v>1870</v>
      </c>
      <c r="F12" s="3238">
        <v>50</v>
      </c>
    </row>
    <row r="13" spans="1:8" ht="14.25" thickBot="1">
      <c r="A13" s="3622"/>
      <c r="B13" s="3632" t="s">
        <v>3290</v>
      </c>
      <c r="C13" s="3633"/>
      <c r="D13" s="3238">
        <v>20055</v>
      </c>
      <c r="E13" s="3238">
        <v>2338</v>
      </c>
      <c r="F13" s="3238">
        <v>17717</v>
      </c>
    </row>
    <row r="14" spans="1:8" ht="14.25" thickBot="1">
      <c r="A14" s="3623"/>
      <c r="B14" s="3634" t="s">
        <v>3291</v>
      </c>
      <c r="C14" s="3635"/>
      <c r="D14" s="3239">
        <v>228795</v>
      </c>
      <c r="E14" s="3239">
        <v>91825</v>
      </c>
      <c r="F14" s="3239">
        <v>136970</v>
      </c>
    </row>
    <row r="15" spans="1:8" ht="14.25" thickBot="1">
      <c r="A15" s="3621" t="s">
        <v>3292</v>
      </c>
      <c r="B15" s="3629" t="s">
        <v>3286</v>
      </c>
      <c r="C15" s="3237" t="s">
        <v>3197</v>
      </c>
      <c r="D15" s="3238">
        <v>37366</v>
      </c>
      <c r="E15" s="3238">
        <v>37366</v>
      </c>
      <c r="F15" s="3238">
        <v>0</v>
      </c>
    </row>
    <row r="16" spans="1:8" ht="14.25" thickBot="1">
      <c r="A16" s="3622"/>
      <c r="B16" s="3630"/>
      <c r="C16" s="3237" t="s">
        <v>3199</v>
      </c>
      <c r="D16" s="3238">
        <v>3479.62</v>
      </c>
      <c r="E16" s="3238">
        <v>3479.62</v>
      </c>
      <c r="F16" s="3238">
        <v>0</v>
      </c>
    </row>
    <row r="17" spans="1:6" ht="14.25" thickBot="1">
      <c r="A17" s="3622"/>
      <c r="B17" s="3630"/>
      <c r="C17" s="3237" t="s">
        <v>3201</v>
      </c>
      <c r="D17" s="3238">
        <v>23770.38</v>
      </c>
      <c r="E17" s="3238">
        <v>23770.38</v>
      </c>
      <c r="F17" s="3238">
        <v>0</v>
      </c>
    </row>
    <row r="18" spans="1:6" ht="14.25" thickBot="1">
      <c r="A18" s="3622"/>
      <c r="B18" s="3630"/>
      <c r="C18" s="3237" t="s">
        <v>35</v>
      </c>
      <c r="D18" s="3238">
        <v>27049</v>
      </c>
      <c r="E18" s="3238">
        <v>0</v>
      </c>
      <c r="F18" s="3238">
        <v>27049</v>
      </c>
    </row>
    <row r="19" spans="1:6" ht="14.25" thickBot="1">
      <c r="A19" s="3622"/>
      <c r="B19" s="3630"/>
      <c r="C19" s="3237" t="s">
        <v>3287</v>
      </c>
      <c r="D19" s="3238">
        <v>3356</v>
      </c>
      <c r="E19" s="3238">
        <v>0</v>
      </c>
      <c r="F19" s="3238">
        <v>3356</v>
      </c>
    </row>
    <row r="20" spans="1:6" ht="14.25" thickBot="1">
      <c r="A20" s="3622"/>
      <c r="B20" s="3631"/>
      <c r="C20" s="3237" t="s">
        <v>3229</v>
      </c>
      <c r="D20" s="3238">
        <v>61047</v>
      </c>
      <c r="E20" s="3238">
        <v>0</v>
      </c>
      <c r="F20" s="3238">
        <v>61047</v>
      </c>
    </row>
    <row r="21" spans="1:6" ht="14.25" thickBot="1">
      <c r="A21" s="3622"/>
      <c r="B21" s="3632" t="s">
        <v>3293</v>
      </c>
      <c r="C21" s="3633"/>
      <c r="D21" s="3238">
        <v>156068</v>
      </c>
      <c r="E21" s="3238">
        <v>64616</v>
      </c>
      <c r="F21" s="3238">
        <v>91452</v>
      </c>
    </row>
    <row r="22" spans="1:6" ht="14.25" thickBot="1">
      <c r="A22" s="3622"/>
      <c r="B22" s="3629" t="s">
        <v>1680</v>
      </c>
      <c r="C22" s="3237" t="s">
        <v>2314</v>
      </c>
      <c r="D22" s="3238">
        <v>11768</v>
      </c>
      <c r="E22" s="3238">
        <v>78</v>
      </c>
      <c r="F22" s="3238">
        <v>11690</v>
      </c>
    </row>
    <row r="23" spans="1:6" ht="14.25" thickBot="1">
      <c r="A23" s="3622"/>
      <c r="B23" s="3631"/>
      <c r="C23" s="3237" t="s">
        <v>3289</v>
      </c>
      <c r="D23" s="3238">
        <v>990</v>
      </c>
      <c r="E23" s="3238">
        <v>0</v>
      </c>
      <c r="F23" s="3238">
        <v>990</v>
      </c>
    </row>
    <row r="24" spans="1:6" ht="14.25" thickBot="1">
      <c r="A24" s="3622"/>
      <c r="B24" s="3632" t="s">
        <v>3294</v>
      </c>
      <c r="C24" s="3633"/>
      <c r="D24" s="3238">
        <v>12758</v>
      </c>
      <c r="E24" s="3238">
        <v>78</v>
      </c>
      <c r="F24" s="3238">
        <v>12680</v>
      </c>
    </row>
    <row r="25" spans="1:6" ht="14.25" thickBot="1">
      <c r="A25" s="3623"/>
      <c r="B25" s="3634" t="s">
        <v>3295</v>
      </c>
      <c r="C25" s="3635"/>
      <c r="D25" s="3239">
        <v>168826</v>
      </c>
      <c r="E25" s="3239">
        <v>64694</v>
      </c>
      <c r="F25" s="3239">
        <v>104132</v>
      </c>
    </row>
    <row r="26" spans="1:6" ht="14.25" thickBot="1">
      <c r="A26" s="3636" t="s">
        <v>3296</v>
      </c>
      <c r="B26" s="3637"/>
      <c r="C26" s="3638"/>
      <c r="D26" s="3239">
        <v>397621</v>
      </c>
      <c r="E26" s="3239">
        <v>156519</v>
      </c>
      <c r="F26" s="3239">
        <v>241102</v>
      </c>
    </row>
  </sheetData>
  <mergeCells count="16">
    <mergeCell ref="A26:C26"/>
    <mergeCell ref="A15:A25"/>
    <mergeCell ref="B15:B20"/>
    <mergeCell ref="B21:C21"/>
    <mergeCell ref="B22:B23"/>
    <mergeCell ref="B24:C24"/>
    <mergeCell ref="B25:C25"/>
    <mergeCell ref="A1:A14"/>
    <mergeCell ref="B1:B2"/>
    <mergeCell ref="C1:C2"/>
    <mergeCell ref="D1:F1"/>
    <mergeCell ref="B3:B9"/>
    <mergeCell ref="B10:C10"/>
    <mergeCell ref="B11:B12"/>
    <mergeCell ref="B13:C13"/>
    <mergeCell ref="B14:C14"/>
  </mergeCells>
  <phoneticPr fontId="2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4"/>
      <c r="B1" s="2232" t="s">
        <v>2303</v>
      </c>
      <c r="C1" s="3642" t="s">
        <v>2304</v>
      </c>
      <c r="D1" s="3643"/>
      <c r="E1" s="3643"/>
      <c r="F1" s="3643"/>
      <c r="G1" s="3643"/>
      <c r="H1" s="3643"/>
      <c r="I1" s="3643"/>
      <c r="J1" s="3643"/>
      <c r="K1" s="3643"/>
      <c r="L1" s="3643"/>
      <c r="M1" s="3643"/>
      <c r="N1" s="3643"/>
      <c r="O1" s="3643"/>
      <c r="P1" s="3643"/>
      <c r="Q1" s="3643"/>
      <c r="R1" s="3643"/>
      <c r="S1" s="3644"/>
      <c r="T1" s="2232" t="s">
        <v>2305</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R2" si="1">M3&amp;"(含)"&amp;"-"&amp;N3</f>
        <v>(含)-</v>
      </c>
      <c r="N2" s="950" t="str">
        <f t="shared" si="1"/>
        <v>(含)-</v>
      </c>
      <c r="O2" s="950" t="str">
        <f t="shared" si="1"/>
        <v>(含)-</v>
      </c>
      <c r="P2" s="950" t="str">
        <f t="shared" si="1"/>
        <v>(含)-</v>
      </c>
      <c r="Q2" s="950" t="str">
        <f t="shared" si="1"/>
        <v>(含)-</v>
      </c>
      <c r="R2" s="950" t="str">
        <f t="shared" si="1"/>
        <v>(含)-</v>
      </c>
      <c r="S2" s="2234" t="str">
        <f>S3&amp;"(含)"&amp;"-"</f>
        <v>(含)-</v>
      </c>
      <c r="T2" s="951"/>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2"/>
      <c r="C3" s="953"/>
      <c r="D3" s="954"/>
      <c r="E3" s="954"/>
      <c r="F3" s="954"/>
      <c r="G3" s="954"/>
      <c r="H3" s="954"/>
      <c r="I3" s="954"/>
      <c r="J3" s="955"/>
      <c r="K3" s="955"/>
      <c r="L3" s="956"/>
      <c r="M3" s="2237"/>
      <c r="N3" s="2238"/>
      <c r="O3" s="954"/>
      <c r="P3" s="954"/>
      <c r="Q3" s="954"/>
      <c r="R3" s="954"/>
      <c r="S3" s="2239"/>
      <c r="T3" s="957"/>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84" t="s">
        <v>2914</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2">D6-$T5</f>
        <v>100</v>
      </c>
      <c r="F6" s="1967">
        <f t="shared" si="2"/>
        <v>100</v>
      </c>
      <c r="G6" s="1967">
        <f t="shared" si="2"/>
        <v>100</v>
      </c>
      <c r="H6" s="1967">
        <f t="shared" si="2"/>
        <v>100</v>
      </c>
      <c r="I6" s="1967">
        <f t="shared" si="2"/>
        <v>100</v>
      </c>
      <c r="J6" s="1967">
        <f t="shared" si="2"/>
        <v>100</v>
      </c>
      <c r="K6" s="1967">
        <f t="shared" si="2"/>
        <v>100</v>
      </c>
      <c r="L6" s="1967">
        <f t="shared" si="2"/>
        <v>100</v>
      </c>
      <c r="M6" s="1967">
        <f t="shared" si="2"/>
        <v>100</v>
      </c>
      <c r="N6" s="1967">
        <f t="shared" si="2"/>
        <v>100</v>
      </c>
      <c r="O6" s="1967">
        <f t="shared" si="2"/>
        <v>100</v>
      </c>
      <c r="P6" s="1967">
        <f t="shared" si="2"/>
        <v>100</v>
      </c>
      <c r="Q6" s="1967">
        <f t="shared" si="2"/>
        <v>100</v>
      </c>
      <c r="R6" s="1967">
        <f t="shared" si="2"/>
        <v>100</v>
      </c>
      <c r="S6" s="1967">
        <f t="shared" si="2"/>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86" t="s">
        <v>2913</v>
      </c>
      <c r="C7" s="1959"/>
      <c r="D7" s="1960"/>
      <c r="E7" s="1960"/>
      <c r="F7" s="1960"/>
      <c r="G7" s="1960"/>
      <c r="H7" s="1960"/>
      <c r="I7" s="1960"/>
      <c r="J7" s="1960"/>
      <c r="K7" s="1960"/>
      <c r="L7" s="1960"/>
      <c r="M7" s="2257"/>
      <c r="N7" s="2258"/>
      <c r="O7" s="2259"/>
      <c r="P7" s="2260"/>
      <c r="Q7" s="2261"/>
      <c r="R7" s="2262"/>
      <c r="S7" s="2263"/>
      <c r="T7" s="958"/>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3">D8-$T7</f>
        <v>100</v>
      </c>
      <c r="F8" s="1967">
        <f t="shared" si="3"/>
        <v>100</v>
      </c>
      <c r="G8" s="1967">
        <f t="shared" si="3"/>
        <v>100</v>
      </c>
      <c r="H8" s="1967">
        <f t="shared" si="3"/>
        <v>100</v>
      </c>
      <c r="I8" s="1967">
        <f t="shared" si="3"/>
        <v>100</v>
      </c>
      <c r="J8" s="1967">
        <f t="shared" si="3"/>
        <v>100</v>
      </c>
      <c r="K8" s="1967">
        <f t="shared" si="3"/>
        <v>100</v>
      </c>
      <c r="L8" s="1967">
        <f t="shared" si="3"/>
        <v>100</v>
      </c>
      <c r="M8" s="1967">
        <f t="shared" si="3"/>
        <v>100</v>
      </c>
      <c r="N8" s="1967">
        <f t="shared" si="3"/>
        <v>100</v>
      </c>
      <c r="O8" s="1967">
        <f t="shared" si="3"/>
        <v>100</v>
      </c>
      <c r="P8" s="1967">
        <f t="shared" si="3"/>
        <v>100</v>
      </c>
      <c r="Q8" s="1967">
        <f t="shared" si="3"/>
        <v>100</v>
      </c>
      <c r="R8" s="1967">
        <f t="shared" si="3"/>
        <v>100</v>
      </c>
      <c r="S8" s="1967">
        <f t="shared" si="3"/>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86" t="s">
        <v>2912</v>
      </c>
      <c r="C9" s="1959"/>
      <c r="D9" s="1960"/>
      <c r="E9" s="1960"/>
      <c r="F9" s="1960"/>
      <c r="G9" s="1960"/>
      <c r="H9" s="1960"/>
      <c r="I9" s="1960"/>
      <c r="J9" s="1960"/>
      <c r="K9" s="1960"/>
      <c r="L9" s="1961"/>
      <c r="M9" s="2257"/>
      <c r="N9" s="2258"/>
      <c r="O9" s="2259"/>
      <c r="P9" s="2260"/>
      <c r="Q9" s="2261"/>
      <c r="R9" s="2262"/>
      <c r="S9" s="2263"/>
      <c r="T9" s="958"/>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85"/>
      <c r="C10" s="2264">
        <v>100</v>
      </c>
      <c r="D10" s="2265">
        <f>C10-$T9</f>
        <v>100</v>
      </c>
      <c r="E10" s="2265">
        <f t="shared" ref="E10:S10" si="4">D10-$T9</f>
        <v>100</v>
      </c>
      <c r="F10" s="2265">
        <f t="shared" si="4"/>
        <v>100</v>
      </c>
      <c r="G10" s="2265">
        <f t="shared" si="4"/>
        <v>100</v>
      </c>
      <c r="H10" s="2265">
        <f t="shared" si="4"/>
        <v>100</v>
      </c>
      <c r="I10" s="2265">
        <f t="shared" si="4"/>
        <v>100</v>
      </c>
      <c r="J10" s="2265">
        <f t="shared" si="4"/>
        <v>100</v>
      </c>
      <c r="K10" s="2265">
        <f t="shared" si="4"/>
        <v>100</v>
      </c>
      <c r="L10" s="2265">
        <f t="shared" si="4"/>
        <v>100</v>
      </c>
      <c r="M10" s="2265">
        <f t="shared" si="4"/>
        <v>100</v>
      </c>
      <c r="N10" s="2265">
        <f t="shared" si="4"/>
        <v>100</v>
      </c>
      <c r="O10" s="2265">
        <f t="shared" si="4"/>
        <v>100</v>
      </c>
      <c r="P10" s="2265">
        <f t="shared" si="4"/>
        <v>100</v>
      </c>
      <c r="Q10" s="2265">
        <f t="shared" si="4"/>
        <v>100</v>
      </c>
      <c r="R10" s="2265">
        <f t="shared" si="4"/>
        <v>100</v>
      </c>
      <c r="S10" s="2265">
        <f t="shared" si="4"/>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84" t="s">
        <v>2927</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5">D12-$T11</f>
        <v>100</v>
      </c>
      <c r="F12" s="1967">
        <f t="shared" si="5"/>
        <v>100</v>
      </c>
      <c r="G12" s="1967">
        <f t="shared" si="5"/>
        <v>100</v>
      </c>
      <c r="H12" s="1967">
        <f t="shared" si="5"/>
        <v>100</v>
      </c>
      <c r="I12" s="1967">
        <f t="shared" si="5"/>
        <v>100</v>
      </c>
      <c r="J12" s="1967">
        <f t="shared" si="5"/>
        <v>100</v>
      </c>
      <c r="K12" s="1967">
        <f t="shared" si="5"/>
        <v>100</v>
      </c>
      <c r="L12" s="1967">
        <f t="shared" si="5"/>
        <v>100</v>
      </c>
      <c r="M12" s="1967">
        <f t="shared" si="5"/>
        <v>100</v>
      </c>
      <c r="N12" s="1967">
        <f t="shared" si="5"/>
        <v>100</v>
      </c>
      <c r="O12" s="1967">
        <f t="shared" si="5"/>
        <v>100</v>
      </c>
      <c r="P12" s="1967">
        <f t="shared" si="5"/>
        <v>100</v>
      </c>
      <c r="Q12" s="1967">
        <f t="shared" si="5"/>
        <v>100</v>
      </c>
      <c r="R12" s="1967">
        <f t="shared" si="5"/>
        <v>100</v>
      </c>
      <c r="S12" s="1967">
        <f t="shared" si="5"/>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84" t="s">
        <v>2911</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84" t="s">
        <v>2910</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2307</v>
      </c>
      <c r="B17" s="2276" t="s">
        <v>2308</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7"/>
      <c r="C19" s="1988"/>
      <c r="D19" s="1988"/>
      <c r="E19" s="1988"/>
      <c r="F19" s="1988"/>
      <c r="G19" s="1988"/>
      <c r="H19" s="1988"/>
      <c r="I19" s="1988"/>
      <c r="J19" s="1988"/>
      <c r="K19" s="1988"/>
      <c r="L19" s="1988"/>
      <c r="M19" s="1988"/>
      <c r="N19" s="1988"/>
      <c r="O19" s="1988"/>
      <c r="P19" s="1988"/>
      <c r="Q19" s="1988"/>
      <c r="R19" s="2223"/>
      <c r="S19" s="2026"/>
    </row>
    <row r="20" spans="1:45" ht="15.75">
      <c r="A20" s="959" t="s">
        <v>828</v>
      </c>
      <c r="B20" s="774">
        <f>S22</f>
        <v>0</v>
      </c>
      <c r="C20" s="1988"/>
      <c r="D20" s="1988"/>
      <c r="E20" s="1988"/>
      <c r="F20" s="1988"/>
      <c r="G20" s="1988"/>
      <c r="H20" s="1988"/>
      <c r="I20" s="1988"/>
      <c r="J20" s="1988"/>
      <c r="K20" s="1988"/>
      <c r="L20" s="1988"/>
      <c r="M20" s="1988"/>
      <c r="N20" s="1988"/>
      <c r="O20" s="1988"/>
      <c r="P20" s="1988"/>
      <c r="Q20" s="1988"/>
      <c r="R20" s="2223"/>
      <c r="S20" s="2026"/>
    </row>
    <row r="21" spans="1:45" ht="15.75">
      <c r="A21" s="959" t="s">
        <v>829</v>
      </c>
      <c r="B21" s="774" t="e">
        <f>R22</f>
        <v>#DIV/0!</v>
      </c>
      <c r="C21" s="1988"/>
      <c r="D21" s="1988"/>
      <c r="E21" s="1988"/>
      <c r="F21" s="1988"/>
      <c r="G21" s="1988"/>
      <c r="H21" s="1988"/>
      <c r="I21" s="1988"/>
      <c r="J21" s="1988"/>
      <c r="K21" s="1988"/>
      <c r="L21" s="1988"/>
      <c r="M21" s="1988"/>
      <c r="N21" s="1988"/>
      <c r="O21" s="1988"/>
      <c r="P21" s="1988"/>
      <c r="Q21" s="1988"/>
      <c r="R21" s="2223"/>
      <c r="S21" s="2026"/>
    </row>
    <row r="22" spans="1:45">
      <c r="A22" s="798" t="s">
        <v>830</v>
      </c>
      <c r="B22" s="53">
        <f>SUM(B24:B10000)</f>
        <v>0</v>
      </c>
      <c r="C22" s="3639" t="s">
        <v>20</v>
      </c>
      <c r="D22" s="3640"/>
      <c r="E22" s="3640"/>
      <c r="F22" s="3640"/>
      <c r="G22" s="3640"/>
      <c r="H22" s="3640"/>
      <c r="I22" s="3640"/>
      <c r="J22" s="3640"/>
      <c r="K22" s="3640"/>
      <c r="L22" s="3640"/>
      <c r="M22" s="3640"/>
      <c r="N22" s="3640"/>
      <c r="O22" s="3640"/>
      <c r="P22" s="3640"/>
      <c r="Q22" s="3641"/>
      <c r="R22" s="489"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6">ROUND(R24*B24/10000,0)</f>
        <v>0</v>
      </c>
      <c r="T24" s="1971"/>
      <c r="U24" s="1971"/>
      <c r="V24" s="1971"/>
      <c r="W24" s="1971"/>
      <c r="X24" s="1971"/>
      <c r="Y24" s="1971"/>
      <c r="Z24" s="1971"/>
      <c r="AA24" s="1971"/>
      <c r="AB24" s="1971"/>
      <c r="AC24" s="1971"/>
      <c r="AD24" s="1971"/>
      <c r="AE24" s="1971"/>
      <c r="AF24" s="1971"/>
      <c r="AG24" s="1971"/>
      <c r="AH24" s="1971"/>
      <c r="AI24" s="1971"/>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6"/>
        <v>0</v>
      </c>
    </row>
    <row r="26" spans="1:45">
      <c r="A26" s="964"/>
      <c r="B26" s="137"/>
      <c r="C26" s="53">
        <f t="shared" ref="C26:C89" si="7">IF(B26="",1,(LOOKUP(B26,$3:$3,$4:$4)-LOOKUP($B$24,$3:$3,$4:$4)+100)/100)</f>
        <v>1</v>
      </c>
      <c r="D26" s="962"/>
      <c r="E26" s="53">
        <f t="shared" ref="E26:E89" si="8">(SUMIF($5:$5,D26,$6:$6)-SUMIF($5:$5,$D$24,$6:$6)+100)/100</f>
        <v>1</v>
      </c>
      <c r="F26" s="962"/>
      <c r="G26" s="53">
        <f t="shared" ref="G26:G89" si="9">(SUMIF($7:$7,F26,$8:$8)-SUMIF($7:$7,$F$24,$8:$8)+100)/100</f>
        <v>1</v>
      </c>
      <c r="H26" s="962"/>
      <c r="I26" s="53">
        <f t="shared" ref="I26:I89" si="10">(SUMIF($9:$9,H26,$10:$10)-SUMIF($9:$9,$H$24,$10:$10)+100)/100</f>
        <v>1</v>
      </c>
      <c r="J26" s="962"/>
      <c r="K26" s="53">
        <f t="shared" ref="K26:K89" si="11">(SUMIF($11:$11,J26,$12:$12)-SUMIF($11:$11,$J$24,$12:$12)+100)/100</f>
        <v>1</v>
      </c>
      <c r="L26" s="962"/>
      <c r="M26" s="53">
        <f t="shared" ref="M26:M89" si="12">(SUMIF($13:$13,L26,$14:$14)-SUMIF($13:$13,$L$24,$14:$14)+100)/100</f>
        <v>1</v>
      </c>
      <c r="N26" s="962"/>
      <c r="O26" s="53">
        <f t="shared" ref="O26:O89" si="13">(SUMIF($15:$15,N26,$16:$16)-SUMIF($15:$15,$N$24,$16:$16)+100)/100</f>
        <v>1</v>
      </c>
      <c r="P26" s="962"/>
      <c r="Q26" s="53">
        <f t="shared" ref="Q26:Q89" si="14">(SUMIF($17:$17,P26,$18:$18)-SUMIF($17:$17,$P$24,$18:$18)+100)/100</f>
        <v>1</v>
      </c>
      <c r="R26" s="489">
        <f t="shared" ref="R26:R89" si="15">IF(B26="",0,ROUND($R$24*C26*E26*G26*I26*K26*M26*O26*Q26,0))</f>
        <v>0</v>
      </c>
      <c r="S26" s="798">
        <f t="shared" si="6"/>
        <v>0</v>
      </c>
    </row>
    <row r="27" spans="1:45">
      <c r="A27" s="964"/>
      <c r="B27" s="137"/>
      <c r="C27" s="53">
        <f t="shared" si="7"/>
        <v>1</v>
      </c>
      <c r="D27" s="962"/>
      <c r="E27" s="53">
        <f t="shared" si="8"/>
        <v>1</v>
      </c>
      <c r="F27" s="962"/>
      <c r="G27" s="53">
        <f t="shared" si="9"/>
        <v>1</v>
      </c>
      <c r="H27" s="962"/>
      <c r="I27" s="53">
        <f t="shared" si="10"/>
        <v>1</v>
      </c>
      <c r="J27" s="962"/>
      <c r="K27" s="53">
        <f t="shared" si="11"/>
        <v>1</v>
      </c>
      <c r="L27" s="962"/>
      <c r="M27" s="53">
        <f t="shared" si="12"/>
        <v>1</v>
      </c>
      <c r="N27" s="962"/>
      <c r="O27" s="53">
        <f t="shared" si="13"/>
        <v>1</v>
      </c>
      <c r="P27" s="962"/>
      <c r="Q27" s="53">
        <f t="shared" si="14"/>
        <v>1</v>
      </c>
      <c r="R27" s="489">
        <f t="shared" si="15"/>
        <v>0</v>
      </c>
      <c r="S27" s="798">
        <f t="shared" si="6"/>
        <v>0</v>
      </c>
    </row>
    <row r="28" spans="1:45">
      <c r="A28" s="964"/>
      <c r="B28" s="137"/>
      <c r="C28" s="53">
        <f t="shared" si="7"/>
        <v>1</v>
      </c>
      <c r="D28" s="962"/>
      <c r="E28" s="53">
        <f t="shared" si="8"/>
        <v>1</v>
      </c>
      <c r="F28" s="962"/>
      <c r="G28" s="53">
        <f t="shared" si="9"/>
        <v>1</v>
      </c>
      <c r="H28" s="962"/>
      <c r="I28" s="53">
        <f t="shared" si="10"/>
        <v>1</v>
      </c>
      <c r="J28" s="962"/>
      <c r="K28" s="53">
        <f t="shared" si="11"/>
        <v>1</v>
      </c>
      <c r="L28" s="962"/>
      <c r="M28" s="53">
        <f t="shared" si="12"/>
        <v>1</v>
      </c>
      <c r="N28" s="962"/>
      <c r="O28" s="53">
        <f t="shared" si="13"/>
        <v>1</v>
      </c>
      <c r="P28" s="962"/>
      <c r="Q28" s="53">
        <f t="shared" si="14"/>
        <v>1</v>
      </c>
      <c r="R28" s="489">
        <f t="shared" si="15"/>
        <v>0</v>
      </c>
      <c r="S28" s="798">
        <f t="shared" si="6"/>
        <v>0</v>
      </c>
    </row>
    <row r="29" spans="1:45">
      <c r="A29" s="964"/>
      <c r="B29" s="137"/>
      <c r="C29" s="53">
        <f t="shared" si="7"/>
        <v>1</v>
      </c>
      <c r="D29" s="962"/>
      <c r="E29" s="53">
        <f t="shared" si="8"/>
        <v>1</v>
      </c>
      <c r="F29" s="962"/>
      <c r="G29" s="53">
        <f t="shared" si="9"/>
        <v>1</v>
      </c>
      <c r="H29" s="962"/>
      <c r="I29" s="53">
        <f t="shared" si="10"/>
        <v>1</v>
      </c>
      <c r="J29" s="962"/>
      <c r="K29" s="53">
        <f t="shared" si="11"/>
        <v>1</v>
      </c>
      <c r="L29" s="962"/>
      <c r="M29" s="53">
        <f t="shared" si="12"/>
        <v>1</v>
      </c>
      <c r="N29" s="962"/>
      <c r="O29" s="53">
        <f t="shared" si="13"/>
        <v>1</v>
      </c>
      <c r="P29" s="962"/>
      <c r="Q29" s="53">
        <f t="shared" si="14"/>
        <v>1</v>
      </c>
      <c r="R29" s="489">
        <f t="shared" si="15"/>
        <v>0</v>
      </c>
      <c r="S29" s="798">
        <f t="shared" si="6"/>
        <v>0</v>
      </c>
    </row>
    <row r="30" spans="1:45">
      <c r="A30" s="964"/>
      <c r="B30" s="137"/>
      <c r="C30" s="53">
        <f t="shared" si="7"/>
        <v>1</v>
      </c>
      <c r="D30" s="962"/>
      <c r="E30" s="53">
        <f t="shared" si="8"/>
        <v>1</v>
      </c>
      <c r="F30" s="962"/>
      <c r="G30" s="53">
        <f t="shared" si="9"/>
        <v>1</v>
      </c>
      <c r="H30" s="962"/>
      <c r="I30" s="53">
        <f t="shared" si="10"/>
        <v>1</v>
      </c>
      <c r="J30" s="962"/>
      <c r="K30" s="53">
        <f t="shared" si="11"/>
        <v>1</v>
      </c>
      <c r="L30" s="962"/>
      <c r="M30" s="53">
        <f t="shared" si="12"/>
        <v>1</v>
      </c>
      <c r="N30" s="962"/>
      <c r="O30" s="53">
        <f t="shared" si="13"/>
        <v>1</v>
      </c>
      <c r="P30" s="962"/>
      <c r="Q30" s="53">
        <f t="shared" si="14"/>
        <v>1</v>
      </c>
      <c r="R30" s="489">
        <f t="shared" si="15"/>
        <v>0</v>
      </c>
      <c r="S30" s="798">
        <f t="shared" si="6"/>
        <v>0</v>
      </c>
    </row>
    <row r="31" spans="1:45">
      <c r="A31" s="964"/>
      <c r="B31" s="137"/>
      <c r="C31" s="53">
        <f t="shared" si="7"/>
        <v>1</v>
      </c>
      <c r="D31" s="962"/>
      <c r="E31" s="53">
        <f t="shared" si="8"/>
        <v>1</v>
      </c>
      <c r="F31" s="962"/>
      <c r="G31" s="53">
        <f t="shared" si="9"/>
        <v>1</v>
      </c>
      <c r="H31" s="962"/>
      <c r="I31" s="53">
        <f t="shared" si="10"/>
        <v>1</v>
      </c>
      <c r="J31" s="962"/>
      <c r="K31" s="53">
        <f t="shared" si="11"/>
        <v>1</v>
      </c>
      <c r="L31" s="962"/>
      <c r="M31" s="53">
        <f t="shared" si="12"/>
        <v>1</v>
      </c>
      <c r="N31" s="962"/>
      <c r="O31" s="53">
        <f t="shared" si="13"/>
        <v>1</v>
      </c>
      <c r="P31" s="962"/>
      <c r="Q31" s="53">
        <f t="shared" si="14"/>
        <v>1</v>
      </c>
      <c r="R31" s="489">
        <f t="shared" si="15"/>
        <v>0</v>
      </c>
      <c r="S31" s="798">
        <f t="shared" si="6"/>
        <v>0</v>
      </c>
    </row>
    <row r="32" spans="1:45">
      <c r="A32" s="964"/>
      <c r="B32" s="137"/>
      <c r="C32" s="53">
        <f t="shared" si="7"/>
        <v>1</v>
      </c>
      <c r="D32" s="962"/>
      <c r="E32" s="53">
        <f t="shared" si="8"/>
        <v>1</v>
      </c>
      <c r="F32" s="962"/>
      <c r="G32" s="53">
        <f t="shared" si="9"/>
        <v>1</v>
      </c>
      <c r="H32" s="962"/>
      <c r="I32" s="53">
        <f t="shared" si="10"/>
        <v>1</v>
      </c>
      <c r="J32" s="962"/>
      <c r="K32" s="53">
        <f t="shared" si="11"/>
        <v>1</v>
      </c>
      <c r="L32" s="962"/>
      <c r="M32" s="53">
        <f t="shared" si="12"/>
        <v>1</v>
      </c>
      <c r="N32" s="962"/>
      <c r="O32" s="53">
        <f t="shared" si="13"/>
        <v>1</v>
      </c>
      <c r="P32" s="962"/>
      <c r="Q32" s="53">
        <f t="shared" si="14"/>
        <v>1</v>
      </c>
      <c r="R32" s="489">
        <f t="shared" si="15"/>
        <v>0</v>
      </c>
      <c r="S32" s="798">
        <f t="shared" si="6"/>
        <v>0</v>
      </c>
    </row>
    <row r="33" spans="1:19">
      <c r="A33" s="964"/>
      <c r="B33" s="137"/>
      <c r="C33" s="53">
        <f t="shared" si="7"/>
        <v>1</v>
      </c>
      <c r="D33" s="962"/>
      <c r="E33" s="53">
        <f t="shared" si="8"/>
        <v>1</v>
      </c>
      <c r="F33" s="962"/>
      <c r="G33" s="53">
        <f t="shared" si="9"/>
        <v>1</v>
      </c>
      <c r="H33" s="962"/>
      <c r="I33" s="53">
        <f t="shared" si="10"/>
        <v>1</v>
      </c>
      <c r="J33" s="962"/>
      <c r="K33" s="53">
        <f t="shared" si="11"/>
        <v>1</v>
      </c>
      <c r="L33" s="962"/>
      <c r="M33" s="53">
        <f t="shared" si="12"/>
        <v>1</v>
      </c>
      <c r="N33" s="962"/>
      <c r="O33" s="53">
        <f t="shared" si="13"/>
        <v>1</v>
      </c>
      <c r="P33" s="962"/>
      <c r="Q33" s="53">
        <f t="shared" si="14"/>
        <v>1</v>
      </c>
      <c r="R33" s="489">
        <f t="shared" si="15"/>
        <v>0</v>
      </c>
      <c r="S33" s="798">
        <f t="shared" si="6"/>
        <v>0</v>
      </c>
    </row>
    <row r="34" spans="1:19">
      <c r="A34" s="964"/>
      <c r="B34" s="137"/>
      <c r="C34" s="53">
        <f t="shared" si="7"/>
        <v>1</v>
      </c>
      <c r="D34" s="962"/>
      <c r="E34" s="53">
        <f t="shared" si="8"/>
        <v>1</v>
      </c>
      <c r="F34" s="962"/>
      <c r="G34" s="53">
        <f t="shared" si="9"/>
        <v>1</v>
      </c>
      <c r="H34" s="962"/>
      <c r="I34" s="53">
        <f t="shared" si="10"/>
        <v>1</v>
      </c>
      <c r="J34" s="962"/>
      <c r="K34" s="53">
        <f t="shared" si="11"/>
        <v>1</v>
      </c>
      <c r="L34" s="962"/>
      <c r="M34" s="53">
        <f t="shared" si="12"/>
        <v>1</v>
      </c>
      <c r="N34" s="962"/>
      <c r="O34" s="53">
        <f t="shared" si="13"/>
        <v>1</v>
      </c>
      <c r="P34" s="962"/>
      <c r="Q34" s="53">
        <f t="shared" si="14"/>
        <v>1</v>
      </c>
      <c r="R34" s="489">
        <f t="shared" si="15"/>
        <v>0</v>
      </c>
      <c r="S34" s="798">
        <f t="shared" si="6"/>
        <v>0</v>
      </c>
    </row>
    <row r="35" spans="1:19">
      <c r="A35" s="964"/>
      <c r="B35" s="137"/>
      <c r="C35" s="53">
        <f t="shared" si="7"/>
        <v>1</v>
      </c>
      <c r="D35" s="962"/>
      <c r="E35" s="53">
        <f t="shared" si="8"/>
        <v>1</v>
      </c>
      <c r="F35" s="962"/>
      <c r="G35" s="53">
        <f t="shared" si="9"/>
        <v>1</v>
      </c>
      <c r="H35" s="962"/>
      <c r="I35" s="53">
        <f t="shared" si="10"/>
        <v>1</v>
      </c>
      <c r="J35" s="962"/>
      <c r="K35" s="53">
        <f t="shared" si="11"/>
        <v>1</v>
      </c>
      <c r="L35" s="962"/>
      <c r="M35" s="53">
        <f t="shared" si="12"/>
        <v>1</v>
      </c>
      <c r="N35" s="962"/>
      <c r="O35" s="53">
        <f t="shared" si="13"/>
        <v>1</v>
      </c>
      <c r="P35" s="962"/>
      <c r="Q35" s="53">
        <f t="shared" si="14"/>
        <v>1</v>
      </c>
      <c r="R35" s="489">
        <f t="shared" si="15"/>
        <v>0</v>
      </c>
      <c r="S35" s="798">
        <f t="shared" si="6"/>
        <v>0</v>
      </c>
    </row>
    <row r="36" spans="1:19">
      <c r="A36" s="964"/>
      <c r="B36" s="137"/>
      <c r="C36" s="53">
        <f t="shared" si="7"/>
        <v>1</v>
      </c>
      <c r="D36" s="962"/>
      <c r="E36" s="53">
        <f t="shared" si="8"/>
        <v>1</v>
      </c>
      <c r="F36" s="962"/>
      <c r="G36" s="53">
        <f t="shared" si="9"/>
        <v>1</v>
      </c>
      <c r="H36" s="962"/>
      <c r="I36" s="53">
        <f t="shared" si="10"/>
        <v>1</v>
      </c>
      <c r="J36" s="962"/>
      <c r="K36" s="53">
        <f t="shared" si="11"/>
        <v>1</v>
      </c>
      <c r="L36" s="962"/>
      <c r="M36" s="53">
        <f t="shared" si="12"/>
        <v>1</v>
      </c>
      <c r="N36" s="962"/>
      <c r="O36" s="53">
        <f t="shared" si="13"/>
        <v>1</v>
      </c>
      <c r="P36" s="962"/>
      <c r="Q36" s="53">
        <f t="shared" si="14"/>
        <v>1</v>
      </c>
      <c r="R36" s="489">
        <f t="shared" si="15"/>
        <v>0</v>
      </c>
      <c r="S36" s="798">
        <f t="shared" si="6"/>
        <v>0</v>
      </c>
    </row>
    <row r="37" spans="1:19">
      <c r="A37" s="964"/>
      <c r="B37" s="137"/>
      <c r="C37" s="53">
        <f t="shared" si="7"/>
        <v>1</v>
      </c>
      <c r="D37" s="962"/>
      <c r="E37" s="53">
        <f t="shared" si="8"/>
        <v>1</v>
      </c>
      <c r="F37" s="962"/>
      <c r="G37" s="53">
        <f t="shared" si="9"/>
        <v>1</v>
      </c>
      <c r="H37" s="962"/>
      <c r="I37" s="53">
        <f t="shared" si="10"/>
        <v>1</v>
      </c>
      <c r="J37" s="962"/>
      <c r="K37" s="53">
        <f t="shared" si="11"/>
        <v>1</v>
      </c>
      <c r="L37" s="962"/>
      <c r="M37" s="53">
        <f t="shared" si="12"/>
        <v>1</v>
      </c>
      <c r="N37" s="962"/>
      <c r="O37" s="53">
        <f t="shared" si="13"/>
        <v>1</v>
      </c>
      <c r="P37" s="962"/>
      <c r="Q37" s="53">
        <f t="shared" si="14"/>
        <v>1</v>
      </c>
      <c r="R37" s="489">
        <f t="shared" si="15"/>
        <v>0</v>
      </c>
      <c r="S37" s="798">
        <f t="shared" si="6"/>
        <v>0</v>
      </c>
    </row>
    <row r="38" spans="1:19">
      <c r="A38" s="964"/>
      <c r="B38" s="137"/>
      <c r="C38" s="53">
        <f t="shared" si="7"/>
        <v>1</v>
      </c>
      <c r="D38" s="962"/>
      <c r="E38" s="53">
        <f t="shared" si="8"/>
        <v>1</v>
      </c>
      <c r="F38" s="962"/>
      <c r="G38" s="53">
        <f t="shared" si="9"/>
        <v>1</v>
      </c>
      <c r="H38" s="962"/>
      <c r="I38" s="53">
        <f t="shared" si="10"/>
        <v>1</v>
      </c>
      <c r="J38" s="962"/>
      <c r="K38" s="53">
        <f t="shared" si="11"/>
        <v>1</v>
      </c>
      <c r="L38" s="962"/>
      <c r="M38" s="53">
        <f t="shared" si="12"/>
        <v>1</v>
      </c>
      <c r="N38" s="962"/>
      <c r="O38" s="53">
        <f t="shared" si="13"/>
        <v>1</v>
      </c>
      <c r="P38" s="962"/>
      <c r="Q38" s="53">
        <f t="shared" si="14"/>
        <v>1</v>
      </c>
      <c r="R38" s="489">
        <f t="shared" si="15"/>
        <v>0</v>
      </c>
      <c r="S38" s="798">
        <f t="shared" si="6"/>
        <v>0</v>
      </c>
    </row>
    <row r="39" spans="1:19">
      <c r="A39" s="964"/>
      <c r="B39" s="137"/>
      <c r="C39" s="53">
        <f t="shared" si="7"/>
        <v>1</v>
      </c>
      <c r="D39" s="962"/>
      <c r="E39" s="53">
        <f t="shared" si="8"/>
        <v>1</v>
      </c>
      <c r="F39" s="962"/>
      <c r="G39" s="53">
        <f t="shared" si="9"/>
        <v>1</v>
      </c>
      <c r="H39" s="962"/>
      <c r="I39" s="53">
        <f t="shared" si="10"/>
        <v>1</v>
      </c>
      <c r="J39" s="962"/>
      <c r="K39" s="53">
        <f t="shared" si="11"/>
        <v>1</v>
      </c>
      <c r="L39" s="962"/>
      <c r="M39" s="53">
        <f t="shared" si="12"/>
        <v>1</v>
      </c>
      <c r="N39" s="962"/>
      <c r="O39" s="53">
        <f t="shared" si="13"/>
        <v>1</v>
      </c>
      <c r="P39" s="962"/>
      <c r="Q39" s="53">
        <f t="shared" si="14"/>
        <v>1</v>
      </c>
      <c r="R39" s="489">
        <f t="shared" si="15"/>
        <v>0</v>
      </c>
      <c r="S39" s="798">
        <f t="shared" si="6"/>
        <v>0</v>
      </c>
    </row>
    <row r="40" spans="1:19">
      <c r="A40" s="964"/>
      <c r="B40" s="137"/>
      <c r="C40" s="53">
        <f t="shared" si="7"/>
        <v>1</v>
      </c>
      <c r="D40" s="962"/>
      <c r="E40" s="53">
        <f t="shared" si="8"/>
        <v>1</v>
      </c>
      <c r="F40" s="962"/>
      <c r="G40" s="53">
        <f t="shared" si="9"/>
        <v>1</v>
      </c>
      <c r="H40" s="962"/>
      <c r="I40" s="53">
        <f t="shared" si="10"/>
        <v>1</v>
      </c>
      <c r="J40" s="962"/>
      <c r="K40" s="53">
        <f t="shared" si="11"/>
        <v>1</v>
      </c>
      <c r="L40" s="962"/>
      <c r="M40" s="53">
        <f t="shared" si="12"/>
        <v>1</v>
      </c>
      <c r="N40" s="962"/>
      <c r="O40" s="53">
        <f t="shared" si="13"/>
        <v>1</v>
      </c>
      <c r="P40" s="962"/>
      <c r="Q40" s="53">
        <f t="shared" si="14"/>
        <v>1</v>
      </c>
      <c r="R40" s="489">
        <f t="shared" si="15"/>
        <v>0</v>
      </c>
      <c r="S40" s="798">
        <f t="shared" si="6"/>
        <v>0</v>
      </c>
    </row>
    <row r="41" spans="1:19">
      <c r="A41" s="964"/>
      <c r="B41" s="137"/>
      <c r="C41" s="53">
        <f t="shared" si="7"/>
        <v>1</v>
      </c>
      <c r="D41" s="962"/>
      <c r="E41" s="53">
        <f t="shared" si="8"/>
        <v>1</v>
      </c>
      <c r="F41" s="962"/>
      <c r="G41" s="53">
        <f t="shared" si="9"/>
        <v>1</v>
      </c>
      <c r="H41" s="962"/>
      <c r="I41" s="53">
        <f t="shared" si="10"/>
        <v>1</v>
      </c>
      <c r="J41" s="962"/>
      <c r="K41" s="53">
        <f t="shared" si="11"/>
        <v>1</v>
      </c>
      <c r="L41" s="962"/>
      <c r="M41" s="53">
        <f t="shared" si="12"/>
        <v>1</v>
      </c>
      <c r="N41" s="962"/>
      <c r="O41" s="53">
        <f t="shared" si="13"/>
        <v>1</v>
      </c>
      <c r="P41" s="962"/>
      <c r="Q41" s="53">
        <f t="shared" si="14"/>
        <v>1</v>
      </c>
      <c r="R41" s="489">
        <f t="shared" si="15"/>
        <v>0</v>
      </c>
      <c r="S41" s="798">
        <f t="shared" si="6"/>
        <v>0</v>
      </c>
    </row>
    <row r="42" spans="1:19">
      <c r="A42" s="964"/>
      <c r="B42" s="137"/>
      <c r="C42" s="53">
        <f t="shared" si="7"/>
        <v>1</v>
      </c>
      <c r="D42" s="962"/>
      <c r="E42" s="53">
        <f t="shared" si="8"/>
        <v>1</v>
      </c>
      <c r="F42" s="962"/>
      <c r="G42" s="53">
        <f t="shared" si="9"/>
        <v>1</v>
      </c>
      <c r="H42" s="962"/>
      <c r="I42" s="53">
        <f t="shared" si="10"/>
        <v>1</v>
      </c>
      <c r="J42" s="962"/>
      <c r="K42" s="53">
        <f t="shared" si="11"/>
        <v>1</v>
      </c>
      <c r="L42" s="962"/>
      <c r="M42" s="53">
        <f t="shared" si="12"/>
        <v>1</v>
      </c>
      <c r="N42" s="962"/>
      <c r="O42" s="53">
        <f t="shared" si="13"/>
        <v>1</v>
      </c>
      <c r="P42" s="962"/>
      <c r="Q42" s="53">
        <f t="shared" si="14"/>
        <v>1</v>
      </c>
      <c r="R42" s="489">
        <f t="shared" si="15"/>
        <v>0</v>
      </c>
      <c r="S42" s="798">
        <f t="shared" si="6"/>
        <v>0</v>
      </c>
    </row>
    <row r="43" spans="1:19">
      <c r="A43" s="964"/>
      <c r="B43" s="137"/>
      <c r="C43" s="53">
        <f t="shared" si="7"/>
        <v>1</v>
      </c>
      <c r="D43" s="962"/>
      <c r="E43" s="53">
        <f t="shared" si="8"/>
        <v>1</v>
      </c>
      <c r="F43" s="962"/>
      <c r="G43" s="53">
        <f t="shared" si="9"/>
        <v>1</v>
      </c>
      <c r="H43" s="962"/>
      <c r="I43" s="53">
        <f t="shared" si="10"/>
        <v>1</v>
      </c>
      <c r="J43" s="962"/>
      <c r="K43" s="53">
        <f t="shared" si="11"/>
        <v>1</v>
      </c>
      <c r="L43" s="962"/>
      <c r="M43" s="53">
        <f t="shared" si="12"/>
        <v>1</v>
      </c>
      <c r="N43" s="962"/>
      <c r="O43" s="53">
        <f t="shared" si="13"/>
        <v>1</v>
      </c>
      <c r="P43" s="962"/>
      <c r="Q43" s="53">
        <f t="shared" si="14"/>
        <v>1</v>
      </c>
      <c r="R43" s="489">
        <f t="shared" si="15"/>
        <v>0</v>
      </c>
      <c r="S43" s="798">
        <f t="shared" si="6"/>
        <v>0</v>
      </c>
    </row>
    <row r="44" spans="1:19">
      <c r="A44" s="964"/>
      <c r="B44" s="137"/>
      <c r="C44" s="53">
        <f t="shared" si="7"/>
        <v>1</v>
      </c>
      <c r="D44" s="962"/>
      <c r="E44" s="53">
        <f t="shared" si="8"/>
        <v>1</v>
      </c>
      <c r="F44" s="962"/>
      <c r="G44" s="53">
        <f t="shared" si="9"/>
        <v>1</v>
      </c>
      <c r="H44" s="962"/>
      <c r="I44" s="53">
        <f t="shared" si="10"/>
        <v>1</v>
      </c>
      <c r="J44" s="962"/>
      <c r="K44" s="53">
        <f t="shared" si="11"/>
        <v>1</v>
      </c>
      <c r="L44" s="962"/>
      <c r="M44" s="53">
        <f t="shared" si="12"/>
        <v>1</v>
      </c>
      <c r="N44" s="962"/>
      <c r="O44" s="53">
        <f t="shared" si="13"/>
        <v>1</v>
      </c>
      <c r="P44" s="962"/>
      <c r="Q44" s="53">
        <f t="shared" si="14"/>
        <v>1</v>
      </c>
      <c r="R44" s="489">
        <f t="shared" si="15"/>
        <v>0</v>
      </c>
      <c r="S44" s="798">
        <f t="shared" si="6"/>
        <v>0</v>
      </c>
    </row>
    <row r="45" spans="1:19">
      <c r="A45" s="964"/>
      <c r="B45" s="137"/>
      <c r="C45" s="53">
        <f t="shared" si="7"/>
        <v>1</v>
      </c>
      <c r="D45" s="962"/>
      <c r="E45" s="53">
        <f t="shared" si="8"/>
        <v>1</v>
      </c>
      <c r="F45" s="962"/>
      <c r="G45" s="53">
        <f t="shared" si="9"/>
        <v>1</v>
      </c>
      <c r="H45" s="962"/>
      <c r="I45" s="53">
        <f t="shared" si="10"/>
        <v>1</v>
      </c>
      <c r="J45" s="962"/>
      <c r="K45" s="53">
        <f t="shared" si="11"/>
        <v>1</v>
      </c>
      <c r="L45" s="962"/>
      <c r="M45" s="53">
        <f t="shared" si="12"/>
        <v>1</v>
      </c>
      <c r="N45" s="962"/>
      <c r="O45" s="53">
        <f t="shared" si="13"/>
        <v>1</v>
      </c>
      <c r="P45" s="962"/>
      <c r="Q45" s="53">
        <f t="shared" si="14"/>
        <v>1</v>
      </c>
      <c r="R45" s="489">
        <f t="shared" si="15"/>
        <v>0</v>
      </c>
      <c r="S45" s="798">
        <f t="shared" si="6"/>
        <v>0</v>
      </c>
    </row>
    <row r="46" spans="1:19">
      <c r="A46" s="964"/>
      <c r="B46" s="137"/>
      <c r="C46" s="53">
        <f t="shared" si="7"/>
        <v>1</v>
      </c>
      <c r="D46" s="962"/>
      <c r="E46" s="53">
        <f t="shared" si="8"/>
        <v>1</v>
      </c>
      <c r="F46" s="962"/>
      <c r="G46" s="53">
        <f t="shared" si="9"/>
        <v>1</v>
      </c>
      <c r="H46" s="962"/>
      <c r="I46" s="53">
        <f t="shared" si="10"/>
        <v>1</v>
      </c>
      <c r="J46" s="962"/>
      <c r="K46" s="53">
        <f t="shared" si="11"/>
        <v>1</v>
      </c>
      <c r="L46" s="962"/>
      <c r="M46" s="53">
        <f t="shared" si="12"/>
        <v>1</v>
      </c>
      <c r="N46" s="962"/>
      <c r="O46" s="53">
        <f t="shared" si="13"/>
        <v>1</v>
      </c>
      <c r="P46" s="962"/>
      <c r="Q46" s="53">
        <f t="shared" si="14"/>
        <v>1</v>
      </c>
      <c r="R46" s="489">
        <f t="shared" si="15"/>
        <v>0</v>
      </c>
      <c r="S46" s="798">
        <f t="shared" si="6"/>
        <v>0</v>
      </c>
    </row>
    <row r="47" spans="1:19">
      <c r="A47" s="964"/>
      <c r="B47" s="137"/>
      <c r="C47" s="53">
        <f t="shared" si="7"/>
        <v>1</v>
      </c>
      <c r="D47" s="962"/>
      <c r="E47" s="53">
        <f t="shared" si="8"/>
        <v>1</v>
      </c>
      <c r="F47" s="962"/>
      <c r="G47" s="53">
        <f t="shared" si="9"/>
        <v>1</v>
      </c>
      <c r="H47" s="962"/>
      <c r="I47" s="53">
        <f t="shared" si="10"/>
        <v>1</v>
      </c>
      <c r="J47" s="962"/>
      <c r="K47" s="53">
        <f t="shared" si="11"/>
        <v>1</v>
      </c>
      <c r="L47" s="962"/>
      <c r="M47" s="53">
        <f t="shared" si="12"/>
        <v>1</v>
      </c>
      <c r="N47" s="962"/>
      <c r="O47" s="53">
        <f t="shared" si="13"/>
        <v>1</v>
      </c>
      <c r="P47" s="962"/>
      <c r="Q47" s="53">
        <f t="shared" si="14"/>
        <v>1</v>
      </c>
      <c r="R47" s="489">
        <f t="shared" si="15"/>
        <v>0</v>
      </c>
      <c r="S47" s="798">
        <f t="shared" si="6"/>
        <v>0</v>
      </c>
    </row>
    <row r="48" spans="1:19">
      <c r="A48" s="964"/>
      <c r="B48" s="137"/>
      <c r="C48" s="53">
        <f t="shared" si="7"/>
        <v>1</v>
      </c>
      <c r="D48" s="962"/>
      <c r="E48" s="53">
        <f t="shared" si="8"/>
        <v>1</v>
      </c>
      <c r="F48" s="962"/>
      <c r="G48" s="53">
        <f t="shared" si="9"/>
        <v>1</v>
      </c>
      <c r="H48" s="962"/>
      <c r="I48" s="53">
        <f t="shared" si="10"/>
        <v>1</v>
      </c>
      <c r="J48" s="962"/>
      <c r="K48" s="53">
        <f t="shared" si="11"/>
        <v>1</v>
      </c>
      <c r="L48" s="962"/>
      <c r="M48" s="53">
        <f t="shared" si="12"/>
        <v>1</v>
      </c>
      <c r="N48" s="962"/>
      <c r="O48" s="53">
        <f t="shared" si="13"/>
        <v>1</v>
      </c>
      <c r="P48" s="962"/>
      <c r="Q48" s="53">
        <f t="shared" si="14"/>
        <v>1</v>
      </c>
      <c r="R48" s="489">
        <f t="shared" si="15"/>
        <v>0</v>
      </c>
      <c r="S48" s="798">
        <f t="shared" si="6"/>
        <v>0</v>
      </c>
    </row>
    <row r="49" spans="1:19">
      <c r="A49" s="964"/>
      <c r="B49" s="137"/>
      <c r="C49" s="53">
        <f t="shared" si="7"/>
        <v>1</v>
      </c>
      <c r="D49" s="962"/>
      <c r="E49" s="53">
        <f t="shared" si="8"/>
        <v>1</v>
      </c>
      <c r="F49" s="962"/>
      <c r="G49" s="53">
        <f t="shared" si="9"/>
        <v>1</v>
      </c>
      <c r="H49" s="962"/>
      <c r="I49" s="53">
        <f t="shared" si="10"/>
        <v>1</v>
      </c>
      <c r="J49" s="962"/>
      <c r="K49" s="53">
        <f t="shared" si="11"/>
        <v>1</v>
      </c>
      <c r="L49" s="962"/>
      <c r="M49" s="53">
        <f t="shared" si="12"/>
        <v>1</v>
      </c>
      <c r="N49" s="962"/>
      <c r="O49" s="53">
        <f t="shared" si="13"/>
        <v>1</v>
      </c>
      <c r="P49" s="962"/>
      <c r="Q49" s="53">
        <f t="shared" si="14"/>
        <v>1</v>
      </c>
      <c r="R49" s="489">
        <f t="shared" si="15"/>
        <v>0</v>
      </c>
      <c r="S49" s="798">
        <f t="shared" si="6"/>
        <v>0</v>
      </c>
    </row>
    <row r="50" spans="1:19">
      <c r="A50" s="964"/>
      <c r="B50" s="137"/>
      <c r="C50" s="53">
        <f t="shared" si="7"/>
        <v>1</v>
      </c>
      <c r="D50" s="962"/>
      <c r="E50" s="53">
        <f t="shared" si="8"/>
        <v>1</v>
      </c>
      <c r="F50" s="962"/>
      <c r="G50" s="53">
        <f t="shared" si="9"/>
        <v>1</v>
      </c>
      <c r="H50" s="962"/>
      <c r="I50" s="53">
        <f t="shared" si="10"/>
        <v>1</v>
      </c>
      <c r="J50" s="962"/>
      <c r="K50" s="53">
        <f t="shared" si="11"/>
        <v>1</v>
      </c>
      <c r="L50" s="962"/>
      <c r="M50" s="53">
        <f t="shared" si="12"/>
        <v>1</v>
      </c>
      <c r="N50" s="962"/>
      <c r="O50" s="53">
        <f t="shared" si="13"/>
        <v>1</v>
      </c>
      <c r="P50" s="962"/>
      <c r="Q50" s="53">
        <f t="shared" si="14"/>
        <v>1</v>
      </c>
      <c r="R50" s="489">
        <f t="shared" si="15"/>
        <v>0</v>
      </c>
      <c r="S50" s="798">
        <f t="shared" si="6"/>
        <v>0</v>
      </c>
    </row>
    <row r="51" spans="1:19">
      <c r="A51" s="964"/>
      <c r="B51" s="137"/>
      <c r="C51" s="53">
        <f t="shared" si="7"/>
        <v>1</v>
      </c>
      <c r="D51" s="962"/>
      <c r="E51" s="53">
        <f t="shared" si="8"/>
        <v>1</v>
      </c>
      <c r="F51" s="962"/>
      <c r="G51" s="53">
        <f t="shared" si="9"/>
        <v>1</v>
      </c>
      <c r="H51" s="962"/>
      <c r="I51" s="53">
        <f t="shared" si="10"/>
        <v>1</v>
      </c>
      <c r="J51" s="962"/>
      <c r="K51" s="53">
        <f t="shared" si="11"/>
        <v>1</v>
      </c>
      <c r="L51" s="962"/>
      <c r="M51" s="53">
        <f t="shared" si="12"/>
        <v>1</v>
      </c>
      <c r="N51" s="962"/>
      <c r="O51" s="53">
        <f t="shared" si="13"/>
        <v>1</v>
      </c>
      <c r="P51" s="962"/>
      <c r="Q51" s="53">
        <f t="shared" si="14"/>
        <v>1</v>
      </c>
      <c r="R51" s="489">
        <f t="shared" si="15"/>
        <v>0</v>
      </c>
      <c r="S51" s="798">
        <f t="shared" si="6"/>
        <v>0</v>
      </c>
    </row>
    <row r="52" spans="1:19">
      <c r="A52" s="964"/>
      <c r="B52" s="137"/>
      <c r="C52" s="53">
        <f t="shared" si="7"/>
        <v>1</v>
      </c>
      <c r="D52" s="962"/>
      <c r="E52" s="53">
        <f t="shared" si="8"/>
        <v>1</v>
      </c>
      <c r="F52" s="962"/>
      <c r="G52" s="53">
        <f t="shared" si="9"/>
        <v>1</v>
      </c>
      <c r="H52" s="962"/>
      <c r="I52" s="53">
        <f t="shared" si="10"/>
        <v>1</v>
      </c>
      <c r="J52" s="962"/>
      <c r="K52" s="53">
        <f t="shared" si="11"/>
        <v>1</v>
      </c>
      <c r="L52" s="962"/>
      <c r="M52" s="53">
        <f t="shared" si="12"/>
        <v>1</v>
      </c>
      <c r="N52" s="962"/>
      <c r="O52" s="53">
        <f t="shared" si="13"/>
        <v>1</v>
      </c>
      <c r="P52" s="962"/>
      <c r="Q52" s="53">
        <f t="shared" si="14"/>
        <v>1</v>
      </c>
      <c r="R52" s="489">
        <f t="shared" si="15"/>
        <v>0</v>
      </c>
      <c r="S52" s="798">
        <f t="shared" si="6"/>
        <v>0</v>
      </c>
    </row>
    <row r="53" spans="1:19">
      <c r="A53" s="964"/>
      <c r="B53" s="137"/>
      <c r="C53" s="53">
        <f t="shared" si="7"/>
        <v>1</v>
      </c>
      <c r="D53" s="962"/>
      <c r="E53" s="53">
        <f t="shared" si="8"/>
        <v>1</v>
      </c>
      <c r="F53" s="962"/>
      <c r="G53" s="53">
        <f t="shared" si="9"/>
        <v>1</v>
      </c>
      <c r="H53" s="962"/>
      <c r="I53" s="53">
        <f t="shared" si="10"/>
        <v>1</v>
      </c>
      <c r="J53" s="962"/>
      <c r="K53" s="53">
        <f t="shared" si="11"/>
        <v>1</v>
      </c>
      <c r="L53" s="962"/>
      <c r="M53" s="53">
        <f t="shared" si="12"/>
        <v>1</v>
      </c>
      <c r="N53" s="962"/>
      <c r="O53" s="53">
        <f t="shared" si="13"/>
        <v>1</v>
      </c>
      <c r="P53" s="962"/>
      <c r="Q53" s="53">
        <f t="shared" si="14"/>
        <v>1</v>
      </c>
      <c r="R53" s="489">
        <f t="shared" si="15"/>
        <v>0</v>
      </c>
      <c r="S53" s="798">
        <f t="shared" si="6"/>
        <v>0</v>
      </c>
    </row>
    <row r="54" spans="1:19">
      <c r="A54" s="964"/>
      <c r="B54" s="137"/>
      <c r="C54" s="53">
        <f t="shared" si="7"/>
        <v>1</v>
      </c>
      <c r="D54" s="962"/>
      <c r="E54" s="53">
        <f t="shared" si="8"/>
        <v>1</v>
      </c>
      <c r="F54" s="962"/>
      <c r="G54" s="53">
        <f t="shared" si="9"/>
        <v>1</v>
      </c>
      <c r="H54" s="962"/>
      <c r="I54" s="53">
        <f t="shared" si="10"/>
        <v>1</v>
      </c>
      <c r="J54" s="962"/>
      <c r="K54" s="53">
        <f t="shared" si="11"/>
        <v>1</v>
      </c>
      <c r="L54" s="962"/>
      <c r="M54" s="53">
        <f t="shared" si="12"/>
        <v>1</v>
      </c>
      <c r="N54" s="962"/>
      <c r="O54" s="53">
        <f t="shared" si="13"/>
        <v>1</v>
      </c>
      <c r="P54" s="962"/>
      <c r="Q54" s="53">
        <f t="shared" si="14"/>
        <v>1</v>
      </c>
      <c r="R54" s="489">
        <f t="shared" si="15"/>
        <v>0</v>
      </c>
      <c r="S54" s="798">
        <f t="shared" si="6"/>
        <v>0</v>
      </c>
    </row>
    <row r="55" spans="1:19">
      <c r="A55" s="964"/>
      <c r="B55" s="137"/>
      <c r="C55" s="53">
        <f t="shared" si="7"/>
        <v>1</v>
      </c>
      <c r="D55" s="962"/>
      <c r="E55" s="53">
        <f t="shared" si="8"/>
        <v>1</v>
      </c>
      <c r="F55" s="962"/>
      <c r="G55" s="53">
        <f t="shared" si="9"/>
        <v>1</v>
      </c>
      <c r="H55" s="962"/>
      <c r="I55" s="53">
        <f t="shared" si="10"/>
        <v>1</v>
      </c>
      <c r="J55" s="962"/>
      <c r="K55" s="53">
        <f t="shared" si="11"/>
        <v>1</v>
      </c>
      <c r="L55" s="962"/>
      <c r="M55" s="53">
        <f t="shared" si="12"/>
        <v>1</v>
      </c>
      <c r="N55" s="962"/>
      <c r="O55" s="53">
        <f t="shared" si="13"/>
        <v>1</v>
      </c>
      <c r="P55" s="962"/>
      <c r="Q55" s="53">
        <f t="shared" si="14"/>
        <v>1</v>
      </c>
      <c r="R55" s="489">
        <f t="shared" si="15"/>
        <v>0</v>
      </c>
      <c r="S55" s="798">
        <f t="shared" ref="S55:S77" si="16">ROUND(R55*B55/10000,0)</f>
        <v>0</v>
      </c>
    </row>
    <row r="56" spans="1:19">
      <c r="A56" s="964"/>
      <c r="B56" s="137"/>
      <c r="C56" s="53">
        <f t="shared" si="7"/>
        <v>1</v>
      </c>
      <c r="D56" s="962"/>
      <c r="E56" s="53">
        <f t="shared" si="8"/>
        <v>1</v>
      </c>
      <c r="F56" s="962"/>
      <c r="G56" s="53">
        <f t="shared" si="9"/>
        <v>1</v>
      </c>
      <c r="H56" s="962"/>
      <c r="I56" s="53">
        <f t="shared" si="10"/>
        <v>1</v>
      </c>
      <c r="J56" s="962"/>
      <c r="K56" s="53">
        <f t="shared" si="11"/>
        <v>1</v>
      </c>
      <c r="L56" s="962"/>
      <c r="M56" s="53">
        <f t="shared" si="12"/>
        <v>1</v>
      </c>
      <c r="N56" s="962"/>
      <c r="O56" s="53">
        <f t="shared" si="13"/>
        <v>1</v>
      </c>
      <c r="P56" s="962"/>
      <c r="Q56" s="53">
        <f t="shared" si="14"/>
        <v>1</v>
      </c>
      <c r="R56" s="489">
        <f t="shared" si="15"/>
        <v>0</v>
      </c>
      <c r="S56" s="798">
        <f t="shared" si="16"/>
        <v>0</v>
      </c>
    </row>
    <row r="57" spans="1:19">
      <c r="A57" s="964"/>
      <c r="B57" s="137"/>
      <c r="C57" s="53">
        <f t="shared" si="7"/>
        <v>1</v>
      </c>
      <c r="D57" s="962"/>
      <c r="E57" s="53">
        <f t="shared" si="8"/>
        <v>1</v>
      </c>
      <c r="F57" s="962"/>
      <c r="G57" s="53">
        <f t="shared" si="9"/>
        <v>1</v>
      </c>
      <c r="H57" s="962"/>
      <c r="I57" s="53">
        <f t="shared" si="10"/>
        <v>1</v>
      </c>
      <c r="J57" s="962"/>
      <c r="K57" s="53">
        <f t="shared" si="11"/>
        <v>1</v>
      </c>
      <c r="L57" s="962"/>
      <c r="M57" s="53">
        <f t="shared" si="12"/>
        <v>1</v>
      </c>
      <c r="N57" s="962"/>
      <c r="O57" s="53">
        <f t="shared" si="13"/>
        <v>1</v>
      </c>
      <c r="P57" s="962"/>
      <c r="Q57" s="53">
        <f t="shared" si="14"/>
        <v>1</v>
      </c>
      <c r="R57" s="489">
        <f t="shared" si="15"/>
        <v>0</v>
      </c>
      <c r="S57" s="798">
        <f t="shared" si="16"/>
        <v>0</v>
      </c>
    </row>
    <row r="58" spans="1:19">
      <c r="A58" s="964"/>
      <c r="B58" s="137"/>
      <c r="C58" s="53">
        <f t="shared" si="7"/>
        <v>1</v>
      </c>
      <c r="D58" s="962"/>
      <c r="E58" s="53">
        <f t="shared" si="8"/>
        <v>1</v>
      </c>
      <c r="F58" s="962"/>
      <c r="G58" s="53">
        <f t="shared" si="9"/>
        <v>1</v>
      </c>
      <c r="H58" s="962"/>
      <c r="I58" s="53">
        <f t="shared" si="10"/>
        <v>1</v>
      </c>
      <c r="J58" s="962"/>
      <c r="K58" s="53">
        <f t="shared" si="11"/>
        <v>1</v>
      </c>
      <c r="L58" s="962"/>
      <c r="M58" s="53">
        <f t="shared" si="12"/>
        <v>1</v>
      </c>
      <c r="N58" s="962"/>
      <c r="O58" s="53">
        <f t="shared" si="13"/>
        <v>1</v>
      </c>
      <c r="P58" s="962"/>
      <c r="Q58" s="53">
        <f t="shared" si="14"/>
        <v>1</v>
      </c>
      <c r="R58" s="489">
        <f t="shared" si="15"/>
        <v>0</v>
      </c>
      <c r="S58" s="798">
        <f t="shared" si="16"/>
        <v>0</v>
      </c>
    </row>
    <row r="59" spans="1:19">
      <c r="A59" s="964"/>
      <c r="B59" s="137"/>
      <c r="C59" s="53">
        <f t="shared" si="7"/>
        <v>1</v>
      </c>
      <c r="D59" s="962"/>
      <c r="E59" s="53">
        <f t="shared" si="8"/>
        <v>1</v>
      </c>
      <c r="F59" s="962"/>
      <c r="G59" s="53">
        <f t="shared" si="9"/>
        <v>1</v>
      </c>
      <c r="H59" s="962"/>
      <c r="I59" s="53">
        <f t="shared" si="10"/>
        <v>1</v>
      </c>
      <c r="J59" s="962"/>
      <c r="K59" s="53">
        <f t="shared" si="11"/>
        <v>1</v>
      </c>
      <c r="L59" s="962"/>
      <c r="M59" s="53">
        <f t="shared" si="12"/>
        <v>1</v>
      </c>
      <c r="N59" s="962"/>
      <c r="O59" s="53">
        <f t="shared" si="13"/>
        <v>1</v>
      </c>
      <c r="P59" s="962"/>
      <c r="Q59" s="53">
        <f t="shared" si="14"/>
        <v>1</v>
      </c>
      <c r="R59" s="489">
        <f t="shared" si="15"/>
        <v>0</v>
      </c>
      <c r="S59" s="798">
        <f t="shared" si="16"/>
        <v>0</v>
      </c>
    </row>
    <row r="60" spans="1:19">
      <c r="A60" s="964"/>
      <c r="B60" s="137"/>
      <c r="C60" s="53">
        <f t="shared" si="7"/>
        <v>1</v>
      </c>
      <c r="D60" s="962"/>
      <c r="E60" s="53">
        <f t="shared" si="8"/>
        <v>1</v>
      </c>
      <c r="F60" s="962"/>
      <c r="G60" s="53">
        <f t="shared" si="9"/>
        <v>1</v>
      </c>
      <c r="H60" s="962"/>
      <c r="I60" s="53">
        <f t="shared" si="10"/>
        <v>1</v>
      </c>
      <c r="J60" s="962"/>
      <c r="K60" s="53">
        <f t="shared" si="11"/>
        <v>1</v>
      </c>
      <c r="L60" s="962"/>
      <c r="M60" s="53">
        <f t="shared" si="12"/>
        <v>1</v>
      </c>
      <c r="N60" s="962"/>
      <c r="O60" s="53">
        <f t="shared" si="13"/>
        <v>1</v>
      </c>
      <c r="P60" s="962"/>
      <c r="Q60" s="53">
        <f t="shared" si="14"/>
        <v>1</v>
      </c>
      <c r="R60" s="489">
        <f t="shared" si="15"/>
        <v>0</v>
      </c>
      <c r="S60" s="798">
        <f t="shared" si="16"/>
        <v>0</v>
      </c>
    </row>
    <row r="61" spans="1:19">
      <c r="A61" s="964"/>
      <c r="B61" s="137"/>
      <c r="C61" s="53">
        <f t="shared" si="7"/>
        <v>1</v>
      </c>
      <c r="D61" s="962"/>
      <c r="E61" s="53">
        <f t="shared" si="8"/>
        <v>1</v>
      </c>
      <c r="F61" s="962"/>
      <c r="G61" s="53">
        <f t="shared" si="9"/>
        <v>1</v>
      </c>
      <c r="H61" s="962"/>
      <c r="I61" s="53">
        <f t="shared" si="10"/>
        <v>1</v>
      </c>
      <c r="J61" s="962"/>
      <c r="K61" s="53">
        <f t="shared" si="11"/>
        <v>1</v>
      </c>
      <c r="L61" s="962"/>
      <c r="M61" s="53">
        <f t="shared" si="12"/>
        <v>1</v>
      </c>
      <c r="N61" s="962"/>
      <c r="O61" s="53">
        <f t="shared" si="13"/>
        <v>1</v>
      </c>
      <c r="P61" s="962"/>
      <c r="Q61" s="53">
        <f t="shared" si="14"/>
        <v>1</v>
      </c>
      <c r="R61" s="489">
        <f t="shared" si="15"/>
        <v>0</v>
      </c>
      <c r="S61" s="798">
        <f t="shared" si="16"/>
        <v>0</v>
      </c>
    </row>
    <row r="62" spans="1:19">
      <c r="A62" s="964"/>
      <c r="B62" s="137"/>
      <c r="C62" s="53">
        <f t="shared" si="7"/>
        <v>1</v>
      </c>
      <c r="D62" s="962"/>
      <c r="E62" s="53">
        <f t="shared" si="8"/>
        <v>1</v>
      </c>
      <c r="F62" s="962"/>
      <c r="G62" s="53">
        <f t="shared" si="9"/>
        <v>1</v>
      </c>
      <c r="H62" s="962"/>
      <c r="I62" s="53">
        <f t="shared" si="10"/>
        <v>1</v>
      </c>
      <c r="J62" s="962"/>
      <c r="K62" s="53">
        <f t="shared" si="11"/>
        <v>1</v>
      </c>
      <c r="L62" s="962"/>
      <c r="M62" s="53">
        <f t="shared" si="12"/>
        <v>1</v>
      </c>
      <c r="N62" s="962"/>
      <c r="O62" s="53">
        <f t="shared" si="13"/>
        <v>1</v>
      </c>
      <c r="P62" s="962"/>
      <c r="Q62" s="53">
        <f t="shared" si="14"/>
        <v>1</v>
      </c>
      <c r="R62" s="489">
        <f t="shared" si="15"/>
        <v>0</v>
      </c>
      <c r="S62" s="798">
        <f t="shared" si="16"/>
        <v>0</v>
      </c>
    </row>
    <row r="63" spans="1:19">
      <c r="A63" s="964"/>
      <c r="B63" s="137"/>
      <c r="C63" s="53">
        <f t="shared" si="7"/>
        <v>1</v>
      </c>
      <c r="D63" s="962"/>
      <c r="E63" s="53">
        <f t="shared" si="8"/>
        <v>1</v>
      </c>
      <c r="F63" s="962"/>
      <c r="G63" s="53">
        <f t="shared" si="9"/>
        <v>1</v>
      </c>
      <c r="H63" s="962"/>
      <c r="I63" s="53">
        <f t="shared" si="10"/>
        <v>1</v>
      </c>
      <c r="J63" s="962"/>
      <c r="K63" s="53">
        <f t="shared" si="11"/>
        <v>1</v>
      </c>
      <c r="L63" s="962"/>
      <c r="M63" s="53">
        <f t="shared" si="12"/>
        <v>1</v>
      </c>
      <c r="N63" s="962"/>
      <c r="O63" s="53">
        <f t="shared" si="13"/>
        <v>1</v>
      </c>
      <c r="P63" s="962"/>
      <c r="Q63" s="53">
        <f t="shared" si="14"/>
        <v>1</v>
      </c>
      <c r="R63" s="489">
        <f t="shared" si="15"/>
        <v>0</v>
      </c>
      <c r="S63" s="798">
        <f t="shared" si="16"/>
        <v>0</v>
      </c>
    </row>
    <row r="64" spans="1:19">
      <c r="A64" s="964"/>
      <c r="B64" s="137"/>
      <c r="C64" s="53">
        <f t="shared" si="7"/>
        <v>1</v>
      </c>
      <c r="D64" s="962"/>
      <c r="E64" s="53">
        <f t="shared" si="8"/>
        <v>1</v>
      </c>
      <c r="F64" s="962"/>
      <c r="G64" s="53">
        <f t="shared" si="9"/>
        <v>1</v>
      </c>
      <c r="H64" s="962"/>
      <c r="I64" s="53">
        <f t="shared" si="10"/>
        <v>1</v>
      </c>
      <c r="J64" s="962"/>
      <c r="K64" s="53">
        <f t="shared" si="11"/>
        <v>1</v>
      </c>
      <c r="L64" s="962"/>
      <c r="M64" s="53">
        <f t="shared" si="12"/>
        <v>1</v>
      </c>
      <c r="N64" s="962"/>
      <c r="O64" s="53">
        <f t="shared" si="13"/>
        <v>1</v>
      </c>
      <c r="P64" s="962"/>
      <c r="Q64" s="53">
        <f t="shared" si="14"/>
        <v>1</v>
      </c>
      <c r="R64" s="489">
        <f t="shared" si="15"/>
        <v>0</v>
      </c>
      <c r="S64" s="798">
        <f t="shared" si="16"/>
        <v>0</v>
      </c>
    </row>
    <row r="65" spans="1:19">
      <c r="A65" s="964"/>
      <c r="B65" s="137"/>
      <c r="C65" s="53">
        <f t="shared" si="7"/>
        <v>1</v>
      </c>
      <c r="D65" s="962"/>
      <c r="E65" s="53">
        <f t="shared" si="8"/>
        <v>1</v>
      </c>
      <c r="F65" s="962"/>
      <c r="G65" s="53">
        <f t="shared" si="9"/>
        <v>1</v>
      </c>
      <c r="H65" s="962"/>
      <c r="I65" s="53">
        <f t="shared" si="10"/>
        <v>1</v>
      </c>
      <c r="J65" s="962"/>
      <c r="K65" s="53">
        <f t="shared" si="11"/>
        <v>1</v>
      </c>
      <c r="L65" s="962"/>
      <c r="M65" s="53">
        <f t="shared" si="12"/>
        <v>1</v>
      </c>
      <c r="N65" s="962"/>
      <c r="O65" s="53">
        <f t="shared" si="13"/>
        <v>1</v>
      </c>
      <c r="P65" s="962"/>
      <c r="Q65" s="53">
        <f t="shared" si="14"/>
        <v>1</v>
      </c>
      <c r="R65" s="489">
        <f t="shared" si="15"/>
        <v>0</v>
      </c>
      <c r="S65" s="798">
        <f t="shared" si="16"/>
        <v>0</v>
      </c>
    </row>
    <row r="66" spans="1:19">
      <c r="A66" s="964"/>
      <c r="B66" s="137"/>
      <c r="C66" s="53">
        <f t="shared" si="7"/>
        <v>1</v>
      </c>
      <c r="D66" s="962"/>
      <c r="E66" s="53">
        <f t="shared" si="8"/>
        <v>1</v>
      </c>
      <c r="F66" s="962"/>
      <c r="G66" s="53">
        <f t="shared" si="9"/>
        <v>1</v>
      </c>
      <c r="H66" s="962"/>
      <c r="I66" s="53">
        <f t="shared" si="10"/>
        <v>1</v>
      </c>
      <c r="J66" s="962"/>
      <c r="K66" s="53">
        <f t="shared" si="11"/>
        <v>1</v>
      </c>
      <c r="L66" s="962"/>
      <c r="M66" s="53">
        <f t="shared" si="12"/>
        <v>1</v>
      </c>
      <c r="N66" s="962"/>
      <c r="O66" s="53">
        <f t="shared" si="13"/>
        <v>1</v>
      </c>
      <c r="P66" s="962"/>
      <c r="Q66" s="53">
        <f t="shared" si="14"/>
        <v>1</v>
      </c>
      <c r="R66" s="489">
        <f t="shared" si="15"/>
        <v>0</v>
      </c>
      <c r="S66" s="798">
        <f t="shared" si="16"/>
        <v>0</v>
      </c>
    </row>
    <row r="67" spans="1:19">
      <c r="A67" s="964"/>
      <c r="B67" s="137"/>
      <c r="C67" s="53">
        <f t="shared" si="7"/>
        <v>1</v>
      </c>
      <c r="D67" s="962"/>
      <c r="E67" s="53">
        <f t="shared" si="8"/>
        <v>1</v>
      </c>
      <c r="F67" s="962"/>
      <c r="G67" s="53">
        <f t="shared" si="9"/>
        <v>1</v>
      </c>
      <c r="H67" s="962"/>
      <c r="I67" s="53">
        <f t="shared" si="10"/>
        <v>1</v>
      </c>
      <c r="J67" s="962"/>
      <c r="K67" s="53">
        <f t="shared" si="11"/>
        <v>1</v>
      </c>
      <c r="L67" s="962"/>
      <c r="M67" s="53">
        <f t="shared" si="12"/>
        <v>1</v>
      </c>
      <c r="N67" s="962"/>
      <c r="O67" s="53">
        <f t="shared" si="13"/>
        <v>1</v>
      </c>
      <c r="P67" s="962"/>
      <c r="Q67" s="53">
        <f t="shared" si="14"/>
        <v>1</v>
      </c>
      <c r="R67" s="489">
        <f t="shared" si="15"/>
        <v>0</v>
      </c>
      <c r="S67" s="798">
        <f t="shared" si="16"/>
        <v>0</v>
      </c>
    </row>
    <row r="68" spans="1:19">
      <c r="A68" s="964"/>
      <c r="B68" s="137"/>
      <c r="C68" s="53">
        <f t="shared" si="7"/>
        <v>1</v>
      </c>
      <c r="D68" s="962"/>
      <c r="E68" s="53">
        <f t="shared" si="8"/>
        <v>1</v>
      </c>
      <c r="F68" s="962"/>
      <c r="G68" s="53">
        <f t="shared" si="9"/>
        <v>1</v>
      </c>
      <c r="H68" s="962"/>
      <c r="I68" s="53">
        <f t="shared" si="10"/>
        <v>1</v>
      </c>
      <c r="J68" s="962"/>
      <c r="K68" s="53">
        <f t="shared" si="11"/>
        <v>1</v>
      </c>
      <c r="L68" s="962"/>
      <c r="M68" s="53">
        <f t="shared" si="12"/>
        <v>1</v>
      </c>
      <c r="N68" s="962"/>
      <c r="O68" s="53">
        <f t="shared" si="13"/>
        <v>1</v>
      </c>
      <c r="P68" s="962"/>
      <c r="Q68" s="53">
        <f t="shared" si="14"/>
        <v>1</v>
      </c>
      <c r="R68" s="489">
        <f t="shared" si="15"/>
        <v>0</v>
      </c>
      <c r="S68" s="798">
        <f t="shared" si="16"/>
        <v>0</v>
      </c>
    </row>
    <row r="69" spans="1:19">
      <c r="A69" s="964"/>
      <c r="B69" s="137"/>
      <c r="C69" s="53">
        <f t="shared" si="7"/>
        <v>1</v>
      </c>
      <c r="D69" s="962"/>
      <c r="E69" s="53">
        <f t="shared" si="8"/>
        <v>1</v>
      </c>
      <c r="F69" s="962"/>
      <c r="G69" s="53">
        <f t="shared" si="9"/>
        <v>1</v>
      </c>
      <c r="H69" s="962"/>
      <c r="I69" s="53">
        <f t="shared" si="10"/>
        <v>1</v>
      </c>
      <c r="J69" s="962"/>
      <c r="K69" s="53">
        <f t="shared" si="11"/>
        <v>1</v>
      </c>
      <c r="L69" s="962"/>
      <c r="M69" s="53">
        <f t="shared" si="12"/>
        <v>1</v>
      </c>
      <c r="N69" s="962"/>
      <c r="O69" s="53">
        <f t="shared" si="13"/>
        <v>1</v>
      </c>
      <c r="P69" s="962"/>
      <c r="Q69" s="53">
        <f t="shared" si="14"/>
        <v>1</v>
      </c>
      <c r="R69" s="489">
        <f t="shared" si="15"/>
        <v>0</v>
      </c>
      <c r="S69" s="798">
        <f t="shared" si="16"/>
        <v>0</v>
      </c>
    </row>
    <row r="70" spans="1:19">
      <c r="A70" s="964"/>
      <c r="B70" s="137"/>
      <c r="C70" s="53">
        <f t="shared" si="7"/>
        <v>1</v>
      </c>
      <c r="D70" s="962"/>
      <c r="E70" s="53">
        <f t="shared" si="8"/>
        <v>1</v>
      </c>
      <c r="F70" s="962"/>
      <c r="G70" s="53">
        <f t="shared" si="9"/>
        <v>1</v>
      </c>
      <c r="H70" s="962"/>
      <c r="I70" s="53">
        <f t="shared" si="10"/>
        <v>1</v>
      </c>
      <c r="J70" s="962"/>
      <c r="K70" s="53">
        <f t="shared" si="11"/>
        <v>1</v>
      </c>
      <c r="L70" s="962"/>
      <c r="M70" s="53">
        <f t="shared" si="12"/>
        <v>1</v>
      </c>
      <c r="N70" s="962"/>
      <c r="O70" s="53">
        <f t="shared" si="13"/>
        <v>1</v>
      </c>
      <c r="P70" s="962"/>
      <c r="Q70" s="53">
        <f t="shared" si="14"/>
        <v>1</v>
      </c>
      <c r="R70" s="489">
        <f t="shared" si="15"/>
        <v>0</v>
      </c>
      <c r="S70" s="798">
        <f t="shared" si="16"/>
        <v>0</v>
      </c>
    </row>
    <row r="71" spans="1:19">
      <c r="A71" s="964"/>
      <c r="B71" s="137"/>
      <c r="C71" s="53">
        <f t="shared" si="7"/>
        <v>1</v>
      </c>
      <c r="D71" s="962"/>
      <c r="E71" s="53">
        <f t="shared" si="8"/>
        <v>1</v>
      </c>
      <c r="F71" s="962"/>
      <c r="G71" s="53">
        <f t="shared" si="9"/>
        <v>1</v>
      </c>
      <c r="H71" s="962"/>
      <c r="I71" s="53">
        <f t="shared" si="10"/>
        <v>1</v>
      </c>
      <c r="J71" s="962"/>
      <c r="K71" s="53">
        <f t="shared" si="11"/>
        <v>1</v>
      </c>
      <c r="L71" s="962"/>
      <c r="M71" s="53">
        <f t="shared" si="12"/>
        <v>1</v>
      </c>
      <c r="N71" s="962"/>
      <c r="O71" s="53">
        <f t="shared" si="13"/>
        <v>1</v>
      </c>
      <c r="P71" s="962"/>
      <c r="Q71" s="53">
        <f t="shared" si="14"/>
        <v>1</v>
      </c>
      <c r="R71" s="489">
        <f t="shared" si="15"/>
        <v>0</v>
      </c>
      <c r="S71" s="798">
        <f t="shared" si="16"/>
        <v>0</v>
      </c>
    </row>
    <row r="72" spans="1:19">
      <c r="A72" s="964"/>
      <c r="B72" s="137"/>
      <c r="C72" s="53">
        <f t="shared" si="7"/>
        <v>1</v>
      </c>
      <c r="D72" s="962"/>
      <c r="E72" s="53">
        <f t="shared" si="8"/>
        <v>1</v>
      </c>
      <c r="F72" s="962"/>
      <c r="G72" s="53">
        <f t="shared" si="9"/>
        <v>1</v>
      </c>
      <c r="H72" s="962"/>
      <c r="I72" s="53">
        <f t="shared" si="10"/>
        <v>1</v>
      </c>
      <c r="J72" s="962"/>
      <c r="K72" s="53">
        <f t="shared" si="11"/>
        <v>1</v>
      </c>
      <c r="L72" s="962"/>
      <c r="M72" s="53">
        <f t="shared" si="12"/>
        <v>1</v>
      </c>
      <c r="N72" s="962"/>
      <c r="O72" s="53">
        <f t="shared" si="13"/>
        <v>1</v>
      </c>
      <c r="P72" s="962"/>
      <c r="Q72" s="53">
        <f t="shared" si="14"/>
        <v>1</v>
      </c>
      <c r="R72" s="489">
        <f t="shared" si="15"/>
        <v>0</v>
      </c>
      <c r="S72" s="798">
        <f t="shared" si="16"/>
        <v>0</v>
      </c>
    </row>
    <row r="73" spans="1:19">
      <c r="A73" s="964"/>
      <c r="B73" s="137"/>
      <c r="C73" s="53">
        <f t="shared" si="7"/>
        <v>1</v>
      </c>
      <c r="D73" s="962"/>
      <c r="E73" s="53">
        <f t="shared" si="8"/>
        <v>1</v>
      </c>
      <c r="F73" s="962"/>
      <c r="G73" s="53">
        <f t="shared" si="9"/>
        <v>1</v>
      </c>
      <c r="H73" s="962"/>
      <c r="I73" s="53">
        <f t="shared" si="10"/>
        <v>1</v>
      </c>
      <c r="J73" s="962"/>
      <c r="K73" s="53">
        <f t="shared" si="11"/>
        <v>1</v>
      </c>
      <c r="L73" s="962"/>
      <c r="M73" s="53">
        <f t="shared" si="12"/>
        <v>1</v>
      </c>
      <c r="N73" s="962"/>
      <c r="O73" s="53">
        <f t="shared" si="13"/>
        <v>1</v>
      </c>
      <c r="P73" s="962"/>
      <c r="Q73" s="53">
        <f t="shared" si="14"/>
        <v>1</v>
      </c>
      <c r="R73" s="489">
        <f t="shared" si="15"/>
        <v>0</v>
      </c>
      <c r="S73" s="798">
        <f t="shared" si="16"/>
        <v>0</v>
      </c>
    </row>
    <row r="74" spans="1:19">
      <c r="A74" s="964"/>
      <c r="B74" s="137"/>
      <c r="C74" s="53">
        <f t="shared" si="7"/>
        <v>1</v>
      </c>
      <c r="D74" s="962"/>
      <c r="E74" s="53">
        <f t="shared" si="8"/>
        <v>1</v>
      </c>
      <c r="F74" s="962"/>
      <c r="G74" s="53">
        <f t="shared" si="9"/>
        <v>1</v>
      </c>
      <c r="H74" s="962"/>
      <c r="I74" s="53">
        <f t="shared" si="10"/>
        <v>1</v>
      </c>
      <c r="J74" s="962"/>
      <c r="K74" s="53">
        <f t="shared" si="11"/>
        <v>1</v>
      </c>
      <c r="L74" s="962"/>
      <c r="M74" s="53">
        <f t="shared" si="12"/>
        <v>1</v>
      </c>
      <c r="N74" s="962"/>
      <c r="O74" s="53">
        <f t="shared" si="13"/>
        <v>1</v>
      </c>
      <c r="P74" s="962"/>
      <c r="Q74" s="53">
        <f t="shared" si="14"/>
        <v>1</v>
      </c>
      <c r="R74" s="489">
        <f t="shared" si="15"/>
        <v>0</v>
      </c>
      <c r="S74" s="798">
        <f t="shared" si="16"/>
        <v>0</v>
      </c>
    </row>
    <row r="75" spans="1:19">
      <c r="A75" s="964"/>
      <c r="B75" s="137"/>
      <c r="C75" s="53">
        <f t="shared" si="7"/>
        <v>1</v>
      </c>
      <c r="D75" s="962"/>
      <c r="E75" s="53">
        <f t="shared" si="8"/>
        <v>1</v>
      </c>
      <c r="F75" s="962"/>
      <c r="G75" s="53">
        <f t="shared" si="9"/>
        <v>1</v>
      </c>
      <c r="H75" s="962"/>
      <c r="I75" s="53">
        <f t="shared" si="10"/>
        <v>1</v>
      </c>
      <c r="J75" s="962"/>
      <c r="K75" s="53">
        <f t="shared" si="11"/>
        <v>1</v>
      </c>
      <c r="L75" s="962"/>
      <c r="M75" s="53">
        <f t="shared" si="12"/>
        <v>1</v>
      </c>
      <c r="N75" s="962"/>
      <c r="O75" s="53">
        <f t="shared" si="13"/>
        <v>1</v>
      </c>
      <c r="P75" s="962"/>
      <c r="Q75" s="53">
        <f t="shared" si="14"/>
        <v>1</v>
      </c>
      <c r="R75" s="489">
        <f t="shared" si="15"/>
        <v>0</v>
      </c>
      <c r="S75" s="798">
        <f t="shared" si="16"/>
        <v>0</v>
      </c>
    </row>
    <row r="76" spans="1:19">
      <c r="A76" s="964"/>
      <c r="B76" s="137"/>
      <c r="C76" s="53">
        <f t="shared" si="7"/>
        <v>1</v>
      </c>
      <c r="D76" s="962"/>
      <c r="E76" s="53">
        <f t="shared" si="8"/>
        <v>1</v>
      </c>
      <c r="F76" s="962"/>
      <c r="G76" s="53">
        <f t="shared" si="9"/>
        <v>1</v>
      </c>
      <c r="H76" s="962"/>
      <c r="I76" s="53">
        <f t="shared" si="10"/>
        <v>1</v>
      </c>
      <c r="J76" s="962"/>
      <c r="K76" s="53">
        <f t="shared" si="11"/>
        <v>1</v>
      </c>
      <c r="L76" s="962"/>
      <c r="M76" s="53">
        <f t="shared" si="12"/>
        <v>1</v>
      </c>
      <c r="N76" s="962"/>
      <c r="O76" s="53">
        <f t="shared" si="13"/>
        <v>1</v>
      </c>
      <c r="P76" s="962"/>
      <c r="Q76" s="53">
        <f t="shared" si="14"/>
        <v>1</v>
      </c>
      <c r="R76" s="489">
        <f t="shared" si="15"/>
        <v>0</v>
      </c>
      <c r="S76" s="798">
        <f t="shared" si="16"/>
        <v>0</v>
      </c>
    </row>
    <row r="77" spans="1:19">
      <c r="A77" s="964"/>
      <c r="B77" s="137"/>
      <c r="C77" s="53">
        <f t="shared" si="7"/>
        <v>1</v>
      </c>
      <c r="D77" s="962"/>
      <c r="E77" s="53">
        <f t="shared" si="8"/>
        <v>1</v>
      </c>
      <c r="F77" s="962"/>
      <c r="G77" s="53">
        <f t="shared" si="9"/>
        <v>1</v>
      </c>
      <c r="H77" s="962"/>
      <c r="I77" s="53">
        <f t="shared" si="10"/>
        <v>1</v>
      </c>
      <c r="J77" s="962"/>
      <c r="K77" s="53">
        <f t="shared" si="11"/>
        <v>1</v>
      </c>
      <c r="L77" s="962"/>
      <c r="M77" s="53">
        <f t="shared" si="12"/>
        <v>1</v>
      </c>
      <c r="N77" s="962"/>
      <c r="O77" s="53">
        <f t="shared" si="13"/>
        <v>1</v>
      </c>
      <c r="P77" s="962"/>
      <c r="Q77" s="53">
        <f t="shared" si="14"/>
        <v>1</v>
      </c>
      <c r="R77" s="489">
        <f t="shared" si="15"/>
        <v>0</v>
      </c>
      <c r="S77" s="798">
        <f t="shared" si="16"/>
        <v>0</v>
      </c>
    </row>
    <row r="78" spans="1:19">
      <c r="A78" s="964"/>
      <c r="B78" s="137"/>
      <c r="C78" s="53">
        <f t="shared" si="7"/>
        <v>1</v>
      </c>
      <c r="D78" s="962"/>
      <c r="E78" s="53">
        <f t="shared" si="8"/>
        <v>1</v>
      </c>
      <c r="F78" s="962"/>
      <c r="G78" s="53">
        <f t="shared" si="9"/>
        <v>1</v>
      </c>
      <c r="H78" s="962"/>
      <c r="I78" s="53">
        <f t="shared" si="10"/>
        <v>1</v>
      </c>
      <c r="J78" s="962"/>
      <c r="K78" s="53">
        <f t="shared" si="11"/>
        <v>1</v>
      </c>
      <c r="L78" s="962"/>
      <c r="M78" s="53">
        <f t="shared" si="12"/>
        <v>1</v>
      </c>
      <c r="N78" s="962"/>
      <c r="O78" s="53">
        <f t="shared" si="13"/>
        <v>1</v>
      </c>
      <c r="P78" s="962"/>
      <c r="Q78" s="53">
        <f t="shared" si="14"/>
        <v>1</v>
      </c>
      <c r="R78" s="489">
        <f t="shared" si="15"/>
        <v>0</v>
      </c>
      <c r="S78" s="798">
        <f t="shared" ref="S78:S122" si="17">ROUND(R78*B78/10000,0)</f>
        <v>0</v>
      </c>
    </row>
    <row r="79" spans="1:19">
      <c r="A79" s="964"/>
      <c r="B79" s="137"/>
      <c r="C79" s="53">
        <f t="shared" si="7"/>
        <v>1</v>
      </c>
      <c r="D79" s="962"/>
      <c r="E79" s="53">
        <f t="shared" si="8"/>
        <v>1</v>
      </c>
      <c r="F79" s="962"/>
      <c r="G79" s="53">
        <f t="shared" si="9"/>
        <v>1</v>
      </c>
      <c r="H79" s="962"/>
      <c r="I79" s="53">
        <f t="shared" si="10"/>
        <v>1</v>
      </c>
      <c r="J79" s="962"/>
      <c r="K79" s="53">
        <f t="shared" si="11"/>
        <v>1</v>
      </c>
      <c r="L79" s="962"/>
      <c r="M79" s="53">
        <f t="shared" si="12"/>
        <v>1</v>
      </c>
      <c r="N79" s="962"/>
      <c r="O79" s="53">
        <f t="shared" si="13"/>
        <v>1</v>
      </c>
      <c r="P79" s="962"/>
      <c r="Q79" s="53">
        <f t="shared" si="14"/>
        <v>1</v>
      </c>
      <c r="R79" s="489">
        <f t="shared" si="15"/>
        <v>0</v>
      </c>
      <c r="S79" s="798">
        <f t="shared" si="17"/>
        <v>0</v>
      </c>
    </row>
    <row r="80" spans="1:19">
      <c r="A80" s="964"/>
      <c r="B80" s="137"/>
      <c r="C80" s="53">
        <f t="shared" si="7"/>
        <v>1</v>
      </c>
      <c r="D80" s="962"/>
      <c r="E80" s="53">
        <f t="shared" si="8"/>
        <v>1</v>
      </c>
      <c r="F80" s="962"/>
      <c r="G80" s="53">
        <f t="shared" si="9"/>
        <v>1</v>
      </c>
      <c r="H80" s="962"/>
      <c r="I80" s="53">
        <f t="shared" si="10"/>
        <v>1</v>
      </c>
      <c r="J80" s="962"/>
      <c r="K80" s="53">
        <f t="shared" si="11"/>
        <v>1</v>
      </c>
      <c r="L80" s="962"/>
      <c r="M80" s="53">
        <f t="shared" si="12"/>
        <v>1</v>
      </c>
      <c r="N80" s="962"/>
      <c r="O80" s="53">
        <f t="shared" si="13"/>
        <v>1</v>
      </c>
      <c r="P80" s="962"/>
      <c r="Q80" s="53">
        <f t="shared" si="14"/>
        <v>1</v>
      </c>
      <c r="R80" s="489">
        <f t="shared" si="15"/>
        <v>0</v>
      </c>
      <c r="S80" s="798">
        <f t="shared" si="17"/>
        <v>0</v>
      </c>
    </row>
    <row r="81" spans="1:19">
      <c r="A81" s="964"/>
      <c r="B81" s="137"/>
      <c r="C81" s="53">
        <f t="shared" si="7"/>
        <v>1</v>
      </c>
      <c r="D81" s="962"/>
      <c r="E81" s="53">
        <f t="shared" si="8"/>
        <v>1</v>
      </c>
      <c r="F81" s="962"/>
      <c r="G81" s="53">
        <f t="shared" si="9"/>
        <v>1</v>
      </c>
      <c r="H81" s="962"/>
      <c r="I81" s="53">
        <f t="shared" si="10"/>
        <v>1</v>
      </c>
      <c r="J81" s="962"/>
      <c r="K81" s="53">
        <f t="shared" si="11"/>
        <v>1</v>
      </c>
      <c r="L81" s="962"/>
      <c r="M81" s="53">
        <f t="shared" si="12"/>
        <v>1</v>
      </c>
      <c r="N81" s="962"/>
      <c r="O81" s="53">
        <f t="shared" si="13"/>
        <v>1</v>
      </c>
      <c r="P81" s="962"/>
      <c r="Q81" s="53">
        <f t="shared" si="14"/>
        <v>1</v>
      </c>
      <c r="R81" s="489">
        <f t="shared" si="15"/>
        <v>0</v>
      </c>
      <c r="S81" s="798">
        <f t="shared" si="17"/>
        <v>0</v>
      </c>
    </row>
    <row r="82" spans="1:19">
      <c r="A82" s="964"/>
      <c r="B82" s="137"/>
      <c r="C82" s="53">
        <f t="shared" si="7"/>
        <v>1</v>
      </c>
      <c r="D82" s="962"/>
      <c r="E82" s="53">
        <f t="shared" si="8"/>
        <v>1</v>
      </c>
      <c r="F82" s="962"/>
      <c r="G82" s="53">
        <f t="shared" si="9"/>
        <v>1</v>
      </c>
      <c r="H82" s="962"/>
      <c r="I82" s="53">
        <f t="shared" si="10"/>
        <v>1</v>
      </c>
      <c r="J82" s="962"/>
      <c r="K82" s="53">
        <f t="shared" si="11"/>
        <v>1</v>
      </c>
      <c r="L82" s="962"/>
      <c r="M82" s="53">
        <f t="shared" si="12"/>
        <v>1</v>
      </c>
      <c r="N82" s="962"/>
      <c r="O82" s="53">
        <f t="shared" si="13"/>
        <v>1</v>
      </c>
      <c r="P82" s="962"/>
      <c r="Q82" s="53">
        <f t="shared" si="14"/>
        <v>1</v>
      </c>
      <c r="R82" s="489">
        <f t="shared" si="15"/>
        <v>0</v>
      </c>
      <c r="S82" s="798">
        <f t="shared" si="17"/>
        <v>0</v>
      </c>
    </row>
    <row r="83" spans="1:19">
      <c r="A83" s="964"/>
      <c r="B83" s="137"/>
      <c r="C83" s="53">
        <f t="shared" si="7"/>
        <v>1</v>
      </c>
      <c r="D83" s="962"/>
      <c r="E83" s="53">
        <f t="shared" si="8"/>
        <v>1</v>
      </c>
      <c r="F83" s="962"/>
      <c r="G83" s="53">
        <f t="shared" si="9"/>
        <v>1</v>
      </c>
      <c r="H83" s="962"/>
      <c r="I83" s="53">
        <f t="shared" si="10"/>
        <v>1</v>
      </c>
      <c r="J83" s="962"/>
      <c r="K83" s="53">
        <f t="shared" si="11"/>
        <v>1</v>
      </c>
      <c r="L83" s="962"/>
      <c r="M83" s="53">
        <f t="shared" si="12"/>
        <v>1</v>
      </c>
      <c r="N83" s="962"/>
      <c r="O83" s="53">
        <f t="shared" si="13"/>
        <v>1</v>
      </c>
      <c r="P83" s="962"/>
      <c r="Q83" s="53">
        <f t="shared" si="14"/>
        <v>1</v>
      </c>
      <c r="R83" s="489">
        <f t="shared" si="15"/>
        <v>0</v>
      </c>
      <c r="S83" s="798">
        <f t="shared" si="17"/>
        <v>0</v>
      </c>
    </row>
    <row r="84" spans="1:19">
      <c r="A84" s="964"/>
      <c r="B84" s="137"/>
      <c r="C84" s="53">
        <f t="shared" si="7"/>
        <v>1</v>
      </c>
      <c r="D84" s="962"/>
      <c r="E84" s="53">
        <f t="shared" si="8"/>
        <v>1</v>
      </c>
      <c r="F84" s="962"/>
      <c r="G84" s="53">
        <f t="shared" si="9"/>
        <v>1</v>
      </c>
      <c r="H84" s="962"/>
      <c r="I84" s="53">
        <f t="shared" si="10"/>
        <v>1</v>
      </c>
      <c r="J84" s="962"/>
      <c r="K84" s="53">
        <f t="shared" si="11"/>
        <v>1</v>
      </c>
      <c r="L84" s="962"/>
      <c r="M84" s="53">
        <f t="shared" si="12"/>
        <v>1</v>
      </c>
      <c r="N84" s="962"/>
      <c r="O84" s="53">
        <f t="shared" si="13"/>
        <v>1</v>
      </c>
      <c r="P84" s="962"/>
      <c r="Q84" s="53">
        <f t="shared" si="14"/>
        <v>1</v>
      </c>
      <c r="R84" s="489">
        <f t="shared" si="15"/>
        <v>0</v>
      </c>
      <c r="S84" s="798">
        <f t="shared" si="17"/>
        <v>0</v>
      </c>
    </row>
    <row r="85" spans="1:19">
      <c r="A85" s="964"/>
      <c r="B85" s="137"/>
      <c r="C85" s="53">
        <f t="shared" si="7"/>
        <v>1</v>
      </c>
      <c r="D85" s="962"/>
      <c r="E85" s="53">
        <f t="shared" si="8"/>
        <v>1</v>
      </c>
      <c r="F85" s="962"/>
      <c r="G85" s="53">
        <f t="shared" si="9"/>
        <v>1</v>
      </c>
      <c r="H85" s="962"/>
      <c r="I85" s="53">
        <f t="shared" si="10"/>
        <v>1</v>
      </c>
      <c r="J85" s="962"/>
      <c r="K85" s="53">
        <f t="shared" si="11"/>
        <v>1</v>
      </c>
      <c r="L85" s="962"/>
      <c r="M85" s="53">
        <f t="shared" si="12"/>
        <v>1</v>
      </c>
      <c r="N85" s="962"/>
      <c r="O85" s="53">
        <f t="shared" si="13"/>
        <v>1</v>
      </c>
      <c r="P85" s="962"/>
      <c r="Q85" s="53">
        <f t="shared" si="14"/>
        <v>1</v>
      </c>
      <c r="R85" s="489">
        <f t="shared" si="15"/>
        <v>0</v>
      </c>
      <c r="S85" s="798">
        <f t="shared" si="17"/>
        <v>0</v>
      </c>
    </row>
    <row r="86" spans="1:19">
      <c r="A86" s="964"/>
      <c r="B86" s="137"/>
      <c r="C86" s="53">
        <f t="shared" si="7"/>
        <v>1</v>
      </c>
      <c r="D86" s="962"/>
      <c r="E86" s="53">
        <f t="shared" si="8"/>
        <v>1</v>
      </c>
      <c r="F86" s="962"/>
      <c r="G86" s="53">
        <f t="shared" si="9"/>
        <v>1</v>
      </c>
      <c r="H86" s="962"/>
      <c r="I86" s="53">
        <f t="shared" si="10"/>
        <v>1</v>
      </c>
      <c r="J86" s="962"/>
      <c r="K86" s="53">
        <f t="shared" si="11"/>
        <v>1</v>
      </c>
      <c r="L86" s="962"/>
      <c r="M86" s="53">
        <f t="shared" si="12"/>
        <v>1</v>
      </c>
      <c r="N86" s="962"/>
      <c r="O86" s="53">
        <f t="shared" si="13"/>
        <v>1</v>
      </c>
      <c r="P86" s="962"/>
      <c r="Q86" s="53">
        <f t="shared" si="14"/>
        <v>1</v>
      </c>
      <c r="R86" s="489">
        <f t="shared" si="15"/>
        <v>0</v>
      </c>
      <c r="S86" s="798">
        <f t="shared" si="17"/>
        <v>0</v>
      </c>
    </row>
    <row r="87" spans="1:19">
      <c r="A87" s="964"/>
      <c r="B87" s="137"/>
      <c r="C87" s="53">
        <f t="shared" si="7"/>
        <v>1</v>
      </c>
      <c r="D87" s="962"/>
      <c r="E87" s="53">
        <f t="shared" si="8"/>
        <v>1</v>
      </c>
      <c r="F87" s="962"/>
      <c r="G87" s="53">
        <f t="shared" si="9"/>
        <v>1</v>
      </c>
      <c r="H87" s="962"/>
      <c r="I87" s="53">
        <f t="shared" si="10"/>
        <v>1</v>
      </c>
      <c r="J87" s="962"/>
      <c r="K87" s="53">
        <f t="shared" si="11"/>
        <v>1</v>
      </c>
      <c r="L87" s="962"/>
      <c r="M87" s="53">
        <f t="shared" si="12"/>
        <v>1</v>
      </c>
      <c r="N87" s="962"/>
      <c r="O87" s="53">
        <f t="shared" si="13"/>
        <v>1</v>
      </c>
      <c r="P87" s="962"/>
      <c r="Q87" s="53">
        <f t="shared" si="14"/>
        <v>1</v>
      </c>
      <c r="R87" s="489">
        <f t="shared" si="15"/>
        <v>0</v>
      </c>
      <c r="S87" s="798">
        <f t="shared" si="17"/>
        <v>0</v>
      </c>
    </row>
    <row r="88" spans="1:19">
      <c r="A88" s="964"/>
      <c r="B88" s="137"/>
      <c r="C88" s="53">
        <f t="shared" si="7"/>
        <v>1</v>
      </c>
      <c r="D88" s="962"/>
      <c r="E88" s="53">
        <f t="shared" si="8"/>
        <v>1</v>
      </c>
      <c r="F88" s="962"/>
      <c r="G88" s="53">
        <f t="shared" si="9"/>
        <v>1</v>
      </c>
      <c r="H88" s="962"/>
      <c r="I88" s="53">
        <f t="shared" si="10"/>
        <v>1</v>
      </c>
      <c r="J88" s="962"/>
      <c r="K88" s="53">
        <f t="shared" si="11"/>
        <v>1</v>
      </c>
      <c r="L88" s="962"/>
      <c r="M88" s="53">
        <f t="shared" si="12"/>
        <v>1</v>
      </c>
      <c r="N88" s="962"/>
      <c r="O88" s="53">
        <f t="shared" si="13"/>
        <v>1</v>
      </c>
      <c r="P88" s="962"/>
      <c r="Q88" s="53">
        <f t="shared" si="14"/>
        <v>1</v>
      </c>
      <c r="R88" s="489">
        <f t="shared" si="15"/>
        <v>0</v>
      </c>
      <c r="S88" s="798">
        <f t="shared" si="17"/>
        <v>0</v>
      </c>
    </row>
    <row r="89" spans="1:19">
      <c r="A89" s="964"/>
      <c r="B89" s="137"/>
      <c r="C89" s="53">
        <f t="shared" si="7"/>
        <v>1</v>
      </c>
      <c r="D89" s="962"/>
      <c r="E89" s="53">
        <f t="shared" si="8"/>
        <v>1</v>
      </c>
      <c r="F89" s="962"/>
      <c r="G89" s="53">
        <f t="shared" si="9"/>
        <v>1</v>
      </c>
      <c r="H89" s="962"/>
      <c r="I89" s="53">
        <f t="shared" si="10"/>
        <v>1</v>
      </c>
      <c r="J89" s="962"/>
      <c r="K89" s="53">
        <f t="shared" si="11"/>
        <v>1</v>
      </c>
      <c r="L89" s="962"/>
      <c r="M89" s="53">
        <f t="shared" si="12"/>
        <v>1</v>
      </c>
      <c r="N89" s="962"/>
      <c r="O89" s="53">
        <f t="shared" si="13"/>
        <v>1</v>
      </c>
      <c r="P89" s="962"/>
      <c r="Q89" s="53">
        <f t="shared" si="14"/>
        <v>1</v>
      </c>
      <c r="R89" s="489">
        <f t="shared" si="15"/>
        <v>0</v>
      </c>
      <c r="S89" s="798">
        <f t="shared" si="17"/>
        <v>0</v>
      </c>
    </row>
    <row r="90" spans="1:19">
      <c r="A90" s="964"/>
      <c r="B90" s="137"/>
      <c r="C90" s="53">
        <f t="shared" ref="C90:C153" si="18">IF(B90="",1,(LOOKUP(B90,$3:$3,$4:$4)-LOOKUP($B$24,$3:$3,$4:$4)+100)/100)</f>
        <v>1</v>
      </c>
      <c r="D90" s="962"/>
      <c r="E90" s="53">
        <f t="shared" ref="E90:E153" si="19">(SUMIF($5:$5,D90,$6:$6)-SUMIF($5:$5,$D$24,$6:$6)+100)/100</f>
        <v>1</v>
      </c>
      <c r="F90" s="962"/>
      <c r="G90" s="53">
        <f t="shared" ref="G90:G153" si="20">(SUMIF($7:$7,F90,$8:$8)-SUMIF($7:$7,$F$24,$8:$8)+100)/100</f>
        <v>1</v>
      </c>
      <c r="H90" s="962"/>
      <c r="I90" s="53">
        <f t="shared" ref="I90:I153" si="21">(SUMIF($9:$9,H90,$10:$10)-SUMIF($9:$9,$H$24,$10:$10)+100)/100</f>
        <v>1</v>
      </c>
      <c r="J90" s="962"/>
      <c r="K90" s="53">
        <f t="shared" ref="K90:K153" si="22">(SUMIF($11:$11,J90,$12:$12)-SUMIF($11:$11,$J$24,$12:$12)+100)/100</f>
        <v>1</v>
      </c>
      <c r="L90" s="962"/>
      <c r="M90" s="53">
        <f t="shared" ref="M90:M153" si="23">(SUMIF($13:$13,L90,$14:$14)-SUMIF($13:$13,$L$24,$14:$14)+100)/100</f>
        <v>1</v>
      </c>
      <c r="N90" s="962"/>
      <c r="O90" s="53">
        <f t="shared" ref="O90:O153" si="24">(SUMIF($15:$15,N90,$16:$16)-SUMIF($15:$15,$N$24,$16:$16)+100)/100</f>
        <v>1</v>
      </c>
      <c r="P90" s="962"/>
      <c r="Q90" s="53">
        <f t="shared" ref="Q90:Q153" si="25">(SUMIF($17:$17,P90,$18:$18)-SUMIF($17:$17,$P$24,$18:$18)+100)/100</f>
        <v>1</v>
      </c>
      <c r="R90" s="489">
        <f t="shared" ref="R90:R153" si="26">IF(B90="",0,ROUND($R$24*C90*E90*G90*I90*K90*M90*O90*Q90,0))</f>
        <v>0</v>
      </c>
      <c r="S90" s="798">
        <f t="shared" si="17"/>
        <v>0</v>
      </c>
    </row>
    <row r="91" spans="1:19">
      <c r="A91" s="964"/>
      <c r="B91" s="137"/>
      <c r="C91" s="53">
        <f t="shared" si="18"/>
        <v>1</v>
      </c>
      <c r="D91" s="962"/>
      <c r="E91" s="53">
        <f t="shared" si="19"/>
        <v>1</v>
      </c>
      <c r="F91" s="962"/>
      <c r="G91" s="53">
        <f t="shared" si="20"/>
        <v>1</v>
      </c>
      <c r="H91" s="962"/>
      <c r="I91" s="53">
        <f t="shared" si="21"/>
        <v>1</v>
      </c>
      <c r="J91" s="962"/>
      <c r="K91" s="53">
        <f t="shared" si="22"/>
        <v>1</v>
      </c>
      <c r="L91" s="962"/>
      <c r="M91" s="53">
        <f t="shared" si="23"/>
        <v>1</v>
      </c>
      <c r="N91" s="962"/>
      <c r="O91" s="53">
        <f t="shared" si="24"/>
        <v>1</v>
      </c>
      <c r="P91" s="962"/>
      <c r="Q91" s="53">
        <f t="shared" si="25"/>
        <v>1</v>
      </c>
      <c r="R91" s="489">
        <f t="shared" si="26"/>
        <v>0</v>
      </c>
      <c r="S91" s="798">
        <f t="shared" si="17"/>
        <v>0</v>
      </c>
    </row>
    <row r="92" spans="1:19">
      <c r="A92" s="964"/>
      <c r="B92" s="137"/>
      <c r="C92" s="53">
        <f t="shared" si="18"/>
        <v>1</v>
      </c>
      <c r="D92" s="962"/>
      <c r="E92" s="53">
        <f t="shared" si="19"/>
        <v>1</v>
      </c>
      <c r="F92" s="962"/>
      <c r="G92" s="53">
        <f t="shared" si="20"/>
        <v>1</v>
      </c>
      <c r="H92" s="962"/>
      <c r="I92" s="53">
        <f t="shared" si="21"/>
        <v>1</v>
      </c>
      <c r="J92" s="962"/>
      <c r="K92" s="53">
        <f t="shared" si="22"/>
        <v>1</v>
      </c>
      <c r="L92" s="962"/>
      <c r="M92" s="53">
        <f t="shared" si="23"/>
        <v>1</v>
      </c>
      <c r="N92" s="962"/>
      <c r="O92" s="53">
        <f t="shared" si="24"/>
        <v>1</v>
      </c>
      <c r="P92" s="962"/>
      <c r="Q92" s="53">
        <f t="shared" si="25"/>
        <v>1</v>
      </c>
      <c r="R92" s="489">
        <f t="shared" si="26"/>
        <v>0</v>
      </c>
      <c r="S92" s="798">
        <f t="shared" si="17"/>
        <v>0</v>
      </c>
    </row>
    <row r="93" spans="1:19">
      <c r="A93" s="964"/>
      <c r="B93" s="137"/>
      <c r="C93" s="53">
        <f t="shared" si="18"/>
        <v>1</v>
      </c>
      <c r="D93" s="962"/>
      <c r="E93" s="53">
        <f t="shared" si="19"/>
        <v>1</v>
      </c>
      <c r="F93" s="962"/>
      <c r="G93" s="53">
        <f t="shared" si="20"/>
        <v>1</v>
      </c>
      <c r="H93" s="962"/>
      <c r="I93" s="53">
        <f t="shared" si="21"/>
        <v>1</v>
      </c>
      <c r="J93" s="962"/>
      <c r="K93" s="53">
        <f t="shared" si="22"/>
        <v>1</v>
      </c>
      <c r="L93" s="962"/>
      <c r="M93" s="53">
        <f t="shared" si="23"/>
        <v>1</v>
      </c>
      <c r="N93" s="962"/>
      <c r="O93" s="53">
        <f t="shared" si="24"/>
        <v>1</v>
      </c>
      <c r="P93" s="962"/>
      <c r="Q93" s="53">
        <f t="shared" si="25"/>
        <v>1</v>
      </c>
      <c r="R93" s="489">
        <f t="shared" si="26"/>
        <v>0</v>
      </c>
      <c r="S93" s="798">
        <f t="shared" si="17"/>
        <v>0</v>
      </c>
    </row>
    <row r="94" spans="1:19">
      <c r="A94" s="964"/>
      <c r="B94" s="137"/>
      <c r="C94" s="53">
        <f t="shared" si="18"/>
        <v>1</v>
      </c>
      <c r="D94" s="962"/>
      <c r="E94" s="53">
        <f t="shared" si="19"/>
        <v>1</v>
      </c>
      <c r="F94" s="962"/>
      <c r="G94" s="53">
        <f t="shared" si="20"/>
        <v>1</v>
      </c>
      <c r="H94" s="962"/>
      <c r="I94" s="53">
        <f t="shared" si="21"/>
        <v>1</v>
      </c>
      <c r="J94" s="962"/>
      <c r="K94" s="53">
        <f t="shared" si="22"/>
        <v>1</v>
      </c>
      <c r="L94" s="962"/>
      <c r="M94" s="53">
        <f t="shared" si="23"/>
        <v>1</v>
      </c>
      <c r="N94" s="962"/>
      <c r="O94" s="53">
        <f t="shared" si="24"/>
        <v>1</v>
      </c>
      <c r="P94" s="962"/>
      <c r="Q94" s="53">
        <f t="shared" si="25"/>
        <v>1</v>
      </c>
      <c r="R94" s="489">
        <f t="shared" si="26"/>
        <v>0</v>
      </c>
      <c r="S94" s="798">
        <f t="shared" si="17"/>
        <v>0</v>
      </c>
    </row>
    <row r="95" spans="1:19">
      <c r="A95" s="964"/>
      <c r="B95" s="137"/>
      <c r="C95" s="53">
        <f t="shared" si="18"/>
        <v>1</v>
      </c>
      <c r="D95" s="962"/>
      <c r="E95" s="53">
        <f t="shared" si="19"/>
        <v>1</v>
      </c>
      <c r="F95" s="962"/>
      <c r="G95" s="53">
        <f t="shared" si="20"/>
        <v>1</v>
      </c>
      <c r="H95" s="962"/>
      <c r="I95" s="53">
        <f t="shared" si="21"/>
        <v>1</v>
      </c>
      <c r="J95" s="962"/>
      <c r="K95" s="53">
        <f t="shared" si="22"/>
        <v>1</v>
      </c>
      <c r="L95" s="962"/>
      <c r="M95" s="53">
        <f t="shared" si="23"/>
        <v>1</v>
      </c>
      <c r="N95" s="962"/>
      <c r="O95" s="53">
        <f t="shared" si="24"/>
        <v>1</v>
      </c>
      <c r="P95" s="962"/>
      <c r="Q95" s="53">
        <f t="shared" si="25"/>
        <v>1</v>
      </c>
      <c r="R95" s="489">
        <f t="shared" si="26"/>
        <v>0</v>
      </c>
      <c r="S95" s="798">
        <f t="shared" si="17"/>
        <v>0</v>
      </c>
    </row>
    <row r="96" spans="1:19">
      <c r="A96" s="964"/>
      <c r="B96" s="137"/>
      <c r="C96" s="53">
        <f t="shared" si="18"/>
        <v>1</v>
      </c>
      <c r="D96" s="962"/>
      <c r="E96" s="53">
        <f t="shared" si="19"/>
        <v>1</v>
      </c>
      <c r="F96" s="962"/>
      <c r="G96" s="53">
        <f t="shared" si="20"/>
        <v>1</v>
      </c>
      <c r="H96" s="962"/>
      <c r="I96" s="53">
        <f t="shared" si="21"/>
        <v>1</v>
      </c>
      <c r="J96" s="962"/>
      <c r="K96" s="53">
        <f t="shared" si="22"/>
        <v>1</v>
      </c>
      <c r="L96" s="962"/>
      <c r="M96" s="53">
        <f t="shared" si="23"/>
        <v>1</v>
      </c>
      <c r="N96" s="962"/>
      <c r="O96" s="53">
        <f t="shared" si="24"/>
        <v>1</v>
      </c>
      <c r="P96" s="962"/>
      <c r="Q96" s="53">
        <f t="shared" si="25"/>
        <v>1</v>
      </c>
      <c r="R96" s="489">
        <f t="shared" si="26"/>
        <v>0</v>
      </c>
      <c r="S96" s="798">
        <f t="shared" si="17"/>
        <v>0</v>
      </c>
    </row>
    <row r="97" spans="1:19">
      <c r="A97" s="964"/>
      <c r="B97" s="137"/>
      <c r="C97" s="53">
        <f t="shared" si="18"/>
        <v>1</v>
      </c>
      <c r="D97" s="962"/>
      <c r="E97" s="53">
        <f t="shared" si="19"/>
        <v>1</v>
      </c>
      <c r="F97" s="962"/>
      <c r="G97" s="53">
        <f t="shared" si="20"/>
        <v>1</v>
      </c>
      <c r="H97" s="962"/>
      <c r="I97" s="53">
        <f t="shared" si="21"/>
        <v>1</v>
      </c>
      <c r="J97" s="962"/>
      <c r="K97" s="53">
        <f t="shared" si="22"/>
        <v>1</v>
      </c>
      <c r="L97" s="962"/>
      <c r="M97" s="53">
        <f t="shared" si="23"/>
        <v>1</v>
      </c>
      <c r="N97" s="962"/>
      <c r="O97" s="53">
        <f t="shared" si="24"/>
        <v>1</v>
      </c>
      <c r="P97" s="962"/>
      <c r="Q97" s="53">
        <f t="shared" si="25"/>
        <v>1</v>
      </c>
      <c r="R97" s="489">
        <f t="shared" si="26"/>
        <v>0</v>
      </c>
      <c r="S97" s="798">
        <f t="shared" si="17"/>
        <v>0</v>
      </c>
    </row>
    <row r="98" spans="1:19">
      <c r="A98" s="964"/>
      <c r="B98" s="137"/>
      <c r="C98" s="53">
        <f t="shared" si="18"/>
        <v>1</v>
      </c>
      <c r="D98" s="962"/>
      <c r="E98" s="53">
        <f t="shared" si="19"/>
        <v>1</v>
      </c>
      <c r="F98" s="962"/>
      <c r="G98" s="53">
        <f t="shared" si="20"/>
        <v>1</v>
      </c>
      <c r="H98" s="962"/>
      <c r="I98" s="53">
        <f t="shared" si="21"/>
        <v>1</v>
      </c>
      <c r="J98" s="962"/>
      <c r="K98" s="53">
        <f t="shared" si="22"/>
        <v>1</v>
      </c>
      <c r="L98" s="962"/>
      <c r="M98" s="53">
        <f t="shared" si="23"/>
        <v>1</v>
      </c>
      <c r="N98" s="962"/>
      <c r="O98" s="53">
        <f t="shared" si="24"/>
        <v>1</v>
      </c>
      <c r="P98" s="962"/>
      <c r="Q98" s="53">
        <f t="shared" si="25"/>
        <v>1</v>
      </c>
      <c r="R98" s="489">
        <f t="shared" si="26"/>
        <v>0</v>
      </c>
      <c r="S98" s="798">
        <f t="shared" si="17"/>
        <v>0</v>
      </c>
    </row>
    <row r="99" spans="1:19">
      <c r="A99" s="964"/>
      <c r="B99" s="137"/>
      <c r="C99" s="53">
        <f t="shared" si="18"/>
        <v>1</v>
      </c>
      <c r="D99" s="962"/>
      <c r="E99" s="53">
        <f t="shared" si="19"/>
        <v>1</v>
      </c>
      <c r="F99" s="962"/>
      <c r="G99" s="53">
        <f t="shared" si="20"/>
        <v>1</v>
      </c>
      <c r="H99" s="962"/>
      <c r="I99" s="53">
        <f t="shared" si="21"/>
        <v>1</v>
      </c>
      <c r="J99" s="962"/>
      <c r="K99" s="53">
        <f t="shared" si="22"/>
        <v>1</v>
      </c>
      <c r="L99" s="962"/>
      <c r="M99" s="53">
        <f t="shared" si="23"/>
        <v>1</v>
      </c>
      <c r="N99" s="962"/>
      <c r="O99" s="53">
        <f t="shared" si="24"/>
        <v>1</v>
      </c>
      <c r="P99" s="962"/>
      <c r="Q99" s="53">
        <f t="shared" si="25"/>
        <v>1</v>
      </c>
      <c r="R99" s="489">
        <f t="shared" si="26"/>
        <v>0</v>
      </c>
      <c r="S99" s="798">
        <f t="shared" si="17"/>
        <v>0</v>
      </c>
    </row>
    <row r="100" spans="1:19">
      <c r="A100" s="964"/>
      <c r="B100" s="137"/>
      <c r="C100" s="53">
        <f t="shared" si="18"/>
        <v>1</v>
      </c>
      <c r="D100" s="962"/>
      <c r="E100" s="53">
        <f t="shared" si="19"/>
        <v>1</v>
      </c>
      <c r="F100" s="962"/>
      <c r="G100" s="53">
        <f t="shared" si="20"/>
        <v>1</v>
      </c>
      <c r="H100" s="962"/>
      <c r="I100" s="53">
        <f t="shared" si="21"/>
        <v>1</v>
      </c>
      <c r="J100" s="962"/>
      <c r="K100" s="53">
        <f t="shared" si="22"/>
        <v>1</v>
      </c>
      <c r="L100" s="962"/>
      <c r="M100" s="53">
        <f t="shared" si="23"/>
        <v>1</v>
      </c>
      <c r="N100" s="962"/>
      <c r="O100" s="53">
        <f t="shared" si="24"/>
        <v>1</v>
      </c>
      <c r="P100" s="962"/>
      <c r="Q100" s="53">
        <f t="shared" si="25"/>
        <v>1</v>
      </c>
      <c r="R100" s="489">
        <f t="shared" si="26"/>
        <v>0</v>
      </c>
      <c r="S100" s="798">
        <f t="shared" si="17"/>
        <v>0</v>
      </c>
    </row>
    <row r="101" spans="1:19">
      <c r="A101" s="964"/>
      <c r="B101" s="137"/>
      <c r="C101" s="53">
        <f t="shared" si="18"/>
        <v>1</v>
      </c>
      <c r="D101" s="962"/>
      <c r="E101" s="53">
        <f t="shared" si="19"/>
        <v>1</v>
      </c>
      <c r="F101" s="962"/>
      <c r="G101" s="53">
        <f t="shared" si="20"/>
        <v>1</v>
      </c>
      <c r="H101" s="962"/>
      <c r="I101" s="53">
        <f t="shared" si="21"/>
        <v>1</v>
      </c>
      <c r="J101" s="962"/>
      <c r="K101" s="53">
        <f t="shared" si="22"/>
        <v>1</v>
      </c>
      <c r="L101" s="962"/>
      <c r="M101" s="53">
        <f t="shared" si="23"/>
        <v>1</v>
      </c>
      <c r="N101" s="962"/>
      <c r="O101" s="53">
        <f t="shared" si="24"/>
        <v>1</v>
      </c>
      <c r="P101" s="962"/>
      <c r="Q101" s="53">
        <f t="shared" si="25"/>
        <v>1</v>
      </c>
      <c r="R101" s="489">
        <f t="shared" si="26"/>
        <v>0</v>
      </c>
      <c r="S101" s="798">
        <f t="shared" si="17"/>
        <v>0</v>
      </c>
    </row>
    <row r="102" spans="1:19">
      <c r="A102" s="964"/>
      <c r="B102" s="137"/>
      <c r="C102" s="53">
        <f t="shared" si="18"/>
        <v>1</v>
      </c>
      <c r="D102" s="962"/>
      <c r="E102" s="53">
        <f t="shared" si="19"/>
        <v>1</v>
      </c>
      <c r="F102" s="962"/>
      <c r="G102" s="53">
        <f t="shared" si="20"/>
        <v>1</v>
      </c>
      <c r="H102" s="962"/>
      <c r="I102" s="53">
        <f t="shared" si="21"/>
        <v>1</v>
      </c>
      <c r="J102" s="962"/>
      <c r="K102" s="53">
        <f t="shared" si="22"/>
        <v>1</v>
      </c>
      <c r="L102" s="962"/>
      <c r="M102" s="53">
        <f t="shared" si="23"/>
        <v>1</v>
      </c>
      <c r="N102" s="962"/>
      <c r="O102" s="53">
        <f t="shared" si="24"/>
        <v>1</v>
      </c>
      <c r="P102" s="962"/>
      <c r="Q102" s="53">
        <f t="shared" si="25"/>
        <v>1</v>
      </c>
      <c r="R102" s="489">
        <f t="shared" si="26"/>
        <v>0</v>
      </c>
      <c r="S102" s="798">
        <f t="shared" si="17"/>
        <v>0</v>
      </c>
    </row>
    <row r="103" spans="1:19">
      <c r="A103" s="964"/>
      <c r="B103" s="137"/>
      <c r="C103" s="53">
        <f t="shared" si="18"/>
        <v>1</v>
      </c>
      <c r="D103" s="962"/>
      <c r="E103" s="53">
        <f t="shared" si="19"/>
        <v>1</v>
      </c>
      <c r="F103" s="962"/>
      <c r="G103" s="53">
        <f t="shared" si="20"/>
        <v>1</v>
      </c>
      <c r="H103" s="962"/>
      <c r="I103" s="53">
        <f t="shared" si="21"/>
        <v>1</v>
      </c>
      <c r="J103" s="962"/>
      <c r="K103" s="53">
        <f t="shared" si="22"/>
        <v>1</v>
      </c>
      <c r="L103" s="962"/>
      <c r="M103" s="53">
        <f t="shared" si="23"/>
        <v>1</v>
      </c>
      <c r="N103" s="962"/>
      <c r="O103" s="53">
        <f t="shared" si="24"/>
        <v>1</v>
      </c>
      <c r="P103" s="962"/>
      <c r="Q103" s="53">
        <f t="shared" si="25"/>
        <v>1</v>
      </c>
      <c r="R103" s="489">
        <f t="shared" si="26"/>
        <v>0</v>
      </c>
      <c r="S103" s="798">
        <f t="shared" si="17"/>
        <v>0</v>
      </c>
    </row>
    <row r="104" spans="1:19">
      <c r="A104" s="964"/>
      <c r="B104" s="137"/>
      <c r="C104" s="53">
        <f t="shared" si="18"/>
        <v>1</v>
      </c>
      <c r="D104" s="962"/>
      <c r="E104" s="53">
        <f t="shared" si="19"/>
        <v>1</v>
      </c>
      <c r="F104" s="962"/>
      <c r="G104" s="53">
        <f t="shared" si="20"/>
        <v>1</v>
      </c>
      <c r="H104" s="962"/>
      <c r="I104" s="53">
        <f t="shared" si="21"/>
        <v>1</v>
      </c>
      <c r="J104" s="962"/>
      <c r="K104" s="53">
        <f t="shared" si="22"/>
        <v>1</v>
      </c>
      <c r="L104" s="962"/>
      <c r="M104" s="53">
        <f t="shared" si="23"/>
        <v>1</v>
      </c>
      <c r="N104" s="962"/>
      <c r="O104" s="53">
        <f t="shared" si="24"/>
        <v>1</v>
      </c>
      <c r="P104" s="962"/>
      <c r="Q104" s="53">
        <f t="shared" si="25"/>
        <v>1</v>
      </c>
      <c r="R104" s="489">
        <f t="shared" si="26"/>
        <v>0</v>
      </c>
      <c r="S104" s="798">
        <f t="shared" si="17"/>
        <v>0</v>
      </c>
    </row>
    <row r="105" spans="1:19">
      <c r="A105" s="964"/>
      <c r="B105" s="137"/>
      <c r="C105" s="53">
        <f t="shared" si="18"/>
        <v>1</v>
      </c>
      <c r="D105" s="962"/>
      <c r="E105" s="53">
        <f t="shared" si="19"/>
        <v>1</v>
      </c>
      <c r="F105" s="962"/>
      <c r="G105" s="53">
        <f t="shared" si="20"/>
        <v>1</v>
      </c>
      <c r="H105" s="962"/>
      <c r="I105" s="53">
        <f t="shared" si="21"/>
        <v>1</v>
      </c>
      <c r="J105" s="962"/>
      <c r="K105" s="53">
        <f t="shared" si="22"/>
        <v>1</v>
      </c>
      <c r="L105" s="962"/>
      <c r="M105" s="53">
        <f t="shared" si="23"/>
        <v>1</v>
      </c>
      <c r="N105" s="962"/>
      <c r="O105" s="53">
        <f t="shared" si="24"/>
        <v>1</v>
      </c>
      <c r="P105" s="962"/>
      <c r="Q105" s="53">
        <f t="shared" si="25"/>
        <v>1</v>
      </c>
      <c r="R105" s="489">
        <f t="shared" si="26"/>
        <v>0</v>
      </c>
      <c r="S105" s="798">
        <f t="shared" si="17"/>
        <v>0</v>
      </c>
    </row>
    <row r="106" spans="1:19">
      <c r="A106" s="964"/>
      <c r="B106" s="137"/>
      <c r="C106" s="53">
        <f t="shared" si="18"/>
        <v>1</v>
      </c>
      <c r="D106" s="962"/>
      <c r="E106" s="53">
        <f t="shared" si="19"/>
        <v>1</v>
      </c>
      <c r="F106" s="962"/>
      <c r="G106" s="53">
        <f t="shared" si="20"/>
        <v>1</v>
      </c>
      <c r="H106" s="962"/>
      <c r="I106" s="53">
        <f t="shared" si="21"/>
        <v>1</v>
      </c>
      <c r="J106" s="962"/>
      <c r="K106" s="53">
        <f t="shared" si="22"/>
        <v>1</v>
      </c>
      <c r="L106" s="962"/>
      <c r="M106" s="53">
        <f t="shared" si="23"/>
        <v>1</v>
      </c>
      <c r="N106" s="962"/>
      <c r="O106" s="53">
        <f t="shared" si="24"/>
        <v>1</v>
      </c>
      <c r="P106" s="962"/>
      <c r="Q106" s="53">
        <f t="shared" si="25"/>
        <v>1</v>
      </c>
      <c r="R106" s="489">
        <f t="shared" si="26"/>
        <v>0</v>
      </c>
      <c r="S106" s="798">
        <f t="shared" si="17"/>
        <v>0</v>
      </c>
    </row>
    <row r="107" spans="1:19">
      <c r="A107" s="964"/>
      <c r="B107" s="137"/>
      <c r="C107" s="53">
        <f t="shared" si="18"/>
        <v>1</v>
      </c>
      <c r="D107" s="962"/>
      <c r="E107" s="53">
        <f t="shared" si="19"/>
        <v>1</v>
      </c>
      <c r="F107" s="962"/>
      <c r="G107" s="53">
        <f t="shared" si="20"/>
        <v>1</v>
      </c>
      <c r="H107" s="962"/>
      <c r="I107" s="53">
        <f t="shared" si="21"/>
        <v>1</v>
      </c>
      <c r="J107" s="962"/>
      <c r="K107" s="53">
        <f t="shared" si="22"/>
        <v>1</v>
      </c>
      <c r="L107" s="962"/>
      <c r="M107" s="53">
        <f t="shared" si="23"/>
        <v>1</v>
      </c>
      <c r="N107" s="962"/>
      <c r="O107" s="53">
        <f t="shared" si="24"/>
        <v>1</v>
      </c>
      <c r="P107" s="962"/>
      <c r="Q107" s="53">
        <f t="shared" si="25"/>
        <v>1</v>
      </c>
      <c r="R107" s="489">
        <f t="shared" si="26"/>
        <v>0</v>
      </c>
      <c r="S107" s="798">
        <f t="shared" si="17"/>
        <v>0</v>
      </c>
    </row>
    <row r="108" spans="1:19">
      <c r="A108" s="964"/>
      <c r="B108" s="137"/>
      <c r="C108" s="53">
        <f t="shared" si="18"/>
        <v>1</v>
      </c>
      <c r="D108" s="962"/>
      <c r="E108" s="53">
        <f t="shared" si="19"/>
        <v>1</v>
      </c>
      <c r="F108" s="962"/>
      <c r="G108" s="53">
        <f t="shared" si="20"/>
        <v>1</v>
      </c>
      <c r="H108" s="962"/>
      <c r="I108" s="53">
        <f t="shared" si="21"/>
        <v>1</v>
      </c>
      <c r="J108" s="962"/>
      <c r="K108" s="53">
        <f t="shared" si="22"/>
        <v>1</v>
      </c>
      <c r="L108" s="962"/>
      <c r="M108" s="53">
        <f t="shared" si="23"/>
        <v>1</v>
      </c>
      <c r="N108" s="962"/>
      <c r="O108" s="53">
        <f t="shared" si="24"/>
        <v>1</v>
      </c>
      <c r="P108" s="962"/>
      <c r="Q108" s="53">
        <f t="shared" si="25"/>
        <v>1</v>
      </c>
      <c r="R108" s="489">
        <f t="shared" si="26"/>
        <v>0</v>
      </c>
      <c r="S108" s="798">
        <f t="shared" si="17"/>
        <v>0</v>
      </c>
    </row>
    <row r="109" spans="1:19">
      <c r="A109" s="964"/>
      <c r="B109" s="137"/>
      <c r="C109" s="53">
        <f t="shared" si="18"/>
        <v>1</v>
      </c>
      <c r="D109" s="962"/>
      <c r="E109" s="53">
        <f t="shared" si="19"/>
        <v>1</v>
      </c>
      <c r="F109" s="962"/>
      <c r="G109" s="53">
        <f t="shared" si="20"/>
        <v>1</v>
      </c>
      <c r="H109" s="962"/>
      <c r="I109" s="53">
        <f t="shared" si="21"/>
        <v>1</v>
      </c>
      <c r="J109" s="962"/>
      <c r="K109" s="53">
        <f t="shared" si="22"/>
        <v>1</v>
      </c>
      <c r="L109" s="962"/>
      <c r="M109" s="53">
        <f t="shared" si="23"/>
        <v>1</v>
      </c>
      <c r="N109" s="962"/>
      <c r="O109" s="53">
        <f t="shared" si="24"/>
        <v>1</v>
      </c>
      <c r="P109" s="962"/>
      <c r="Q109" s="53">
        <f t="shared" si="25"/>
        <v>1</v>
      </c>
      <c r="R109" s="489">
        <f t="shared" si="26"/>
        <v>0</v>
      </c>
      <c r="S109" s="798">
        <f t="shared" si="17"/>
        <v>0</v>
      </c>
    </row>
    <row r="110" spans="1:19">
      <c r="A110" s="964"/>
      <c r="B110" s="137"/>
      <c r="C110" s="53">
        <f t="shared" si="18"/>
        <v>1</v>
      </c>
      <c r="D110" s="962"/>
      <c r="E110" s="53">
        <f t="shared" si="19"/>
        <v>1</v>
      </c>
      <c r="F110" s="962"/>
      <c r="G110" s="53">
        <f t="shared" si="20"/>
        <v>1</v>
      </c>
      <c r="H110" s="962"/>
      <c r="I110" s="53">
        <f t="shared" si="21"/>
        <v>1</v>
      </c>
      <c r="J110" s="962"/>
      <c r="K110" s="53">
        <f t="shared" si="22"/>
        <v>1</v>
      </c>
      <c r="L110" s="962"/>
      <c r="M110" s="53">
        <f t="shared" si="23"/>
        <v>1</v>
      </c>
      <c r="N110" s="962"/>
      <c r="O110" s="53">
        <f t="shared" si="24"/>
        <v>1</v>
      </c>
      <c r="P110" s="962"/>
      <c r="Q110" s="53">
        <f t="shared" si="25"/>
        <v>1</v>
      </c>
      <c r="R110" s="489">
        <f t="shared" si="26"/>
        <v>0</v>
      </c>
      <c r="S110" s="798">
        <f t="shared" si="17"/>
        <v>0</v>
      </c>
    </row>
    <row r="111" spans="1:19">
      <c r="A111" s="964"/>
      <c r="B111" s="137"/>
      <c r="C111" s="53">
        <f t="shared" si="18"/>
        <v>1</v>
      </c>
      <c r="D111" s="962"/>
      <c r="E111" s="53">
        <f t="shared" si="19"/>
        <v>1</v>
      </c>
      <c r="F111" s="962"/>
      <c r="G111" s="53">
        <f t="shared" si="20"/>
        <v>1</v>
      </c>
      <c r="H111" s="962"/>
      <c r="I111" s="53">
        <f t="shared" si="21"/>
        <v>1</v>
      </c>
      <c r="J111" s="962"/>
      <c r="K111" s="53">
        <f t="shared" si="22"/>
        <v>1</v>
      </c>
      <c r="L111" s="962"/>
      <c r="M111" s="53">
        <f t="shared" si="23"/>
        <v>1</v>
      </c>
      <c r="N111" s="962"/>
      <c r="O111" s="53">
        <f t="shared" si="24"/>
        <v>1</v>
      </c>
      <c r="P111" s="962"/>
      <c r="Q111" s="53">
        <f t="shared" si="25"/>
        <v>1</v>
      </c>
      <c r="R111" s="489">
        <f t="shared" si="26"/>
        <v>0</v>
      </c>
      <c r="S111" s="798">
        <f t="shared" si="17"/>
        <v>0</v>
      </c>
    </row>
    <row r="112" spans="1:19">
      <c r="A112" s="964"/>
      <c r="B112" s="137"/>
      <c r="C112" s="53">
        <f t="shared" si="18"/>
        <v>1</v>
      </c>
      <c r="D112" s="962"/>
      <c r="E112" s="53">
        <f t="shared" si="19"/>
        <v>1</v>
      </c>
      <c r="F112" s="962"/>
      <c r="G112" s="53">
        <f t="shared" si="20"/>
        <v>1</v>
      </c>
      <c r="H112" s="962"/>
      <c r="I112" s="53">
        <f t="shared" si="21"/>
        <v>1</v>
      </c>
      <c r="J112" s="962"/>
      <c r="K112" s="53">
        <f t="shared" si="22"/>
        <v>1</v>
      </c>
      <c r="L112" s="962"/>
      <c r="M112" s="53">
        <f t="shared" si="23"/>
        <v>1</v>
      </c>
      <c r="N112" s="962"/>
      <c r="O112" s="53">
        <f t="shared" si="24"/>
        <v>1</v>
      </c>
      <c r="P112" s="962"/>
      <c r="Q112" s="53">
        <f t="shared" si="25"/>
        <v>1</v>
      </c>
      <c r="R112" s="489">
        <f t="shared" si="26"/>
        <v>0</v>
      </c>
      <c r="S112" s="798">
        <f t="shared" si="17"/>
        <v>0</v>
      </c>
    </row>
    <row r="113" spans="1:19">
      <c r="A113" s="964"/>
      <c r="B113" s="137"/>
      <c r="C113" s="53">
        <f t="shared" si="18"/>
        <v>1</v>
      </c>
      <c r="D113" s="962"/>
      <c r="E113" s="53">
        <f t="shared" si="19"/>
        <v>1</v>
      </c>
      <c r="F113" s="962"/>
      <c r="G113" s="53">
        <f t="shared" si="20"/>
        <v>1</v>
      </c>
      <c r="H113" s="962"/>
      <c r="I113" s="53">
        <f t="shared" si="21"/>
        <v>1</v>
      </c>
      <c r="J113" s="962"/>
      <c r="K113" s="53">
        <f t="shared" si="22"/>
        <v>1</v>
      </c>
      <c r="L113" s="962"/>
      <c r="M113" s="53">
        <f t="shared" si="23"/>
        <v>1</v>
      </c>
      <c r="N113" s="962"/>
      <c r="O113" s="53">
        <f t="shared" si="24"/>
        <v>1</v>
      </c>
      <c r="P113" s="962"/>
      <c r="Q113" s="53">
        <f t="shared" si="25"/>
        <v>1</v>
      </c>
      <c r="R113" s="489">
        <f t="shared" si="26"/>
        <v>0</v>
      </c>
      <c r="S113" s="798">
        <f t="shared" si="17"/>
        <v>0</v>
      </c>
    </row>
    <row r="114" spans="1:19">
      <c r="A114" s="964"/>
      <c r="B114" s="137"/>
      <c r="C114" s="53">
        <f t="shared" si="18"/>
        <v>1</v>
      </c>
      <c r="D114" s="962"/>
      <c r="E114" s="53">
        <f t="shared" si="19"/>
        <v>1</v>
      </c>
      <c r="F114" s="962"/>
      <c r="G114" s="53">
        <f t="shared" si="20"/>
        <v>1</v>
      </c>
      <c r="H114" s="962"/>
      <c r="I114" s="53">
        <f t="shared" si="21"/>
        <v>1</v>
      </c>
      <c r="J114" s="962"/>
      <c r="K114" s="53">
        <f t="shared" si="22"/>
        <v>1</v>
      </c>
      <c r="L114" s="962"/>
      <c r="M114" s="53">
        <f t="shared" si="23"/>
        <v>1</v>
      </c>
      <c r="N114" s="962"/>
      <c r="O114" s="53">
        <f t="shared" si="24"/>
        <v>1</v>
      </c>
      <c r="P114" s="962"/>
      <c r="Q114" s="53">
        <f t="shared" si="25"/>
        <v>1</v>
      </c>
      <c r="R114" s="489">
        <f t="shared" si="26"/>
        <v>0</v>
      </c>
      <c r="S114" s="798">
        <f t="shared" si="17"/>
        <v>0</v>
      </c>
    </row>
    <row r="115" spans="1:19">
      <c r="A115" s="964"/>
      <c r="B115" s="137"/>
      <c r="C115" s="53">
        <f t="shared" si="18"/>
        <v>1</v>
      </c>
      <c r="D115" s="962"/>
      <c r="E115" s="53">
        <f t="shared" si="19"/>
        <v>1</v>
      </c>
      <c r="F115" s="962"/>
      <c r="G115" s="53">
        <f t="shared" si="20"/>
        <v>1</v>
      </c>
      <c r="H115" s="962"/>
      <c r="I115" s="53">
        <f t="shared" si="21"/>
        <v>1</v>
      </c>
      <c r="J115" s="962"/>
      <c r="K115" s="53">
        <f t="shared" si="22"/>
        <v>1</v>
      </c>
      <c r="L115" s="962"/>
      <c r="M115" s="53">
        <f t="shared" si="23"/>
        <v>1</v>
      </c>
      <c r="N115" s="962"/>
      <c r="O115" s="53">
        <f t="shared" si="24"/>
        <v>1</v>
      </c>
      <c r="P115" s="962"/>
      <c r="Q115" s="53">
        <f t="shared" si="25"/>
        <v>1</v>
      </c>
      <c r="R115" s="489">
        <f t="shared" si="26"/>
        <v>0</v>
      </c>
      <c r="S115" s="798">
        <f t="shared" si="17"/>
        <v>0</v>
      </c>
    </row>
    <row r="116" spans="1:19">
      <c r="A116" s="964"/>
      <c r="B116" s="137"/>
      <c r="C116" s="53">
        <f t="shared" si="18"/>
        <v>1</v>
      </c>
      <c r="D116" s="962"/>
      <c r="E116" s="53">
        <f t="shared" si="19"/>
        <v>1</v>
      </c>
      <c r="F116" s="962"/>
      <c r="G116" s="53">
        <f t="shared" si="20"/>
        <v>1</v>
      </c>
      <c r="H116" s="962"/>
      <c r="I116" s="53">
        <f t="shared" si="21"/>
        <v>1</v>
      </c>
      <c r="J116" s="962"/>
      <c r="K116" s="53">
        <f t="shared" si="22"/>
        <v>1</v>
      </c>
      <c r="L116" s="962"/>
      <c r="M116" s="53">
        <f t="shared" si="23"/>
        <v>1</v>
      </c>
      <c r="N116" s="962"/>
      <c r="O116" s="53">
        <f t="shared" si="24"/>
        <v>1</v>
      </c>
      <c r="P116" s="962"/>
      <c r="Q116" s="53">
        <f t="shared" si="25"/>
        <v>1</v>
      </c>
      <c r="R116" s="489">
        <f t="shared" si="26"/>
        <v>0</v>
      </c>
      <c r="S116" s="798">
        <f t="shared" si="17"/>
        <v>0</v>
      </c>
    </row>
    <row r="117" spans="1:19">
      <c r="A117" s="964"/>
      <c r="B117" s="137"/>
      <c r="C117" s="53">
        <f t="shared" si="18"/>
        <v>1</v>
      </c>
      <c r="D117" s="962"/>
      <c r="E117" s="53">
        <f t="shared" si="19"/>
        <v>1</v>
      </c>
      <c r="F117" s="962"/>
      <c r="G117" s="53">
        <f t="shared" si="20"/>
        <v>1</v>
      </c>
      <c r="H117" s="962"/>
      <c r="I117" s="53">
        <f t="shared" si="21"/>
        <v>1</v>
      </c>
      <c r="J117" s="962"/>
      <c r="K117" s="53">
        <f t="shared" si="22"/>
        <v>1</v>
      </c>
      <c r="L117" s="962"/>
      <c r="M117" s="53">
        <f t="shared" si="23"/>
        <v>1</v>
      </c>
      <c r="N117" s="962"/>
      <c r="O117" s="53">
        <f t="shared" si="24"/>
        <v>1</v>
      </c>
      <c r="P117" s="962"/>
      <c r="Q117" s="53">
        <f t="shared" si="25"/>
        <v>1</v>
      </c>
      <c r="R117" s="489">
        <f t="shared" si="26"/>
        <v>0</v>
      </c>
      <c r="S117" s="798">
        <f t="shared" si="17"/>
        <v>0</v>
      </c>
    </row>
    <row r="118" spans="1:19">
      <c r="A118" s="964"/>
      <c r="B118" s="137"/>
      <c r="C118" s="53">
        <f t="shared" si="18"/>
        <v>1</v>
      </c>
      <c r="D118" s="962"/>
      <c r="E118" s="53">
        <f t="shared" si="19"/>
        <v>1</v>
      </c>
      <c r="F118" s="962"/>
      <c r="G118" s="53">
        <f t="shared" si="20"/>
        <v>1</v>
      </c>
      <c r="H118" s="962"/>
      <c r="I118" s="53">
        <f t="shared" si="21"/>
        <v>1</v>
      </c>
      <c r="J118" s="962"/>
      <c r="K118" s="53">
        <f t="shared" si="22"/>
        <v>1</v>
      </c>
      <c r="L118" s="962"/>
      <c r="M118" s="53">
        <f t="shared" si="23"/>
        <v>1</v>
      </c>
      <c r="N118" s="962"/>
      <c r="O118" s="53">
        <f t="shared" si="24"/>
        <v>1</v>
      </c>
      <c r="P118" s="962"/>
      <c r="Q118" s="53">
        <f t="shared" si="25"/>
        <v>1</v>
      </c>
      <c r="R118" s="489">
        <f t="shared" si="26"/>
        <v>0</v>
      </c>
      <c r="S118" s="798">
        <f t="shared" si="17"/>
        <v>0</v>
      </c>
    </row>
    <row r="119" spans="1:19">
      <c r="A119" s="964"/>
      <c r="B119" s="137"/>
      <c r="C119" s="53">
        <f t="shared" si="18"/>
        <v>1</v>
      </c>
      <c r="D119" s="962"/>
      <c r="E119" s="53">
        <f t="shared" si="19"/>
        <v>1</v>
      </c>
      <c r="F119" s="962"/>
      <c r="G119" s="53">
        <f t="shared" si="20"/>
        <v>1</v>
      </c>
      <c r="H119" s="962"/>
      <c r="I119" s="53">
        <f t="shared" si="21"/>
        <v>1</v>
      </c>
      <c r="J119" s="962"/>
      <c r="K119" s="53">
        <f t="shared" si="22"/>
        <v>1</v>
      </c>
      <c r="L119" s="962"/>
      <c r="M119" s="53">
        <f t="shared" si="23"/>
        <v>1</v>
      </c>
      <c r="N119" s="962"/>
      <c r="O119" s="53">
        <f t="shared" si="24"/>
        <v>1</v>
      </c>
      <c r="P119" s="962"/>
      <c r="Q119" s="53">
        <f t="shared" si="25"/>
        <v>1</v>
      </c>
      <c r="R119" s="489">
        <f t="shared" si="26"/>
        <v>0</v>
      </c>
      <c r="S119" s="798">
        <f t="shared" si="17"/>
        <v>0</v>
      </c>
    </row>
    <row r="120" spans="1:19">
      <c r="A120" s="964"/>
      <c r="B120" s="137"/>
      <c r="C120" s="53">
        <f t="shared" si="18"/>
        <v>1</v>
      </c>
      <c r="D120" s="962"/>
      <c r="E120" s="53">
        <f t="shared" si="19"/>
        <v>1</v>
      </c>
      <c r="F120" s="962"/>
      <c r="G120" s="53">
        <f t="shared" si="20"/>
        <v>1</v>
      </c>
      <c r="H120" s="962"/>
      <c r="I120" s="53">
        <f t="shared" si="21"/>
        <v>1</v>
      </c>
      <c r="J120" s="962"/>
      <c r="K120" s="53">
        <f t="shared" si="22"/>
        <v>1</v>
      </c>
      <c r="L120" s="962"/>
      <c r="M120" s="53">
        <f t="shared" si="23"/>
        <v>1</v>
      </c>
      <c r="N120" s="962"/>
      <c r="O120" s="53">
        <f t="shared" si="24"/>
        <v>1</v>
      </c>
      <c r="P120" s="962"/>
      <c r="Q120" s="53">
        <f t="shared" si="25"/>
        <v>1</v>
      </c>
      <c r="R120" s="489">
        <f t="shared" si="26"/>
        <v>0</v>
      </c>
      <c r="S120" s="798">
        <f t="shared" si="17"/>
        <v>0</v>
      </c>
    </row>
    <row r="121" spans="1:19">
      <c r="A121" s="964"/>
      <c r="B121" s="137"/>
      <c r="C121" s="53">
        <f t="shared" si="18"/>
        <v>1</v>
      </c>
      <c r="D121" s="962"/>
      <c r="E121" s="53">
        <f t="shared" si="19"/>
        <v>1</v>
      </c>
      <c r="F121" s="962"/>
      <c r="G121" s="53">
        <f t="shared" si="20"/>
        <v>1</v>
      </c>
      <c r="H121" s="962"/>
      <c r="I121" s="53">
        <f t="shared" si="21"/>
        <v>1</v>
      </c>
      <c r="J121" s="962"/>
      <c r="K121" s="53">
        <f t="shared" si="22"/>
        <v>1</v>
      </c>
      <c r="L121" s="962"/>
      <c r="M121" s="53">
        <f t="shared" si="23"/>
        <v>1</v>
      </c>
      <c r="N121" s="962"/>
      <c r="O121" s="53">
        <f t="shared" si="24"/>
        <v>1</v>
      </c>
      <c r="P121" s="962"/>
      <c r="Q121" s="53">
        <f t="shared" si="25"/>
        <v>1</v>
      </c>
      <c r="R121" s="489">
        <f t="shared" si="26"/>
        <v>0</v>
      </c>
      <c r="S121" s="798">
        <f t="shared" si="17"/>
        <v>0</v>
      </c>
    </row>
    <row r="122" spans="1:19">
      <c r="A122" s="964"/>
      <c r="B122" s="137"/>
      <c r="C122" s="53">
        <f t="shared" si="18"/>
        <v>1</v>
      </c>
      <c r="D122" s="962"/>
      <c r="E122" s="53">
        <f t="shared" si="19"/>
        <v>1</v>
      </c>
      <c r="F122" s="962"/>
      <c r="G122" s="53">
        <f t="shared" si="20"/>
        <v>1</v>
      </c>
      <c r="H122" s="962"/>
      <c r="I122" s="53">
        <f t="shared" si="21"/>
        <v>1</v>
      </c>
      <c r="J122" s="962"/>
      <c r="K122" s="53">
        <f t="shared" si="22"/>
        <v>1</v>
      </c>
      <c r="L122" s="962"/>
      <c r="M122" s="53">
        <f t="shared" si="23"/>
        <v>1</v>
      </c>
      <c r="N122" s="962"/>
      <c r="O122" s="53">
        <f t="shared" si="24"/>
        <v>1</v>
      </c>
      <c r="P122" s="962"/>
      <c r="Q122" s="53">
        <f t="shared" si="25"/>
        <v>1</v>
      </c>
      <c r="R122" s="489">
        <f t="shared" si="26"/>
        <v>0</v>
      </c>
      <c r="S122" s="798">
        <f t="shared" si="17"/>
        <v>0</v>
      </c>
    </row>
    <row r="123" spans="1:19">
      <c r="A123" s="964"/>
      <c r="B123" s="137"/>
      <c r="C123" s="53">
        <f t="shared" si="18"/>
        <v>1</v>
      </c>
      <c r="D123" s="962"/>
      <c r="E123" s="53">
        <f t="shared" si="19"/>
        <v>1</v>
      </c>
      <c r="F123" s="962"/>
      <c r="G123" s="53">
        <f t="shared" si="20"/>
        <v>1</v>
      </c>
      <c r="H123" s="962"/>
      <c r="I123" s="53">
        <f t="shared" si="21"/>
        <v>1</v>
      </c>
      <c r="J123" s="962"/>
      <c r="K123" s="53">
        <f t="shared" si="22"/>
        <v>1</v>
      </c>
      <c r="L123" s="962"/>
      <c r="M123" s="53">
        <f t="shared" si="23"/>
        <v>1</v>
      </c>
      <c r="N123" s="962"/>
      <c r="O123" s="53">
        <f t="shared" si="24"/>
        <v>1</v>
      </c>
      <c r="P123" s="962"/>
      <c r="Q123" s="53">
        <f t="shared" si="25"/>
        <v>1</v>
      </c>
      <c r="R123" s="489">
        <f t="shared" si="26"/>
        <v>0</v>
      </c>
      <c r="S123" s="798">
        <f t="shared" ref="S123:S186" si="27">ROUND(R123*B123/10000,0)</f>
        <v>0</v>
      </c>
    </row>
    <row r="124" spans="1:19">
      <c r="A124" s="964"/>
      <c r="B124" s="137"/>
      <c r="C124" s="53">
        <f t="shared" si="18"/>
        <v>1</v>
      </c>
      <c r="D124" s="962"/>
      <c r="E124" s="53">
        <f t="shared" si="19"/>
        <v>1</v>
      </c>
      <c r="F124" s="962"/>
      <c r="G124" s="53">
        <f t="shared" si="20"/>
        <v>1</v>
      </c>
      <c r="H124" s="962"/>
      <c r="I124" s="53">
        <f t="shared" si="21"/>
        <v>1</v>
      </c>
      <c r="J124" s="962"/>
      <c r="K124" s="53">
        <f t="shared" si="22"/>
        <v>1</v>
      </c>
      <c r="L124" s="962"/>
      <c r="M124" s="53">
        <f t="shared" si="23"/>
        <v>1</v>
      </c>
      <c r="N124" s="962"/>
      <c r="O124" s="53">
        <f t="shared" si="24"/>
        <v>1</v>
      </c>
      <c r="P124" s="962"/>
      <c r="Q124" s="53">
        <f t="shared" si="25"/>
        <v>1</v>
      </c>
      <c r="R124" s="489">
        <f t="shared" si="26"/>
        <v>0</v>
      </c>
      <c r="S124" s="798">
        <f t="shared" si="27"/>
        <v>0</v>
      </c>
    </row>
    <row r="125" spans="1:19">
      <c r="A125" s="964"/>
      <c r="B125" s="137"/>
      <c r="C125" s="53">
        <f t="shared" si="18"/>
        <v>1</v>
      </c>
      <c r="D125" s="962"/>
      <c r="E125" s="53">
        <f t="shared" si="19"/>
        <v>1</v>
      </c>
      <c r="F125" s="962"/>
      <c r="G125" s="53">
        <f t="shared" si="20"/>
        <v>1</v>
      </c>
      <c r="H125" s="962"/>
      <c r="I125" s="53">
        <f t="shared" si="21"/>
        <v>1</v>
      </c>
      <c r="J125" s="962"/>
      <c r="K125" s="53">
        <f t="shared" si="22"/>
        <v>1</v>
      </c>
      <c r="L125" s="962"/>
      <c r="M125" s="53">
        <f t="shared" si="23"/>
        <v>1</v>
      </c>
      <c r="N125" s="962"/>
      <c r="O125" s="53">
        <f t="shared" si="24"/>
        <v>1</v>
      </c>
      <c r="P125" s="962"/>
      <c r="Q125" s="53">
        <f t="shared" si="25"/>
        <v>1</v>
      </c>
      <c r="R125" s="489">
        <f t="shared" si="26"/>
        <v>0</v>
      </c>
      <c r="S125" s="798">
        <f t="shared" si="27"/>
        <v>0</v>
      </c>
    </row>
    <row r="126" spans="1:19">
      <c r="A126" s="964"/>
      <c r="B126" s="137"/>
      <c r="C126" s="53">
        <f t="shared" si="18"/>
        <v>1</v>
      </c>
      <c r="D126" s="962"/>
      <c r="E126" s="53">
        <f t="shared" si="19"/>
        <v>1</v>
      </c>
      <c r="F126" s="962"/>
      <c r="G126" s="53">
        <f t="shared" si="20"/>
        <v>1</v>
      </c>
      <c r="H126" s="962"/>
      <c r="I126" s="53">
        <f t="shared" si="21"/>
        <v>1</v>
      </c>
      <c r="J126" s="962"/>
      <c r="K126" s="53">
        <f t="shared" si="22"/>
        <v>1</v>
      </c>
      <c r="L126" s="962"/>
      <c r="M126" s="53">
        <f t="shared" si="23"/>
        <v>1</v>
      </c>
      <c r="N126" s="962"/>
      <c r="O126" s="53">
        <f t="shared" si="24"/>
        <v>1</v>
      </c>
      <c r="P126" s="962"/>
      <c r="Q126" s="53">
        <f t="shared" si="25"/>
        <v>1</v>
      </c>
      <c r="R126" s="489">
        <f t="shared" si="26"/>
        <v>0</v>
      </c>
      <c r="S126" s="798">
        <f t="shared" si="27"/>
        <v>0</v>
      </c>
    </row>
    <row r="127" spans="1:19">
      <c r="A127" s="964"/>
      <c r="B127" s="137"/>
      <c r="C127" s="53">
        <f t="shared" si="18"/>
        <v>1</v>
      </c>
      <c r="D127" s="962"/>
      <c r="E127" s="53">
        <f t="shared" si="19"/>
        <v>1</v>
      </c>
      <c r="F127" s="962"/>
      <c r="G127" s="53">
        <f t="shared" si="20"/>
        <v>1</v>
      </c>
      <c r="H127" s="962"/>
      <c r="I127" s="53">
        <f t="shared" si="21"/>
        <v>1</v>
      </c>
      <c r="J127" s="962"/>
      <c r="K127" s="53">
        <f t="shared" si="22"/>
        <v>1</v>
      </c>
      <c r="L127" s="962"/>
      <c r="M127" s="53">
        <f t="shared" si="23"/>
        <v>1</v>
      </c>
      <c r="N127" s="962"/>
      <c r="O127" s="53">
        <f t="shared" si="24"/>
        <v>1</v>
      </c>
      <c r="P127" s="962"/>
      <c r="Q127" s="53">
        <f t="shared" si="25"/>
        <v>1</v>
      </c>
      <c r="R127" s="489">
        <f t="shared" si="26"/>
        <v>0</v>
      </c>
      <c r="S127" s="798">
        <f t="shared" si="27"/>
        <v>0</v>
      </c>
    </row>
    <row r="128" spans="1:19">
      <c r="A128" s="964"/>
      <c r="B128" s="137"/>
      <c r="C128" s="53">
        <f t="shared" si="18"/>
        <v>1</v>
      </c>
      <c r="D128" s="962"/>
      <c r="E128" s="53">
        <f t="shared" si="19"/>
        <v>1</v>
      </c>
      <c r="F128" s="962"/>
      <c r="G128" s="53">
        <f t="shared" si="20"/>
        <v>1</v>
      </c>
      <c r="H128" s="962"/>
      <c r="I128" s="53">
        <f t="shared" si="21"/>
        <v>1</v>
      </c>
      <c r="J128" s="962"/>
      <c r="K128" s="53">
        <f t="shared" si="22"/>
        <v>1</v>
      </c>
      <c r="L128" s="962"/>
      <c r="M128" s="53">
        <f t="shared" si="23"/>
        <v>1</v>
      </c>
      <c r="N128" s="962"/>
      <c r="O128" s="53">
        <f t="shared" si="24"/>
        <v>1</v>
      </c>
      <c r="P128" s="962"/>
      <c r="Q128" s="53">
        <f t="shared" si="25"/>
        <v>1</v>
      </c>
      <c r="R128" s="489">
        <f t="shared" si="26"/>
        <v>0</v>
      </c>
      <c r="S128" s="798">
        <f t="shared" si="27"/>
        <v>0</v>
      </c>
    </row>
    <row r="129" spans="1:19">
      <c r="A129" s="964"/>
      <c r="B129" s="137"/>
      <c r="C129" s="53">
        <f t="shared" si="18"/>
        <v>1</v>
      </c>
      <c r="D129" s="962"/>
      <c r="E129" s="53">
        <f t="shared" si="19"/>
        <v>1</v>
      </c>
      <c r="F129" s="962"/>
      <c r="G129" s="53">
        <f t="shared" si="20"/>
        <v>1</v>
      </c>
      <c r="H129" s="962"/>
      <c r="I129" s="53">
        <f t="shared" si="21"/>
        <v>1</v>
      </c>
      <c r="J129" s="962"/>
      <c r="K129" s="53">
        <f t="shared" si="22"/>
        <v>1</v>
      </c>
      <c r="L129" s="962"/>
      <c r="M129" s="53">
        <f t="shared" si="23"/>
        <v>1</v>
      </c>
      <c r="N129" s="962"/>
      <c r="O129" s="53">
        <f t="shared" si="24"/>
        <v>1</v>
      </c>
      <c r="P129" s="962"/>
      <c r="Q129" s="53">
        <f t="shared" si="25"/>
        <v>1</v>
      </c>
      <c r="R129" s="489">
        <f t="shared" si="26"/>
        <v>0</v>
      </c>
      <c r="S129" s="798">
        <f t="shared" si="27"/>
        <v>0</v>
      </c>
    </row>
    <row r="130" spans="1:19">
      <c r="A130" s="964"/>
      <c r="B130" s="137"/>
      <c r="C130" s="53">
        <f t="shared" si="18"/>
        <v>1</v>
      </c>
      <c r="D130" s="962"/>
      <c r="E130" s="53">
        <f t="shared" si="19"/>
        <v>1</v>
      </c>
      <c r="F130" s="962"/>
      <c r="G130" s="53">
        <f t="shared" si="20"/>
        <v>1</v>
      </c>
      <c r="H130" s="962"/>
      <c r="I130" s="53">
        <f t="shared" si="21"/>
        <v>1</v>
      </c>
      <c r="J130" s="962"/>
      <c r="K130" s="53">
        <f t="shared" si="22"/>
        <v>1</v>
      </c>
      <c r="L130" s="962"/>
      <c r="M130" s="53">
        <f t="shared" si="23"/>
        <v>1</v>
      </c>
      <c r="N130" s="962"/>
      <c r="O130" s="53">
        <f t="shared" si="24"/>
        <v>1</v>
      </c>
      <c r="P130" s="962"/>
      <c r="Q130" s="53">
        <f t="shared" si="25"/>
        <v>1</v>
      </c>
      <c r="R130" s="489">
        <f t="shared" si="26"/>
        <v>0</v>
      </c>
      <c r="S130" s="798">
        <f t="shared" si="27"/>
        <v>0</v>
      </c>
    </row>
    <row r="131" spans="1:19">
      <c r="A131" s="964"/>
      <c r="B131" s="137"/>
      <c r="C131" s="53">
        <f t="shared" si="18"/>
        <v>1</v>
      </c>
      <c r="D131" s="962"/>
      <c r="E131" s="53">
        <f t="shared" si="19"/>
        <v>1</v>
      </c>
      <c r="F131" s="962"/>
      <c r="G131" s="53">
        <f t="shared" si="20"/>
        <v>1</v>
      </c>
      <c r="H131" s="962"/>
      <c r="I131" s="53">
        <f t="shared" si="21"/>
        <v>1</v>
      </c>
      <c r="J131" s="962"/>
      <c r="K131" s="53">
        <f t="shared" si="22"/>
        <v>1</v>
      </c>
      <c r="L131" s="962"/>
      <c r="M131" s="53">
        <f t="shared" si="23"/>
        <v>1</v>
      </c>
      <c r="N131" s="962"/>
      <c r="O131" s="53">
        <f t="shared" si="24"/>
        <v>1</v>
      </c>
      <c r="P131" s="962"/>
      <c r="Q131" s="53">
        <f t="shared" si="25"/>
        <v>1</v>
      </c>
      <c r="R131" s="489">
        <f t="shared" si="26"/>
        <v>0</v>
      </c>
      <c r="S131" s="798">
        <f t="shared" si="27"/>
        <v>0</v>
      </c>
    </row>
    <row r="132" spans="1:19">
      <c r="A132" s="964"/>
      <c r="B132" s="137"/>
      <c r="C132" s="53">
        <f t="shared" si="18"/>
        <v>1</v>
      </c>
      <c r="D132" s="962"/>
      <c r="E132" s="53">
        <f t="shared" si="19"/>
        <v>1</v>
      </c>
      <c r="F132" s="962"/>
      <c r="G132" s="53">
        <f t="shared" si="20"/>
        <v>1</v>
      </c>
      <c r="H132" s="962"/>
      <c r="I132" s="53">
        <f t="shared" si="21"/>
        <v>1</v>
      </c>
      <c r="J132" s="962"/>
      <c r="K132" s="53">
        <f t="shared" si="22"/>
        <v>1</v>
      </c>
      <c r="L132" s="962"/>
      <c r="M132" s="53">
        <f t="shared" si="23"/>
        <v>1</v>
      </c>
      <c r="N132" s="962"/>
      <c r="O132" s="53">
        <f t="shared" si="24"/>
        <v>1</v>
      </c>
      <c r="P132" s="962"/>
      <c r="Q132" s="53">
        <f t="shared" si="25"/>
        <v>1</v>
      </c>
      <c r="R132" s="489">
        <f t="shared" si="26"/>
        <v>0</v>
      </c>
      <c r="S132" s="798">
        <f t="shared" si="27"/>
        <v>0</v>
      </c>
    </row>
    <row r="133" spans="1:19">
      <c r="A133" s="964"/>
      <c r="B133" s="137"/>
      <c r="C133" s="53">
        <f t="shared" si="18"/>
        <v>1</v>
      </c>
      <c r="D133" s="962"/>
      <c r="E133" s="53">
        <f t="shared" si="19"/>
        <v>1</v>
      </c>
      <c r="F133" s="962"/>
      <c r="G133" s="53">
        <f t="shared" si="20"/>
        <v>1</v>
      </c>
      <c r="H133" s="962"/>
      <c r="I133" s="53">
        <f t="shared" si="21"/>
        <v>1</v>
      </c>
      <c r="J133" s="962"/>
      <c r="K133" s="53">
        <f t="shared" si="22"/>
        <v>1</v>
      </c>
      <c r="L133" s="962"/>
      <c r="M133" s="53">
        <f t="shared" si="23"/>
        <v>1</v>
      </c>
      <c r="N133" s="962"/>
      <c r="O133" s="53">
        <f t="shared" si="24"/>
        <v>1</v>
      </c>
      <c r="P133" s="962"/>
      <c r="Q133" s="53">
        <f t="shared" si="25"/>
        <v>1</v>
      </c>
      <c r="R133" s="489">
        <f t="shared" si="26"/>
        <v>0</v>
      </c>
      <c r="S133" s="798">
        <f t="shared" si="27"/>
        <v>0</v>
      </c>
    </row>
    <row r="134" spans="1:19">
      <c r="A134" s="964"/>
      <c r="B134" s="137"/>
      <c r="C134" s="53">
        <f t="shared" si="18"/>
        <v>1</v>
      </c>
      <c r="D134" s="962"/>
      <c r="E134" s="53">
        <f t="shared" si="19"/>
        <v>1</v>
      </c>
      <c r="F134" s="962"/>
      <c r="G134" s="53">
        <f t="shared" si="20"/>
        <v>1</v>
      </c>
      <c r="H134" s="962"/>
      <c r="I134" s="53">
        <f t="shared" si="21"/>
        <v>1</v>
      </c>
      <c r="J134" s="962"/>
      <c r="K134" s="53">
        <f t="shared" si="22"/>
        <v>1</v>
      </c>
      <c r="L134" s="962"/>
      <c r="M134" s="53">
        <f t="shared" si="23"/>
        <v>1</v>
      </c>
      <c r="N134" s="962"/>
      <c r="O134" s="53">
        <f t="shared" si="24"/>
        <v>1</v>
      </c>
      <c r="P134" s="962"/>
      <c r="Q134" s="53">
        <f t="shared" si="25"/>
        <v>1</v>
      </c>
      <c r="R134" s="489">
        <f t="shared" si="26"/>
        <v>0</v>
      </c>
      <c r="S134" s="798">
        <f t="shared" si="27"/>
        <v>0</v>
      </c>
    </row>
    <row r="135" spans="1:19">
      <c r="A135" s="964"/>
      <c r="B135" s="137"/>
      <c r="C135" s="53">
        <f t="shared" si="18"/>
        <v>1</v>
      </c>
      <c r="D135" s="962"/>
      <c r="E135" s="53">
        <f t="shared" si="19"/>
        <v>1</v>
      </c>
      <c r="F135" s="962"/>
      <c r="G135" s="53">
        <f t="shared" si="20"/>
        <v>1</v>
      </c>
      <c r="H135" s="962"/>
      <c r="I135" s="53">
        <f t="shared" si="21"/>
        <v>1</v>
      </c>
      <c r="J135" s="962"/>
      <c r="K135" s="53">
        <f t="shared" si="22"/>
        <v>1</v>
      </c>
      <c r="L135" s="962"/>
      <c r="M135" s="53">
        <f t="shared" si="23"/>
        <v>1</v>
      </c>
      <c r="N135" s="962"/>
      <c r="O135" s="53">
        <f t="shared" si="24"/>
        <v>1</v>
      </c>
      <c r="P135" s="962"/>
      <c r="Q135" s="53">
        <f t="shared" si="25"/>
        <v>1</v>
      </c>
      <c r="R135" s="489">
        <f t="shared" si="26"/>
        <v>0</v>
      </c>
      <c r="S135" s="798">
        <f t="shared" si="27"/>
        <v>0</v>
      </c>
    </row>
    <row r="136" spans="1:19">
      <c r="A136" s="964"/>
      <c r="B136" s="137"/>
      <c r="C136" s="53">
        <f t="shared" si="18"/>
        <v>1</v>
      </c>
      <c r="D136" s="962"/>
      <c r="E136" s="53">
        <f t="shared" si="19"/>
        <v>1</v>
      </c>
      <c r="F136" s="962"/>
      <c r="G136" s="53">
        <f t="shared" si="20"/>
        <v>1</v>
      </c>
      <c r="H136" s="962"/>
      <c r="I136" s="53">
        <f t="shared" si="21"/>
        <v>1</v>
      </c>
      <c r="J136" s="962"/>
      <c r="K136" s="53">
        <f t="shared" si="22"/>
        <v>1</v>
      </c>
      <c r="L136" s="962"/>
      <c r="M136" s="53">
        <f t="shared" si="23"/>
        <v>1</v>
      </c>
      <c r="N136" s="962"/>
      <c r="O136" s="53">
        <f t="shared" si="24"/>
        <v>1</v>
      </c>
      <c r="P136" s="962"/>
      <c r="Q136" s="53">
        <f t="shared" si="25"/>
        <v>1</v>
      </c>
      <c r="R136" s="489">
        <f t="shared" si="26"/>
        <v>0</v>
      </c>
      <c r="S136" s="798">
        <f t="shared" si="27"/>
        <v>0</v>
      </c>
    </row>
    <row r="137" spans="1:19">
      <c r="A137" s="964"/>
      <c r="B137" s="137"/>
      <c r="C137" s="53">
        <f t="shared" si="18"/>
        <v>1</v>
      </c>
      <c r="D137" s="962"/>
      <c r="E137" s="53">
        <f t="shared" si="19"/>
        <v>1</v>
      </c>
      <c r="F137" s="962"/>
      <c r="G137" s="53">
        <f t="shared" si="20"/>
        <v>1</v>
      </c>
      <c r="H137" s="962"/>
      <c r="I137" s="53">
        <f t="shared" si="21"/>
        <v>1</v>
      </c>
      <c r="J137" s="962"/>
      <c r="K137" s="53">
        <f t="shared" si="22"/>
        <v>1</v>
      </c>
      <c r="L137" s="962"/>
      <c r="M137" s="53">
        <f t="shared" si="23"/>
        <v>1</v>
      </c>
      <c r="N137" s="962"/>
      <c r="O137" s="53">
        <f t="shared" si="24"/>
        <v>1</v>
      </c>
      <c r="P137" s="962"/>
      <c r="Q137" s="53">
        <f t="shared" si="25"/>
        <v>1</v>
      </c>
      <c r="R137" s="489">
        <f t="shared" si="26"/>
        <v>0</v>
      </c>
      <c r="S137" s="798">
        <f t="shared" si="27"/>
        <v>0</v>
      </c>
    </row>
    <row r="138" spans="1:19">
      <c r="A138" s="964"/>
      <c r="B138" s="137"/>
      <c r="C138" s="53">
        <f t="shared" si="18"/>
        <v>1</v>
      </c>
      <c r="D138" s="962"/>
      <c r="E138" s="53">
        <f t="shared" si="19"/>
        <v>1</v>
      </c>
      <c r="F138" s="962"/>
      <c r="G138" s="53">
        <f t="shared" si="20"/>
        <v>1</v>
      </c>
      <c r="H138" s="962"/>
      <c r="I138" s="53">
        <f t="shared" si="21"/>
        <v>1</v>
      </c>
      <c r="J138" s="962"/>
      <c r="K138" s="53">
        <f t="shared" si="22"/>
        <v>1</v>
      </c>
      <c r="L138" s="962"/>
      <c r="M138" s="53">
        <f t="shared" si="23"/>
        <v>1</v>
      </c>
      <c r="N138" s="962"/>
      <c r="O138" s="53">
        <f t="shared" si="24"/>
        <v>1</v>
      </c>
      <c r="P138" s="962"/>
      <c r="Q138" s="53">
        <f t="shared" si="25"/>
        <v>1</v>
      </c>
      <c r="R138" s="489">
        <f t="shared" si="26"/>
        <v>0</v>
      </c>
      <c r="S138" s="798">
        <f t="shared" si="27"/>
        <v>0</v>
      </c>
    </row>
    <row r="139" spans="1:19">
      <c r="A139" s="964"/>
      <c r="B139" s="137"/>
      <c r="C139" s="53">
        <f t="shared" si="18"/>
        <v>1</v>
      </c>
      <c r="D139" s="962"/>
      <c r="E139" s="53">
        <f t="shared" si="19"/>
        <v>1</v>
      </c>
      <c r="F139" s="962"/>
      <c r="G139" s="53">
        <f t="shared" si="20"/>
        <v>1</v>
      </c>
      <c r="H139" s="962"/>
      <c r="I139" s="53">
        <f t="shared" si="21"/>
        <v>1</v>
      </c>
      <c r="J139" s="962"/>
      <c r="K139" s="53">
        <f t="shared" si="22"/>
        <v>1</v>
      </c>
      <c r="L139" s="962"/>
      <c r="M139" s="53">
        <f t="shared" si="23"/>
        <v>1</v>
      </c>
      <c r="N139" s="962"/>
      <c r="O139" s="53">
        <f t="shared" si="24"/>
        <v>1</v>
      </c>
      <c r="P139" s="962"/>
      <c r="Q139" s="53">
        <f t="shared" si="25"/>
        <v>1</v>
      </c>
      <c r="R139" s="489">
        <f t="shared" si="26"/>
        <v>0</v>
      </c>
      <c r="S139" s="798">
        <f t="shared" si="27"/>
        <v>0</v>
      </c>
    </row>
    <row r="140" spans="1:19">
      <c r="A140" s="964"/>
      <c r="B140" s="137"/>
      <c r="C140" s="53">
        <f t="shared" si="18"/>
        <v>1</v>
      </c>
      <c r="D140" s="962"/>
      <c r="E140" s="53">
        <f t="shared" si="19"/>
        <v>1</v>
      </c>
      <c r="F140" s="962"/>
      <c r="G140" s="53">
        <f t="shared" si="20"/>
        <v>1</v>
      </c>
      <c r="H140" s="962"/>
      <c r="I140" s="53">
        <f t="shared" si="21"/>
        <v>1</v>
      </c>
      <c r="J140" s="962"/>
      <c r="K140" s="53">
        <f t="shared" si="22"/>
        <v>1</v>
      </c>
      <c r="L140" s="962"/>
      <c r="M140" s="53">
        <f t="shared" si="23"/>
        <v>1</v>
      </c>
      <c r="N140" s="962"/>
      <c r="O140" s="53">
        <f t="shared" si="24"/>
        <v>1</v>
      </c>
      <c r="P140" s="962"/>
      <c r="Q140" s="53">
        <f t="shared" si="25"/>
        <v>1</v>
      </c>
      <c r="R140" s="489">
        <f t="shared" si="26"/>
        <v>0</v>
      </c>
      <c r="S140" s="798">
        <f t="shared" si="27"/>
        <v>0</v>
      </c>
    </row>
    <row r="141" spans="1:19">
      <c r="A141" s="964"/>
      <c r="B141" s="137"/>
      <c r="C141" s="53">
        <f t="shared" si="18"/>
        <v>1</v>
      </c>
      <c r="D141" s="962"/>
      <c r="E141" s="53">
        <f t="shared" si="19"/>
        <v>1</v>
      </c>
      <c r="F141" s="962"/>
      <c r="G141" s="53">
        <f t="shared" si="20"/>
        <v>1</v>
      </c>
      <c r="H141" s="962"/>
      <c r="I141" s="53">
        <f t="shared" si="21"/>
        <v>1</v>
      </c>
      <c r="J141" s="962"/>
      <c r="K141" s="53">
        <f t="shared" si="22"/>
        <v>1</v>
      </c>
      <c r="L141" s="962"/>
      <c r="M141" s="53">
        <f t="shared" si="23"/>
        <v>1</v>
      </c>
      <c r="N141" s="962"/>
      <c r="O141" s="53">
        <f t="shared" si="24"/>
        <v>1</v>
      </c>
      <c r="P141" s="962"/>
      <c r="Q141" s="53">
        <f t="shared" si="25"/>
        <v>1</v>
      </c>
      <c r="R141" s="489">
        <f t="shared" si="26"/>
        <v>0</v>
      </c>
      <c r="S141" s="798">
        <f t="shared" si="27"/>
        <v>0</v>
      </c>
    </row>
    <row r="142" spans="1:19">
      <c r="A142" s="964"/>
      <c r="B142" s="137"/>
      <c r="C142" s="53">
        <f t="shared" si="18"/>
        <v>1</v>
      </c>
      <c r="D142" s="962"/>
      <c r="E142" s="53">
        <f t="shared" si="19"/>
        <v>1</v>
      </c>
      <c r="F142" s="962"/>
      <c r="G142" s="53">
        <f t="shared" si="20"/>
        <v>1</v>
      </c>
      <c r="H142" s="962"/>
      <c r="I142" s="53">
        <f t="shared" si="21"/>
        <v>1</v>
      </c>
      <c r="J142" s="962"/>
      <c r="K142" s="53">
        <f t="shared" si="22"/>
        <v>1</v>
      </c>
      <c r="L142" s="962"/>
      <c r="M142" s="53">
        <f t="shared" si="23"/>
        <v>1</v>
      </c>
      <c r="N142" s="962"/>
      <c r="O142" s="53">
        <f t="shared" si="24"/>
        <v>1</v>
      </c>
      <c r="P142" s="962"/>
      <c r="Q142" s="53">
        <f t="shared" si="25"/>
        <v>1</v>
      </c>
      <c r="R142" s="489">
        <f t="shared" si="26"/>
        <v>0</v>
      </c>
      <c r="S142" s="798">
        <f t="shared" si="27"/>
        <v>0</v>
      </c>
    </row>
    <row r="143" spans="1:19">
      <c r="A143" s="964"/>
      <c r="B143" s="137"/>
      <c r="C143" s="53">
        <f t="shared" si="18"/>
        <v>1</v>
      </c>
      <c r="D143" s="962"/>
      <c r="E143" s="53">
        <f t="shared" si="19"/>
        <v>1</v>
      </c>
      <c r="F143" s="962"/>
      <c r="G143" s="53">
        <f t="shared" si="20"/>
        <v>1</v>
      </c>
      <c r="H143" s="962"/>
      <c r="I143" s="53">
        <f t="shared" si="21"/>
        <v>1</v>
      </c>
      <c r="J143" s="962"/>
      <c r="K143" s="53">
        <f t="shared" si="22"/>
        <v>1</v>
      </c>
      <c r="L143" s="962"/>
      <c r="M143" s="53">
        <f t="shared" si="23"/>
        <v>1</v>
      </c>
      <c r="N143" s="962"/>
      <c r="O143" s="53">
        <f t="shared" si="24"/>
        <v>1</v>
      </c>
      <c r="P143" s="962"/>
      <c r="Q143" s="53">
        <f t="shared" si="25"/>
        <v>1</v>
      </c>
      <c r="R143" s="489">
        <f t="shared" si="26"/>
        <v>0</v>
      </c>
      <c r="S143" s="798">
        <f t="shared" si="27"/>
        <v>0</v>
      </c>
    </row>
    <row r="144" spans="1:19">
      <c r="A144" s="964"/>
      <c r="B144" s="137"/>
      <c r="C144" s="53">
        <f t="shared" si="18"/>
        <v>1</v>
      </c>
      <c r="D144" s="962"/>
      <c r="E144" s="53">
        <f t="shared" si="19"/>
        <v>1</v>
      </c>
      <c r="F144" s="962"/>
      <c r="G144" s="53">
        <f t="shared" si="20"/>
        <v>1</v>
      </c>
      <c r="H144" s="962"/>
      <c r="I144" s="53">
        <f t="shared" si="21"/>
        <v>1</v>
      </c>
      <c r="J144" s="962"/>
      <c r="K144" s="53">
        <f t="shared" si="22"/>
        <v>1</v>
      </c>
      <c r="L144" s="962"/>
      <c r="M144" s="53">
        <f t="shared" si="23"/>
        <v>1</v>
      </c>
      <c r="N144" s="962"/>
      <c r="O144" s="53">
        <f t="shared" si="24"/>
        <v>1</v>
      </c>
      <c r="P144" s="962"/>
      <c r="Q144" s="53">
        <f t="shared" si="25"/>
        <v>1</v>
      </c>
      <c r="R144" s="489">
        <f t="shared" si="26"/>
        <v>0</v>
      </c>
      <c r="S144" s="798">
        <f t="shared" si="27"/>
        <v>0</v>
      </c>
    </row>
    <row r="145" spans="1:19">
      <c r="A145" s="964"/>
      <c r="B145" s="137"/>
      <c r="C145" s="53">
        <f t="shared" si="18"/>
        <v>1</v>
      </c>
      <c r="D145" s="962"/>
      <c r="E145" s="53">
        <f t="shared" si="19"/>
        <v>1</v>
      </c>
      <c r="F145" s="962"/>
      <c r="G145" s="53">
        <f t="shared" si="20"/>
        <v>1</v>
      </c>
      <c r="H145" s="962"/>
      <c r="I145" s="53">
        <f t="shared" si="21"/>
        <v>1</v>
      </c>
      <c r="J145" s="962"/>
      <c r="K145" s="53">
        <f t="shared" si="22"/>
        <v>1</v>
      </c>
      <c r="L145" s="962"/>
      <c r="M145" s="53">
        <f t="shared" si="23"/>
        <v>1</v>
      </c>
      <c r="N145" s="962"/>
      <c r="O145" s="53">
        <f t="shared" si="24"/>
        <v>1</v>
      </c>
      <c r="P145" s="962"/>
      <c r="Q145" s="53">
        <f t="shared" si="25"/>
        <v>1</v>
      </c>
      <c r="R145" s="489">
        <f t="shared" si="26"/>
        <v>0</v>
      </c>
      <c r="S145" s="798">
        <f t="shared" si="27"/>
        <v>0</v>
      </c>
    </row>
    <row r="146" spans="1:19">
      <c r="A146" s="964"/>
      <c r="B146" s="137"/>
      <c r="C146" s="53">
        <f t="shared" si="18"/>
        <v>1</v>
      </c>
      <c r="D146" s="962"/>
      <c r="E146" s="53">
        <f t="shared" si="19"/>
        <v>1</v>
      </c>
      <c r="F146" s="962"/>
      <c r="G146" s="53">
        <f t="shared" si="20"/>
        <v>1</v>
      </c>
      <c r="H146" s="962"/>
      <c r="I146" s="53">
        <f t="shared" si="21"/>
        <v>1</v>
      </c>
      <c r="J146" s="962"/>
      <c r="K146" s="53">
        <f t="shared" si="22"/>
        <v>1</v>
      </c>
      <c r="L146" s="962"/>
      <c r="M146" s="53">
        <f t="shared" si="23"/>
        <v>1</v>
      </c>
      <c r="N146" s="962"/>
      <c r="O146" s="53">
        <f t="shared" si="24"/>
        <v>1</v>
      </c>
      <c r="P146" s="962"/>
      <c r="Q146" s="53">
        <f t="shared" si="25"/>
        <v>1</v>
      </c>
      <c r="R146" s="489">
        <f t="shared" si="26"/>
        <v>0</v>
      </c>
      <c r="S146" s="798">
        <f t="shared" si="27"/>
        <v>0</v>
      </c>
    </row>
    <row r="147" spans="1:19">
      <c r="A147" s="964"/>
      <c r="B147" s="137"/>
      <c r="C147" s="53">
        <f t="shared" si="18"/>
        <v>1</v>
      </c>
      <c r="D147" s="962"/>
      <c r="E147" s="53">
        <f t="shared" si="19"/>
        <v>1</v>
      </c>
      <c r="F147" s="962"/>
      <c r="G147" s="53">
        <f t="shared" si="20"/>
        <v>1</v>
      </c>
      <c r="H147" s="962"/>
      <c r="I147" s="53">
        <f t="shared" si="21"/>
        <v>1</v>
      </c>
      <c r="J147" s="962"/>
      <c r="K147" s="53">
        <f t="shared" si="22"/>
        <v>1</v>
      </c>
      <c r="L147" s="962"/>
      <c r="M147" s="53">
        <f t="shared" si="23"/>
        <v>1</v>
      </c>
      <c r="N147" s="962"/>
      <c r="O147" s="53">
        <f t="shared" si="24"/>
        <v>1</v>
      </c>
      <c r="P147" s="962"/>
      <c r="Q147" s="53">
        <f t="shared" si="25"/>
        <v>1</v>
      </c>
      <c r="R147" s="489">
        <f t="shared" si="26"/>
        <v>0</v>
      </c>
      <c r="S147" s="798">
        <f t="shared" si="27"/>
        <v>0</v>
      </c>
    </row>
    <row r="148" spans="1:19">
      <c r="A148" s="964"/>
      <c r="B148" s="137"/>
      <c r="C148" s="53">
        <f t="shared" si="18"/>
        <v>1</v>
      </c>
      <c r="D148" s="962"/>
      <c r="E148" s="53">
        <f t="shared" si="19"/>
        <v>1</v>
      </c>
      <c r="F148" s="962"/>
      <c r="G148" s="53">
        <f t="shared" si="20"/>
        <v>1</v>
      </c>
      <c r="H148" s="962"/>
      <c r="I148" s="53">
        <f t="shared" si="21"/>
        <v>1</v>
      </c>
      <c r="J148" s="962"/>
      <c r="K148" s="53">
        <f t="shared" si="22"/>
        <v>1</v>
      </c>
      <c r="L148" s="962"/>
      <c r="M148" s="53">
        <f t="shared" si="23"/>
        <v>1</v>
      </c>
      <c r="N148" s="962"/>
      <c r="O148" s="53">
        <f t="shared" si="24"/>
        <v>1</v>
      </c>
      <c r="P148" s="962"/>
      <c r="Q148" s="53">
        <f t="shared" si="25"/>
        <v>1</v>
      </c>
      <c r="R148" s="489">
        <f t="shared" si="26"/>
        <v>0</v>
      </c>
      <c r="S148" s="798">
        <f t="shared" si="27"/>
        <v>0</v>
      </c>
    </row>
    <row r="149" spans="1:19">
      <c r="A149" s="964"/>
      <c r="B149" s="137"/>
      <c r="C149" s="53">
        <f t="shared" si="18"/>
        <v>1</v>
      </c>
      <c r="D149" s="962"/>
      <c r="E149" s="53">
        <f t="shared" si="19"/>
        <v>1</v>
      </c>
      <c r="F149" s="962"/>
      <c r="G149" s="53">
        <f t="shared" si="20"/>
        <v>1</v>
      </c>
      <c r="H149" s="962"/>
      <c r="I149" s="53">
        <f t="shared" si="21"/>
        <v>1</v>
      </c>
      <c r="J149" s="962"/>
      <c r="K149" s="53">
        <f t="shared" si="22"/>
        <v>1</v>
      </c>
      <c r="L149" s="962"/>
      <c r="M149" s="53">
        <f t="shared" si="23"/>
        <v>1</v>
      </c>
      <c r="N149" s="962"/>
      <c r="O149" s="53">
        <f t="shared" si="24"/>
        <v>1</v>
      </c>
      <c r="P149" s="962"/>
      <c r="Q149" s="53">
        <f t="shared" si="25"/>
        <v>1</v>
      </c>
      <c r="R149" s="489">
        <f t="shared" si="26"/>
        <v>0</v>
      </c>
      <c r="S149" s="798">
        <f t="shared" si="27"/>
        <v>0</v>
      </c>
    </row>
    <row r="150" spans="1:19">
      <c r="A150" s="964"/>
      <c r="B150" s="137"/>
      <c r="C150" s="53">
        <f t="shared" si="18"/>
        <v>1</v>
      </c>
      <c r="D150" s="962"/>
      <c r="E150" s="53">
        <f t="shared" si="19"/>
        <v>1</v>
      </c>
      <c r="F150" s="962"/>
      <c r="G150" s="53">
        <f t="shared" si="20"/>
        <v>1</v>
      </c>
      <c r="H150" s="962"/>
      <c r="I150" s="53">
        <f t="shared" si="21"/>
        <v>1</v>
      </c>
      <c r="J150" s="962"/>
      <c r="K150" s="53">
        <f t="shared" si="22"/>
        <v>1</v>
      </c>
      <c r="L150" s="962"/>
      <c r="M150" s="53">
        <f t="shared" si="23"/>
        <v>1</v>
      </c>
      <c r="N150" s="962"/>
      <c r="O150" s="53">
        <f t="shared" si="24"/>
        <v>1</v>
      </c>
      <c r="P150" s="962"/>
      <c r="Q150" s="53">
        <f t="shared" si="25"/>
        <v>1</v>
      </c>
      <c r="R150" s="489">
        <f t="shared" si="26"/>
        <v>0</v>
      </c>
      <c r="S150" s="798">
        <f t="shared" si="27"/>
        <v>0</v>
      </c>
    </row>
    <row r="151" spans="1:19">
      <c r="A151" s="964"/>
      <c r="B151" s="137"/>
      <c r="C151" s="53">
        <f t="shared" si="18"/>
        <v>1</v>
      </c>
      <c r="D151" s="962"/>
      <c r="E151" s="53">
        <f t="shared" si="19"/>
        <v>1</v>
      </c>
      <c r="F151" s="962"/>
      <c r="G151" s="53">
        <f t="shared" si="20"/>
        <v>1</v>
      </c>
      <c r="H151" s="962"/>
      <c r="I151" s="53">
        <f t="shared" si="21"/>
        <v>1</v>
      </c>
      <c r="J151" s="962"/>
      <c r="K151" s="53">
        <f t="shared" si="22"/>
        <v>1</v>
      </c>
      <c r="L151" s="962"/>
      <c r="M151" s="53">
        <f t="shared" si="23"/>
        <v>1</v>
      </c>
      <c r="N151" s="962"/>
      <c r="O151" s="53">
        <f t="shared" si="24"/>
        <v>1</v>
      </c>
      <c r="P151" s="962"/>
      <c r="Q151" s="53">
        <f t="shared" si="25"/>
        <v>1</v>
      </c>
      <c r="R151" s="489">
        <f t="shared" si="26"/>
        <v>0</v>
      </c>
      <c r="S151" s="798">
        <f t="shared" si="27"/>
        <v>0</v>
      </c>
    </row>
    <row r="152" spans="1:19">
      <c r="A152" s="964"/>
      <c r="B152" s="137"/>
      <c r="C152" s="53">
        <f t="shared" si="18"/>
        <v>1</v>
      </c>
      <c r="D152" s="962"/>
      <c r="E152" s="53">
        <f t="shared" si="19"/>
        <v>1</v>
      </c>
      <c r="F152" s="962"/>
      <c r="G152" s="53">
        <f t="shared" si="20"/>
        <v>1</v>
      </c>
      <c r="H152" s="962"/>
      <c r="I152" s="53">
        <f t="shared" si="21"/>
        <v>1</v>
      </c>
      <c r="J152" s="962"/>
      <c r="K152" s="53">
        <f t="shared" si="22"/>
        <v>1</v>
      </c>
      <c r="L152" s="962"/>
      <c r="M152" s="53">
        <f t="shared" si="23"/>
        <v>1</v>
      </c>
      <c r="N152" s="962"/>
      <c r="O152" s="53">
        <f t="shared" si="24"/>
        <v>1</v>
      </c>
      <c r="P152" s="962"/>
      <c r="Q152" s="53">
        <f t="shared" si="25"/>
        <v>1</v>
      </c>
      <c r="R152" s="489">
        <f t="shared" si="26"/>
        <v>0</v>
      </c>
      <c r="S152" s="798">
        <f t="shared" si="27"/>
        <v>0</v>
      </c>
    </row>
    <row r="153" spans="1:19">
      <c r="A153" s="964"/>
      <c r="B153" s="137"/>
      <c r="C153" s="53">
        <f t="shared" si="18"/>
        <v>1</v>
      </c>
      <c r="D153" s="962"/>
      <c r="E153" s="53">
        <f t="shared" si="19"/>
        <v>1</v>
      </c>
      <c r="F153" s="962"/>
      <c r="G153" s="53">
        <f t="shared" si="20"/>
        <v>1</v>
      </c>
      <c r="H153" s="962"/>
      <c r="I153" s="53">
        <f t="shared" si="21"/>
        <v>1</v>
      </c>
      <c r="J153" s="962"/>
      <c r="K153" s="53">
        <f t="shared" si="22"/>
        <v>1</v>
      </c>
      <c r="L153" s="962"/>
      <c r="M153" s="53">
        <f t="shared" si="23"/>
        <v>1</v>
      </c>
      <c r="N153" s="962"/>
      <c r="O153" s="53">
        <f t="shared" si="24"/>
        <v>1</v>
      </c>
      <c r="P153" s="962"/>
      <c r="Q153" s="53">
        <f t="shared" si="25"/>
        <v>1</v>
      </c>
      <c r="R153" s="489">
        <f t="shared" si="26"/>
        <v>0</v>
      </c>
      <c r="S153" s="798">
        <f t="shared" si="27"/>
        <v>0</v>
      </c>
    </row>
    <row r="154" spans="1:19">
      <c r="A154" s="964"/>
      <c r="B154" s="137"/>
      <c r="C154" s="53">
        <f t="shared" ref="C154:C217" si="28">IF(B154="",1,(LOOKUP(B154,$3:$3,$4:$4)-LOOKUP($B$24,$3:$3,$4:$4)+100)/100)</f>
        <v>1</v>
      </c>
      <c r="D154" s="962"/>
      <c r="E154" s="53">
        <f t="shared" ref="E154:E217" si="29">(SUMIF($5:$5,D154,$6:$6)-SUMIF($5:$5,$D$24,$6:$6)+100)/100</f>
        <v>1</v>
      </c>
      <c r="F154" s="962"/>
      <c r="G154" s="53">
        <f t="shared" ref="G154:G217" si="30">(SUMIF($7:$7,F154,$8:$8)-SUMIF($7:$7,$F$24,$8:$8)+100)/100</f>
        <v>1</v>
      </c>
      <c r="H154" s="962"/>
      <c r="I154" s="53">
        <f t="shared" ref="I154:I217" si="31">(SUMIF($9:$9,H154,$10:$10)-SUMIF($9:$9,$H$24,$10:$10)+100)/100</f>
        <v>1</v>
      </c>
      <c r="J154" s="962"/>
      <c r="K154" s="53">
        <f t="shared" ref="K154:K217" si="32">(SUMIF($11:$11,J154,$12:$12)-SUMIF($11:$11,$J$24,$12:$12)+100)/100</f>
        <v>1</v>
      </c>
      <c r="L154" s="962"/>
      <c r="M154" s="53">
        <f t="shared" ref="M154:M217" si="33">(SUMIF($13:$13,L154,$14:$14)-SUMIF($13:$13,$L$24,$14:$14)+100)/100</f>
        <v>1</v>
      </c>
      <c r="N154" s="962"/>
      <c r="O154" s="53">
        <f t="shared" ref="O154:O217" si="34">(SUMIF($15:$15,N154,$16:$16)-SUMIF($15:$15,$N$24,$16:$16)+100)/100</f>
        <v>1</v>
      </c>
      <c r="P154" s="962"/>
      <c r="Q154" s="53">
        <f t="shared" ref="Q154:Q217" si="35">(SUMIF($17:$17,P154,$18:$18)-SUMIF($17:$17,$P$24,$18:$18)+100)/100</f>
        <v>1</v>
      </c>
      <c r="R154" s="489">
        <f t="shared" ref="R154:R217" si="36">IF(B154="",0,ROUND($R$24*C154*E154*G154*I154*K154*M154*O154*Q154,0))</f>
        <v>0</v>
      </c>
      <c r="S154" s="798">
        <f t="shared" si="27"/>
        <v>0</v>
      </c>
    </row>
    <row r="155" spans="1:19">
      <c r="A155" s="964"/>
      <c r="B155" s="137"/>
      <c r="C155" s="53">
        <f t="shared" si="28"/>
        <v>1</v>
      </c>
      <c r="D155" s="962"/>
      <c r="E155" s="53">
        <f t="shared" si="29"/>
        <v>1</v>
      </c>
      <c r="F155" s="962"/>
      <c r="G155" s="53">
        <f t="shared" si="30"/>
        <v>1</v>
      </c>
      <c r="H155" s="962"/>
      <c r="I155" s="53">
        <f t="shared" si="31"/>
        <v>1</v>
      </c>
      <c r="J155" s="962"/>
      <c r="K155" s="53">
        <f t="shared" si="32"/>
        <v>1</v>
      </c>
      <c r="L155" s="962"/>
      <c r="M155" s="53">
        <f t="shared" si="33"/>
        <v>1</v>
      </c>
      <c r="N155" s="962"/>
      <c r="O155" s="53">
        <f t="shared" si="34"/>
        <v>1</v>
      </c>
      <c r="P155" s="962"/>
      <c r="Q155" s="53">
        <f t="shared" si="35"/>
        <v>1</v>
      </c>
      <c r="R155" s="489">
        <f t="shared" si="36"/>
        <v>0</v>
      </c>
      <c r="S155" s="798">
        <f t="shared" si="27"/>
        <v>0</v>
      </c>
    </row>
    <row r="156" spans="1:19">
      <c r="A156" s="964"/>
      <c r="B156" s="137"/>
      <c r="C156" s="53">
        <f t="shared" si="28"/>
        <v>1</v>
      </c>
      <c r="D156" s="962"/>
      <c r="E156" s="53">
        <f t="shared" si="29"/>
        <v>1</v>
      </c>
      <c r="F156" s="962"/>
      <c r="G156" s="53">
        <f t="shared" si="30"/>
        <v>1</v>
      </c>
      <c r="H156" s="962"/>
      <c r="I156" s="53">
        <f t="shared" si="31"/>
        <v>1</v>
      </c>
      <c r="J156" s="962"/>
      <c r="K156" s="53">
        <f t="shared" si="32"/>
        <v>1</v>
      </c>
      <c r="L156" s="962"/>
      <c r="M156" s="53">
        <f t="shared" si="33"/>
        <v>1</v>
      </c>
      <c r="N156" s="962"/>
      <c r="O156" s="53">
        <f t="shared" si="34"/>
        <v>1</v>
      </c>
      <c r="P156" s="962"/>
      <c r="Q156" s="53">
        <f t="shared" si="35"/>
        <v>1</v>
      </c>
      <c r="R156" s="489">
        <f t="shared" si="36"/>
        <v>0</v>
      </c>
      <c r="S156" s="798">
        <f t="shared" si="27"/>
        <v>0</v>
      </c>
    </row>
    <row r="157" spans="1:19">
      <c r="A157" s="964"/>
      <c r="B157" s="137"/>
      <c r="C157" s="53">
        <f t="shared" si="28"/>
        <v>1</v>
      </c>
      <c r="D157" s="962"/>
      <c r="E157" s="53">
        <f t="shared" si="29"/>
        <v>1</v>
      </c>
      <c r="F157" s="962"/>
      <c r="G157" s="53">
        <f t="shared" si="30"/>
        <v>1</v>
      </c>
      <c r="H157" s="962"/>
      <c r="I157" s="53">
        <f t="shared" si="31"/>
        <v>1</v>
      </c>
      <c r="J157" s="962"/>
      <c r="K157" s="53">
        <f t="shared" si="32"/>
        <v>1</v>
      </c>
      <c r="L157" s="962"/>
      <c r="M157" s="53">
        <f t="shared" si="33"/>
        <v>1</v>
      </c>
      <c r="N157" s="962"/>
      <c r="O157" s="53">
        <f t="shared" si="34"/>
        <v>1</v>
      </c>
      <c r="P157" s="962"/>
      <c r="Q157" s="53">
        <f t="shared" si="35"/>
        <v>1</v>
      </c>
      <c r="R157" s="489">
        <f t="shared" si="36"/>
        <v>0</v>
      </c>
      <c r="S157" s="798">
        <f t="shared" si="27"/>
        <v>0</v>
      </c>
    </row>
    <row r="158" spans="1:19">
      <c r="A158" s="964"/>
      <c r="B158" s="137"/>
      <c r="C158" s="53">
        <f t="shared" si="28"/>
        <v>1</v>
      </c>
      <c r="D158" s="962"/>
      <c r="E158" s="53">
        <f t="shared" si="29"/>
        <v>1</v>
      </c>
      <c r="F158" s="962"/>
      <c r="G158" s="53">
        <f t="shared" si="30"/>
        <v>1</v>
      </c>
      <c r="H158" s="962"/>
      <c r="I158" s="53">
        <f t="shared" si="31"/>
        <v>1</v>
      </c>
      <c r="J158" s="962"/>
      <c r="K158" s="53">
        <f t="shared" si="32"/>
        <v>1</v>
      </c>
      <c r="L158" s="962"/>
      <c r="M158" s="53">
        <f t="shared" si="33"/>
        <v>1</v>
      </c>
      <c r="N158" s="962"/>
      <c r="O158" s="53">
        <f t="shared" si="34"/>
        <v>1</v>
      </c>
      <c r="P158" s="962"/>
      <c r="Q158" s="53">
        <f t="shared" si="35"/>
        <v>1</v>
      </c>
      <c r="R158" s="489">
        <f t="shared" si="36"/>
        <v>0</v>
      </c>
      <c r="S158" s="798">
        <f t="shared" si="27"/>
        <v>0</v>
      </c>
    </row>
    <row r="159" spans="1:19">
      <c r="A159" s="964"/>
      <c r="B159" s="137"/>
      <c r="C159" s="53">
        <f t="shared" si="28"/>
        <v>1</v>
      </c>
      <c r="D159" s="962"/>
      <c r="E159" s="53">
        <f t="shared" si="29"/>
        <v>1</v>
      </c>
      <c r="F159" s="962"/>
      <c r="G159" s="53">
        <f t="shared" si="30"/>
        <v>1</v>
      </c>
      <c r="H159" s="962"/>
      <c r="I159" s="53">
        <f t="shared" si="31"/>
        <v>1</v>
      </c>
      <c r="J159" s="962"/>
      <c r="K159" s="53">
        <f t="shared" si="32"/>
        <v>1</v>
      </c>
      <c r="L159" s="962"/>
      <c r="M159" s="53">
        <f t="shared" si="33"/>
        <v>1</v>
      </c>
      <c r="N159" s="962"/>
      <c r="O159" s="53">
        <f t="shared" si="34"/>
        <v>1</v>
      </c>
      <c r="P159" s="962"/>
      <c r="Q159" s="53">
        <f t="shared" si="35"/>
        <v>1</v>
      </c>
      <c r="R159" s="489">
        <f t="shared" si="36"/>
        <v>0</v>
      </c>
      <c r="S159" s="798">
        <f t="shared" si="27"/>
        <v>0</v>
      </c>
    </row>
    <row r="160" spans="1:19">
      <c r="A160" s="964"/>
      <c r="B160" s="137"/>
      <c r="C160" s="53">
        <f t="shared" si="28"/>
        <v>1</v>
      </c>
      <c r="D160" s="962"/>
      <c r="E160" s="53">
        <f t="shared" si="29"/>
        <v>1</v>
      </c>
      <c r="F160" s="962"/>
      <c r="G160" s="53">
        <f t="shared" si="30"/>
        <v>1</v>
      </c>
      <c r="H160" s="962"/>
      <c r="I160" s="53">
        <f t="shared" si="31"/>
        <v>1</v>
      </c>
      <c r="J160" s="962"/>
      <c r="K160" s="53">
        <f t="shared" si="32"/>
        <v>1</v>
      </c>
      <c r="L160" s="962"/>
      <c r="M160" s="53">
        <f t="shared" si="33"/>
        <v>1</v>
      </c>
      <c r="N160" s="962"/>
      <c r="O160" s="53">
        <f t="shared" si="34"/>
        <v>1</v>
      </c>
      <c r="P160" s="962"/>
      <c r="Q160" s="53">
        <f t="shared" si="35"/>
        <v>1</v>
      </c>
      <c r="R160" s="489">
        <f t="shared" si="36"/>
        <v>0</v>
      </c>
      <c r="S160" s="798">
        <f t="shared" si="27"/>
        <v>0</v>
      </c>
    </row>
    <row r="161" spans="1:19">
      <c r="A161" s="964"/>
      <c r="B161" s="137"/>
      <c r="C161" s="53">
        <f t="shared" si="28"/>
        <v>1</v>
      </c>
      <c r="D161" s="962"/>
      <c r="E161" s="53">
        <f t="shared" si="29"/>
        <v>1</v>
      </c>
      <c r="F161" s="962"/>
      <c r="G161" s="53">
        <f t="shared" si="30"/>
        <v>1</v>
      </c>
      <c r="H161" s="962"/>
      <c r="I161" s="53">
        <f t="shared" si="31"/>
        <v>1</v>
      </c>
      <c r="J161" s="962"/>
      <c r="K161" s="53">
        <f t="shared" si="32"/>
        <v>1</v>
      </c>
      <c r="L161" s="962"/>
      <c r="M161" s="53">
        <f t="shared" si="33"/>
        <v>1</v>
      </c>
      <c r="N161" s="962"/>
      <c r="O161" s="53">
        <f t="shared" si="34"/>
        <v>1</v>
      </c>
      <c r="P161" s="962"/>
      <c r="Q161" s="53">
        <f t="shared" si="35"/>
        <v>1</v>
      </c>
      <c r="R161" s="489">
        <f t="shared" si="36"/>
        <v>0</v>
      </c>
      <c r="S161" s="798">
        <f t="shared" si="27"/>
        <v>0</v>
      </c>
    </row>
    <row r="162" spans="1:19">
      <c r="A162" s="964"/>
      <c r="B162" s="137"/>
      <c r="C162" s="53">
        <f t="shared" si="28"/>
        <v>1</v>
      </c>
      <c r="D162" s="962"/>
      <c r="E162" s="53">
        <f t="shared" si="29"/>
        <v>1</v>
      </c>
      <c r="F162" s="962"/>
      <c r="G162" s="53">
        <f t="shared" si="30"/>
        <v>1</v>
      </c>
      <c r="H162" s="962"/>
      <c r="I162" s="53">
        <f t="shared" si="31"/>
        <v>1</v>
      </c>
      <c r="J162" s="962"/>
      <c r="K162" s="53">
        <f t="shared" si="32"/>
        <v>1</v>
      </c>
      <c r="L162" s="962"/>
      <c r="M162" s="53">
        <f t="shared" si="33"/>
        <v>1</v>
      </c>
      <c r="N162" s="962"/>
      <c r="O162" s="53">
        <f t="shared" si="34"/>
        <v>1</v>
      </c>
      <c r="P162" s="962"/>
      <c r="Q162" s="53">
        <f t="shared" si="35"/>
        <v>1</v>
      </c>
      <c r="R162" s="489">
        <f t="shared" si="36"/>
        <v>0</v>
      </c>
      <c r="S162" s="798">
        <f t="shared" si="27"/>
        <v>0</v>
      </c>
    </row>
    <row r="163" spans="1:19">
      <c r="A163" s="964"/>
      <c r="B163" s="137"/>
      <c r="C163" s="53">
        <f t="shared" si="28"/>
        <v>1</v>
      </c>
      <c r="D163" s="962"/>
      <c r="E163" s="53">
        <f t="shared" si="29"/>
        <v>1</v>
      </c>
      <c r="F163" s="962"/>
      <c r="G163" s="53">
        <f t="shared" si="30"/>
        <v>1</v>
      </c>
      <c r="H163" s="962"/>
      <c r="I163" s="53">
        <f t="shared" si="31"/>
        <v>1</v>
      </c>
      <c r="J163" s="962"/>
      <c r="K163" s="53">
        <f t="shared" si="32"/>
        <v>1</v>
      </c>
      <c r="L163" s="962"/>
      <c r="M163" s="53">
        <f t="shared" si="33"/>
        <v>1</v>
      </c>
      <c r="N163" s="962"/>
      <c r="O163" s="53">
        <f t="shared" si="34"/>
        <v>1</v>
      </c>
      <c r="P163" s="962"/>
      <c r="Q163" s="53">
        <f t="shared" si="35"/>
        <v>1</v>
      </c>
      <c r="R163" s="489">
        <f t="shared" si="36"/>
        <v>0</v>
      </c>
      <c r="S163" s="798">
        <f t="shared" si="27"/>
        <v>0</v>
      </c>
    </row>
    <row r="164" spans="1:19">
      <c r="A164" s="964"/>
      <c r="B164" s="137"/>
      <c r="C164" s="53">
        <f t="shared" si="28"/>
        <v>1</v>
      </c>
      <c r="D164" s="962"/>
      <c r="E164" s="53">
        <f t="shared" si="29"/>
        <v>1</v>
      </c>
      <c r="F164" s="962"/>
      <c r="G164" s="53">
        <f t="shared" si="30"/>
        <v>1</v>
      </c>
      <c r="H164" s="962"/>
      <c r="I164" s="53">
        <f t="shared" si="31"/>
        <v>1</v>
      </c>
      <c r="J164" s="962"/>
      <c r="K164" s="53">
        <f t="shared" si="32"/>
        <v>1</v>
      </c>
      <c r="L164" s="962"/>
      <c r="M164" s="53">
        <f t="shared" si="33"/>
        <v>1</v>
      </c>
      <c r="N164" s="962"/>
      <c r="O164" s="53">
        <f t="shared" si="34"/>
        <v>1</v>
      </c>
      <c r="P164" s="962"/>
      <c r="Q164" s="53">
        <f t="shared" si="35"/>
        <v>1</v>
      </c>
      <c r="R164" s="489">
        <f t="shared" si="36"/>
        <v>0</v>
      </c>
      <c r="S164" s="798">
        <f t="shared" si="27"/>
        <v>0</v>
      </c>
    </row>
    <row r="165" spans="1:19">
      <c r="A165" s="964"/>
      <c r="B165" s="137"/>
      <c r="C165" s="53">
        <f t="shared" si="28"/>
        <v>1</v>
      </c>
      <c r="D165" s="962"/>
      <c r="E165" s="53">
        <f t="shared" si="29"/>
        <v>1</v>
      </c>
      <c r="F165" s="962"/>
      <c r="G165" s="53">
        <f t="shared" si="30"/>
        <v>1</v>
      </c>
      <c r="H165" s="962"/>
      <c r="I165" s="53">
        <f t="shared" si="31"/>
        <v>1</v>
      </c>
      <c r="J165" s="962"/>
      <c r="K165" s="53">
        <f t="shared" si="32"/>
        <v>1</v>
      </c>
      <c r="L165" s="962"/>
      <c r="M165" s="53">
        <f t="shared" si="33"/>
        <v>1</v>
      </c>
      <c r="N165" s="962"/>
      <c r="O165" s="53">
        <f t="shared" si="34"/>
        <v>1</v>
      </c>
      <c r="P165" s="962"/>
      <c r="Q165" s="53">
        <f t="shared" si="35"/>
        <v>1</v>
      </c>
      <c r="R165" s="489">
        <f t="shared" si="36"/>
        <v>0</v>
      </c>
      <c r="S165" s="798">
        <f t="shared" si="27"/>
        <v>0</v>
      </c>
    </row>
    <row r="166" spans="1:19">
      <c r="A166" s="964"/>
      <c r="B166" s="137"/>
      <c r="C166" s="53">
        <f t="shared" si="28"/>
        <v>1</v>
      </c>
      <c r="D166" s="962"/>
      <c r="E166" s="53">
        <f t="shared" si="29"/>
        <v>1</v>
      </c>
      <c r="F166" s="962"/>
      <c r="G166" s="53">
        <f t="shared" si="30"/>
        <v>1</v>
      </c>
      <c r="H166" s="962"/>
      <c r="I166" s="53">
        <f t="shared" si="31"/>
        <v>1</v>
      </c>
      <c r="J166" s="962"/>
      <c r="K166" s="53">
        <f t="shared" si="32"/>
        <v>1</v>
      </c>
      <c r="L166" s="962"/>
      <c r="M166" s="53">
        <f t="shared" si="33"/>
        <v>1</v>
      </c>
      <c r="N166" s="962"/>
      <c r="O166" s="53">
        <f t="shared" si="34"/>
        <v>1</v>
      </c>
      <c r="P166" s="962"/>
      <c r="Q166" s="53">
        <f t="shared" si="35"/>
        <v>1</v>
      </c>
      <c r="R166" s="489">
        <f t="shared" si="36"/>
        <v>0</v>
      </c>
      <c r="S166" s="798">
        <f t="shared" si="27"/>
        <v>0</v>
      </c>
    </row>
    <row r="167" spans="1:19">
      <c r="A167" s="964"/>
      <c r="B167" s="137"/>
      <c r="C167" s="53">
        <f t="shared" si="28"/>
        <v>1</v>
      </c>
      <c r="D167" s="962"/>
      <c r="E167" s="53">
        <f t="shared" si="29"/>
        <v>1</v>
      </c>
      <c r="F167" s="962"/>
      <c r="G167" s="53">
        <f t="shared" si="30"/>
        <v>1</v>
      </c>
      <c r="H167" s="962"/>
      <c r="I167" s="53">
        <f t="shared" si="31"/>
        <v>1</v>
      </c>
      <c r="J167" s="962"/>
      <c r="K167" s="53">
        <f t="shared" si="32"/>
        <v>1</v>
      </c>
      <c r="L167" s="962"/>
      <c r="M167" s="53">
        <f t="shared" si="33"/>
        <v>1</v>
      </c>
      <c r="N167" s="962"/>
      <c r="O167" s="53">
        <f t="shared" si="34"/>
        <v>1</v>
      </c>
      <c r="P167" s="962"/>
      <c r="Q167" s="53">
        <f t="shared" si="35"/>
        <v>1</v>
      </c>
      <c r="R167" s="489">
        <f t="shared" si="36"/>
        <v>0</v>
      </c>
      <c r="S167" s="798">
        <f t="shared" si="27"/>
        <v>0</v>
      </c>
    </row>
    <row r="168" spans="1:19">
      <c r="A168" s="964"/>
      <c r="B168" s="137"/>
      <c r="C168" s="53">
        <f t="shared" si="28"/>
        <v>1</v>
      </c>
      <c r="D168" s="962"/>
      <c r="E168" s="53">
        <f t="shared" si="29"/>
        <v>1</v>
      </c>
      <c r="F168" s="962"/>
      <c r="G168" s="53">
        <f t="shared" si="30"/>
        <v>1</v>
      </c>
      <c r="H168" s="962"/>
      <c r="I168" s="53">
        <f t="shared" si="31"/>
        <v>1</v>
      </c>
      <c r="J168" s="962"/>
      <c r="K168" s="53">
        <f t="shared" si="32"/>
        <v>1</v>
      </c>
      <c r="L168" s="962"/>
      <c r="M168" s="53">
        <f t="shared" si="33"/>
        <v>1</v>
      </c>
      <c r="N168" s="962"/>
      <c r="O168" s="53">
        <f t="shared" si="34"/>
        <v>1</v>
      </c>
      <c r="P168" s="962"/>
      <c r="Q168" s="53">
        <f t="shared" si="35"/>
        <v>1</v>
      </c>
      <c r="R168" s="489">
        <f t="shared" si="36"/>
        <v>0</v>
      </c>
      <c r="S168" s="798">
        <f t="shared" si="27"/>
        <v>0</v>
      </c>
    </row>
    <row r="169" spans="1:19">
      <c r="A169" s="964"/>
      <c r="B169" s="137"/>
      <c r="C169" s="53">
        <f t="shared" si="28"/>
        <v>1</v>
      </c>
      <c r="D169" s="962"/>
      <c r="E169" s="53">
        <f t="shared" si="29"/>
        <v>1</v>
      </c>
      <c r="F169" s="962"/>
      <c r="G169" s="53">
        <f t="shared" si="30"/>
        <v>1</v>
      </c>
      <c r="H169" s="962"/>
      <c r="I169" s="53">
        <f t="shared" si="31"/>
        <v>1</v>
      </c>
      <c r="J169" s="962"/>
      <c r="K169" s="53">
        <f t="shared" si="32"/>
        <v>1</v>
      </c>
      <c r="L169" s="962"/>
      <c r="M169" s="53">
        <f t="shared" si="33"/>
        <v>1</v>
      </c>
      <c r="N169" s="962"/>
      <c r="O169" s="53">
        <f t="shared" si="34"/>
        <v>1</v>
      </c>
      <c r="P169" s="962"/>
      <c r="Q169" s="53">
        <f t="shared" si="35"/>
        <v>1</v>
      </c>
      <c r="R169" s="489">
        <f t="shared" si="36"/>
        <v>0</v>
      </c>
      <c r="S169" s="798">
        <f t="shared" si="27"/>
        <v>0</v>
      </c>
    </row>
    <row r="170" spans="1:19">
      <c r="A170" s="964"/>
      <c r="B170" s="137"/>
      <c r="C170" s="53">
        <f t="shared" si="28"/>
        <v>1</v>
      </c>
      <c r="D170" s="962"/>
      <c r="E170" s="53">
        <f t="shared" si="29"/>
        <v>1</v>
      </c>
      <c r="F170" s="962"/>
      <c r="G170" s="53">
        <f t="shared" si="30"/>
        <v>1</v>
      </c>
      <c r="H170" s="962"/>
      <c r="I170" s="53">
        <f t="shared" si="31"/>
        <v>1</v>
      </c>
      <c r="J170" s="962"/>
      <c r="K170" s="53">
        <f t="shared" si="32"/>
        <v>1</v>
      </c>
      <c r="L170" s="962"/>
      <c r="M170" s="53">
        <f t="shared" si="33"/>
        <v>1</v>
      </c>
      <c r="N170" s="962"/>
      <c r="O170" s="53">
        <f t="shared" si="34"/>
        <v>1</v>
      </c>
      <c r="P170" s="962"/>
      <c r="Q170" s="53">
        <f t="shared" si="35"/>
        <v>1</v>
      </c>
      <c r="R170" s="489">
        <f t="shared" si="36"/>
        <v>0</v>
      </c>
      <c r="S170" s="798">
        <f t="shared" si="27"/>
        <v>0</v>
      </c>
    </row>
    <row r="171" spans="1:19">
      <c r="A171" s="964"/>
      <c r="B171" s="137"/>
      <c r="C171" s="53">
        <f t="shared" si="28"/>
        <v>1</v>
      </c>
      <c r="D171" s="962"/>
      <c r="E171" s="53">
        <f t="shared" si="29"/>
        <v>1</v>
      </c>
      <c r="F171" s="962"/>
      <c r="G171" s="53">
        <f t="shared" si="30"/>
        <v>1</v>
      </c>
      <c r="H171" s="962"/>
      <c r="I171" s="53">
        <f t="shared" si="31"/>
        <v>1</v>
      </c>
      <c r="J171" s="962"/>
      <c r="K171" s="53">
        <f t="shared" si="32"/>
        <v>1</v>
      </c>
      <c r="L171" s="962"/>
      <c r="M171" s="53">
        <f t="shared" si="33"/>
        <v>1</v>
      </c>
      <c r="N171" s="962"/>
      <c r="O171" s="53">
        <f t="shared" si="34"/>
        <v>1</v>
      </c>
      <c r="P171" s="962"/>
      <c r="Q171" s="53">
        <f t="shared" si="35"/>
        <v>1</v>
      </c>
      <c r="R171" s="489">
        <f t="shared" si="36"/>
        <v>0</v>
      </c>
      <c r="S171" s="798">
        <f t="shared" si="27"/>
        <v>0</v>
      </c>
    </row>
    <row r="172" spans="1:19">
      <c r="A172" s="964"/>
      <c r="B172" s="137"/>
      <c r="C172" s="53">
        <f t="shared" si="28"/>
        <v>1</v>
      </c>
      <c r="D172" s="962"/>
      <c r="E172" s="53">
        <f t="shared" si="29"/>
        <v>1</v>
      </c>
      <c r="F172" s="962"/>
      <c r="G172" s="53">
        <f t="shared" si="30"/>
        <v>1</v>
      </c>
      <c r="H172" s="962"/>
      <c r="I172" s="53">
        <f t="shared" si="31"/>
        <v>1</v>
      </c>
      <c r="J172" s="962"/>
      <c r="K172" s="53">
        <f t="shared" si="32"/>
        <v>1</v>
      </c>
      <c r="L172" s="962"/>
      <c r="M172" s="53">
        <f t="shared" si="33"/>
        <v>1</v>
      </c>
      <c r="N172" s="962"/>
      <c r="O172" s="53">
        <f t="shared" si="34"/>
        <v>1</v>
      </c>
      <c r="P172" s="962"/>
      <c r="Q172" s="53">
        <f t="shared" si="35"/>
        <v>1</v>
      </c>
      <c r="R172" s="489">
        <f t="shared" si="36"/>
        <v>0</v>
      </c>
      <c r="S172" s="798">
        <f t="shared" si="27"/>
        <v>0</v>
      </c>
    </row>
    <row r="173" spans="1:19">
      <c r="A173" s="964"/>
      <c r="B173" s="137"/>
      <c r="C173" s="53">
        <f t="shared" si="28"/>
        <v>1</v>
      </c>
      <c r="D173" s="962"/>
      <c r="E173" s="53">
        <f t="shared" si="29"/>
        <v>1</v>
      </c>
      <c r="F173" s="962"/>
      <c r="G173" s="53">
        <f t="shared" si="30"/>
        <v>1</v>
      </c>
      <c r="H173" s="962"/>
      <c r="I173" s="53">
        <f t="shared" si="31"/>
        <v>1</v>
      </c>
      <c r="J173" s="962"/>
      <c r="K173" s="53">
        <f t="shared" si="32"/>
        <v>1</v>
      </c>
      <c r="L173" s="962"/>
      <c r="M173" s="53">
        <f t="shared" si="33"/>
        <v>1</v>
      </c>
      <c r="N173" s="962"/>
      <c r="O173" s="53">
        <f t="shared" si="34"/>
        <v>1</v>
      </c>
      <c r="P173" s="962"/>
      <c r="Q173" s="53">
        <f t="shared" si="35"/>
        <v>1</v>
      </c>
      <c r="R173" s="489">
        <f t="shared" si="36"/>
        <v>0</v>
      </c>
      <c r="S173" s="798">
        <f t="shared" si="27"/>
        <v>0</v>
      </c>
    </row>
    <row r="174" spans="1:19">
      <c r="A174" s="964"/>
      <c r="B174" s="137"/>
      <c r="C174" s="53">
        <f t="shared" si="28"/>
        <v>1</v>
      </c>
      <c r="D174" s="962"/>
      <c r="E174" s="53">
        <f t="shared" si="29"/>
        <v>1</v>
      </c>
      <c r="F174" s="962"/>
      <c r="G174" s="53">
        <f t="shared" si="30"/>
        <v>1</v>
      </c>
      <c r="H174" s="962"/>
      <c r="I174" s="53">
        <f t="shared" si="31"/>
        <v>1</v>
      </c>
      <c r="J174" s="962"/>
      <c r="K174" s="53">
        <f t="shared" si="32"/>
        <v>1</v>
      </c>
      <c r="L174" s="962"/>
      <c r="M174" s="53">
        <f t="shared" si="33"/>
        <v>1</v>
      </c>
      <c r="N174" s="962"/>
      <c r="O174" s="53">
        <f t="shared" si="34"/>
        <v>1</v>
      </c>
      <c r="P174" s="962"/>
      <c r="Q174" s="53">
        <f t="shared" si="35"/>
        <v>1</v>
      </c>
      <c r="R174" s="489">
        <f t="shared" si="36"/>
        <v>0</v>
      </c>
      <c r="S174" s="798">
        <f t="shared" si="27"/>
        <v>0</v>
      </c>
    </row>
    <row r="175" spans="1:19">
      <c r="A175" s="964"/>
      <c r="B175" s="137"/>
      <c r="C175" s="53">
        <f t="shared" si="28"/>
        <v>1</v>
      </c>
      <c r="D175" s="962"/>
      <c r="E175" s="53">
        <f t="shared" si="29"/>
        <v>1</v>
      </c>
      <c r="F175" s="962"/>
      <c r="G175" s="53">
        <f t="shared" si="30"/>
        <v>1</v>
      </c>
      <c r="H175" s="962"/>
      <c r="I175" s="53">
        <f t="shared" si="31"/>
        <v>1</v>
      </c>
      <c r="J175" s="962"/>
      <c r="K175" s="53">
        <f t="shared" si="32"/>
        <v>1</v>
      </c>
      <c r="L175" s="962"/>
      <c r="M175" s="53">
        <f t="shared" si="33"/>
        <v>1</v>
      </c>
      <c r="N175" s="962"/>
      <c r="O175" s="53">
        <f t="shared" si="34"/>
        <v>1</v>
      </c>
      <c r="P175" s="962"/>
      <c r="Q175" s="53">
        <f t="shared" si="35"/>
        <v>1</v>
      </c>
      <c r="R175" s="489">
        <f t="shared" si="36"/>
        <v>0</v>
      </c>
      <c r="S175" s="798">
        <f t="shared" si="27"/>
        <v>0</v>
      </c>
    </row>
    <row r="176" spans="1:19">
      <c r="A176" s="964"/>
      <c r="B176" s="137"/>
      <c r="C176" s="53">
        <f t="shared" si="28"/>
        <v>1</v>
      </c>
      <c r="D176" s="962"/>
      <c r="E176" s="53">
        <f t="shared" si="29"/>
        <v>1</v>
      </c>
      <c r="F176" s="962"/>
      <c r="G176" s="53">
        <f t="shared" si="30"/>
        <v>1</v>
      </c>
      <c r="H176" s="962"/>
      <c r="I176" s="53">
        <f t="shared" si="31"/>
        <v>1</v>
      </c>
      <c r="J176" s="962"/>
      <c r="K176" s="53">
        <f t="shared" si="32"/>
        <v>1</v>
      </c>
      <c r="L176" s="962"/>
      <c r="M176" s="53">
        <f t="shared" si="33"/>
        <v>1</v>
      </c>
      <c r="N176" s="962"/>
      <c r="O176" s="53">
        <f t="shared" si="34"/>
        <v>1</v>
      </c>
      <c r="P176" s="962"/>
      <c r="Q176" s="53">
        <f t="shared" si="35"/>
        <v>1</v>
      </c>
      <c r="R176" s="489">
        <f t="shared" si="36"/>
        <v>0</v>
      </c>
      <c r="S176" s="798">
        <f t="shared" si="27"/>
        <v>0</v>
      </c>
    </row>
    <row r="177" spans="1:19">
      <c r="A177" s="964"/>
      <c r="B177" s="137"/>
      <c r="C177" s="53">
        <f t="shared" si="28"/>
        <v>1</v>
      </c>
      <c r="D177" s="962"/>
      <c r="E177" s="53">
        <f t="shared" si="29"/>
        <v>1</v>
      </c>
      <c r="F177" s="962"/>
      <c r="G177" s="53">
        <f t="shared" si="30"/>
        <v>1</v>
      </c>
      <c r="H177" s="962"/>
      <c r="I177" s="53">
        <f t="shared" si="31"/>
        <v>1</v>
      </c>
      <c r="J177" s="962"/>
      <c r="K177" s="53">
        <f t="shared" si="32"/>
        <v>1</v>
      </c>
      <c r="L177" s="962"/>
      <c r="M177" s="53">
        <f t="shared" si="33"/>
        <v>1</v>
      </c>
      <c r="N177" s="962"/>
      <c r="O177" s="53">
        <f t="shared" si="34"/>
        <v>1</v>
      </c>
      <c r="P177" s="962"/>
      <c r="Q177" s="53">
        <f t="shared" si="35"/>
        <v>1</v>
      </c>
      <c r="R177" s="489">
        <f t="shared" si="36"/>
        <v>0</v>
      </c>
      <c r="S177" s="798">
        <f t="shared" si="27"/>
        <v>0</v>
      </c>
    </row>
    <row r="178" spans="1:19">
      <c r="A178" s="964"/>
      <c r="B178" s="137"/>
      <c r="C178" s="53">
        <f t="shared" si="28"/>
        <v>1</v>
      </c>
      <c r="D178" s="962"/>
      <c r="E178" s="53">
        <f t="shared" si="29"/>
        <v>1</v>
      </c>
      <c r="F178" s="962"/>
      <c r="G178" s="53">
        <f t="shared" si="30"/>
        <v>1</v>
      </c>
      <c r="H178" s="962"/>
      <c r="I178" s="53">
        <f t="shared" si="31"/>
        <v>1</v>
      </c>
      <c r="J178" s="962"/>
      <c r="K178" s="53">
        <f t="shared" si="32"/>
        <v>1</v>
      </c>
      <c r="L178" s="962"/>
      <c r="M178" s="53">
        <f t="shared" si="33"/>
        <v>1</v>
      </c>
      <c r="N178" s="962"/>
      <c r="O178" s="53">
        <f t="shared" si="34"/>
        <v>1</v>
      </c>
      <c r="P178" s="962"/>
      <c r="Q178" s="53">
        <f t="shared" si="35"/>
        <v>1</v>
      </c>
      <c r="R178" s="489">
        <f t="shared" si="36"/>
        <v>0</v>
      </c>
      <c r="S178" s="798">
        <f t="shared" si="27"/>
        <v>0</v>
      </c>
    </row>
    <row r="179" spans="1:19">
      <c r="A179" s="964"/>
      <c r="B179" s="137"/>
      <c r="C179" s="53">
        <f t="shared" si="28"/>
        <v>1</v>
      </c>
      <c r="D179" s="962"/>
      <c r="E179" s="53">
        <f t="shared" si="29"/>
        <v>1</v>
      </c>
      <c r="F179" s="962"/>
      <c r="G179" s="53">
        <f t="shared" si="30"/>
        <v>1</v>
      </c>
      <c r="H179" s="962"/>
      <c r="I179" s="53">
        <f t="shared" si="31"/>
        <v>1</v>
      </c>
      <c r="J179" s="962"/>
      <c r="K179" s="53">
        <f t="shared" si="32"/>
        <v>1</v>
      </c>
      <c r="L179" s="962"/>
      <c r="M179" s="53">
        <f t="shared" si="33"/>
        <v>1</v>
      </c>
      <c r="N179" s="962"/>
      <c r="O179" s="53">
        <f t="shared" si="34"/>
        <v>1</v>
      </c>
      <c r="P179" s="962"/>
      <c r="Q179" s="53">
        <f t="shared" si="35"/>
        <v>1</v>
      </c>
      <c r="R179" s="489">
        <f t="shared" si="36"/>
        <v>0</v>
      </c>
      <c r="S179" s="798">
        <f t="shared" si="27"/>
        <v>0</v>
      </c>
    </row>
    <row r="180" spans="1:19">
      <c r="A180" s="964"/>
      <c r="B180" s="137"/>
      <c r="C180" s="53">
        <f t="shared" si="28"/>
        <v>1</v>
      </c>
      <c r="D180" s="962"/>
      <c r="E180" s="53">
        <f t="shared" si="29"/>
        <v>1</v>
      </c>
      <c r="F180" s="962"/>
      <c r="G180" s="53">
        <f t="shared" si="30"/>
        <v>1</v>
      </c>
      <c r="H180" s="962"/>
      <c r="I180" s="53">
        <f t="shared" si="31"/>
        <v>1</v>
      </c>
      <c r="J180" s="962"/>
      <c r="K180" s="53">
        <f t="shared" si="32"/>
        <v>1</v>
      </c>
      <c r="L180" s="962"/>
      <c r="M180" s="53">
        <f t="shared" si="33"/>
        <v>1</v>
      </c>
      <c r="N180" s="962"/>
      <c r="O180" s="53">
        <f t="shared" si="34"/>
        <v>1</v>
      </c>
      <c r="P180" s="962"/>
      <c r="Q180" s="53">
        <f t="shared" si="35"/>
        <v>1</v>
      </c>
      <c r="R180" s="489">
        <f t="shared" si="36"/>
        <v>0</v>
      </c>
      <c r="S180" s="798">
        <f t="shared" si="27"/>
        <v>0</v>
      </c>
    </row>
    <row r="181" spans="1:19">
      <c r="A181" s="964"/>
      <c r="B181" s="137"/>
      <c r="C181" s="53">
        <f t="shared" si="28"/>
        <v>1</v>
      </c>
      <c r="D181" s="962"/>
      <c r="E181" s="53">
        <f t="shared" si="29"/>
        <v>1</v>
      </c>
      <c r="F181" s="962"/>
      <c r="G181" s="53">
        <f t="shared" si="30"/>
        <v>1</v>
      </c>
      <c r="H181" s="962"/>
      <c r="I181" s="53">
        <f t="shared" si="31"/>
        <v>1</v>
      </c>
      <c r="J181" s="962"/>
      <c r="K181" s="53">
        <f t="shared" si="32"/>
        <v>1</v>
      </c>
      <c r="L181" s="962"/>
      <c r="M181" s="53">
        <f t="shared" si="33"/>
        <v>1</v>
      </c>
      <c r="N181" s="962"/>
      <c r="O181" s="53">
        <f t="shared" si="34"/>
        <v>1</v>
      </c>
      <c r="P181" s="962"/>
      <c r="Q181" s="53">
        <f t="shared" si="35"/>
        <v>1</v>
      </c>
      <c r="R181" s="489">
        <f t="shared" si="36"/>
        <v>0</v>
      </c>
      <c r="S181" s="798">
        <f t="shared" si="27"/>
        <v>0</v>
      </c>
    </row>
    <row r="182" spans="1:19">
      <c r="A182" s="964"/>
      <c r="B182" s="137"/>
      <c r="C182" s="53">
        <f t="shared" si="28"/>
        <v>1</v>
      </c>
      <c r="D182" s="962"/>
      <c r="E182" s="53">
        <f t="shared" si="29"/>
        <v>1</v>
      </c>
      <c r="F182" s="962"/>
      <c r="G182" s="53">
        <f t="shared" si="30"/>
        <v>1</v>
      </c>
      <c r="H182" s="962"/>
      <c r="I182" s="53">
        <f t="shared" si="31"/>
        <v>1</v>
      </c>
      <c r="J182" s="962"/>
      <c r="K182" s="53">
        <f t="shared" si="32"/>
        <v>1</v>
      </c>
      <c r="L182" s="962"/>
      <c r="M182" s="53">
        <f t="shared" si="33"/>
        <v>1</v>
      </c>
      <c r="N182" s="962"/>
      <c r="O182" s="53">
        <f t="shared" si="34"/>
        <v>1</v>
      </c>
      <c r="P182" s="962"/>
      <c r="Q182" s="53">
        <f t="shared" si="35"/>
        <v>1</v>
      </c>
      <c r="R182" s="489">
        <f t="shared" si="36"/>
        <v>0</v>
      </c>
      <c r="S182" s="798">
        <f t="shared" si="27"/>
        <v>0</v>
      </c>
    </row>
    <row r="183" spans="1:19">
      <c r="A183" s="964"/>
      <c r="B183" s="137"/>
      <c r="C183" s="53">
        <f t="shared" si="28"/>
        <v>1</v>
      </c>
      <c r="D183" s="962"/>
      <c r="E183" s="53">
        <f t="shared" si="29"/>
        <v>1</v>
      </c>
      <c r="F183" s="962"/>
      <c r="G183" s="53">
        <f t="shared" si="30"/>
        <v>1</v>
      </c>
      <c r="H183" s="962"/>
      <c r="I183" s="53">
        <f t="shared" si="31"/>
        <v>1</v>
      </c>
      <c r="J183" s="962"/>
      <c r="K183" s="53">
        <f t="shared" si="32"/>
        <v>1</v>
      </c>
      <c r="L183" s="962"/>
      <c r="M183" s="53">
        <f t="shared" si="33"/>
        <v>1</v>
      </c>
      <c r="N183" s="962"/>
      <c r="O183" s="53">
        <f t="shared" si="34"/>
        <v>1</v>
      </c>
      <c r="P183" s="962"/>
      <c r="Q183" s="53">
        <f t="shared" si="35"/>
        <v>1</v>
      </c>
      <c r="R183" s="489">
        <f t="shared" si="36"/>
        <v>0</v>
      </c>
      <c r="S183" s="798">
        <f t="shared" si="27"/>
        <v>0</v>
      </c>
    </row>
    <row r="184" spans="1:19">
      <c r="A184" s="964"/>
      <c r="B184" s="137"/>
      <c r="C184" s="53">
        <f t="shared" si="28"/>
        <v>1</v>
      </c>
      <c r="D184" s="962"/>
      <c r="E184" s="53">
        <f t="shared" si="29"/>
        <v>1</v>
      </c>
      <c r="F184" s="962"/>
      <c r="G184" s="53">
        <f t="shared" si="30"/>
        <v>1</v>
      </c>
      <c r="H184" s="962"/>
      <c r="I184" s="53">
        <f t="shared" si="31"/>
        <v>1</v>
      </c>
      <c r="J184" s="962"/>
      <c r="K184" s="53">
        <f t="shared" si="32"/>
        <v>1</v>
      </c>
      <c r="L184" s="962"/>
      <c r="M184" s="53">
        <f t="shared" si="33"/>
        <v>1</v>
      </c>
      <c r="N184" s="962"/>
      <c r="O184" s="53">
        <f t="shared" si="34"/>
        <v>1</v>
      </c>
      <c r="P184" s="962"/>
      <c r="Q184" s="53">
        <f t="shared" si="35"/>
        <v>1</v>
      </c>
      <c r="R184" s="489">
        <f t="shared" si="36"/>
        <v>0</v>
      </c>
      <c r="S184" s="798">
        <f t="shared" si="27"/>
        <v>0</v>
      </c>
    </row>
    <row r="185" spans="1:19">
      <c r="A185" s="964"/>
      <c r="B185" s="137"/>
      <c r="C185" s="53">
        <f t="shared" si="28"/>
        <v>1</v>
      </c>
      <c r="D185" s="962"/>
      <c r="E185" s="53">
        <f t="shared" si="29"/>
        <v>1</v>
      </c>
      <c r="F185" s="962"/>
      <c r="G185" s="53">
        <f t="shared" si="30"/>
        <v>1</v>
      </c>
      <c r="H185" s="962"/>
      <c r="I185" s="53">
        <f t="shared" si="31"/>
        <v>1</v>
      </c>
      <c r="J185" s="962"/>
      <c r="K185" s="53">
        <f t="shared" si="32"/>
        <v>1</v>
      </c>
      <c r="L185" s="962"/>
      <c r="M185" s="53">
        <f t="shared" si="33"/>
        <v>1</v>
      </c>
      <c r="N185" s="962"/>
      <c r="O185" s="53">
        <f t="shared" si="34"/>
        <v>1</v>
      </c>
      <c r="P185" s="962"/>
      <c r="Q185" s="53">
        <f t="shared" si="35"/>
        <v>1</v>
      </c>
      <c r="R185" s="489">
        <f t="shared" si="36"/>
        <v>0</v>
      </c>
      <c r="S185" s="798">
        <f t="shared" si="27"/>
        <v>0</v>
      </c>
    </row>
    <row r="186" spans="1:19">
      <c r="A186" s="964"/>
      <c r="B186" s="137"/>
      <c r="C186" s="53">
        <f t="shared" si="28"/>
        <v>1</v>
      </c>
      <c r="D186" s="962"/>
      <c r="E186" s="53">
        <f t="shared" si="29"/>
        <v>1</v>
      </c>
      <c r="F186" s="962"/>
      <c r="G186" s="53">
        <f t="shared" si="30"/>
        <v>1</v>
      </c>
      <c r="H186" s="962"/>
      <c r="I186" s="53">
        <f t="shared" si="31"/>
        <v>1</v>
      </c>
      <c r="J186" s="962"/>
      <c r="K186" s="53">
        <f t="shared" si="32"/>
        <v>1</v>
      </c>
      <c r="L186" s="962"/>
      <c r="M186" s="53">
        <f t="shared" si="33"/>
        <v>1</v>
      </c>
      <c r="N186" s="962"/>
      <c r="O186" s="53">
        <f t="shared" si="34"/>
        <v>1</v>
      </c>
      <c r="P186" s="962"/>
      <c r="Q186" s="53">
        <f t="shared" si="35"/>
        <v>1</v>
      </c>
      <c r="R186" s="489">
        <f t="shared" si="36"/>
        <v>0</v>
      </c>
      <c r="S186" s="798">
        <f t="shared" si="27"/>
        <v>0</v>
      </c>
    </row>
    <row r="187" spans="1:19">
      <c r="A187" s="964"/>
      <c r="B187" s="137"/>
      <c r="C187" s="53">
        <f t="shared" si="28"/>
        <v>1</v>
      </c>
      <c r="D187" s="962"/>
      <c r="E187" s="53">
        <f t="shared" si="29"/>
        <v>1</v>
      </c>
      <c r="F187" s="962"/>
      <c r="G187" s="53">
        <f t="shared" si="30"/>
        <v>1</v>
      </c>
      <c r="H187" s="962"/>
      <c r="I187" s="53">
        <f t="shared" si="31"/>
        <v>1</v>
      </c>
      <c r="J187" s="962"/>
      <c r="K187" s="53">
        <f t="shared" si="32"/>
        <v>1</v>
      </c>
      <c r="L187" s="962"/>
      <c r="M187" s="53">
        <f t="shared" si="33"/>
        <v>1</v>
      </c>
      <c r="N187" s="962"/>
      <c r="O187" s="53">
        <f t="shared" si="34"/>
        <v>1</v>
      </c>
      <c r="P187" s="962"/>
      <c r="Q187" s="53">
        <f t="shared" si="35"/>
        <v>1</v>
      </c>
      <c r="R187" s="489">
        <f t="shared" si="36"/>
        <v>0</v>
      </c>
      <c r="S187" s="798">
        <f t="shared" ref="S187:S222" si="37">ROUND(R187*B187/10000,0)</f>
        <v>0</v>
      </c>
    </row>
    <row r="188" spans="1:19">
      <c r="A188" s="964"/>
      <c r="B188" s="137"/>
      <c r="C188" s="53">
        <f t="shared" si="28"/>
        <v>1</v>
      </c>
      <c r="D188" s="962"/>
      <c r="E188" s="53">
        <f t="shared" si="29"/>
        <v>1</v>
      </c>
      <c r="F188" s="962"/>
      <c r="G188" s="53">
        <f t="shared" si="30"/>
        <v>1</v>
      </c>
      <c r="H188" s="962"/>
      <c r="I188" s="53">
        <f t="shared" si="31"/>
        <v>1</v>
      </c>
      <c r="J188" s="962"/>
      <c r="K188" s="53">
        <f t="shared" si="32"/>
        <v>1</v>
      </c>
      <c r="L188" s="962"/>
      <c r="M188" s="53">
        <f t="shared" si="33"/>
        <v>1</v>
      </c>
      <c r="N188" s="962"/>
      <c r="O188" s="53">
        <f t="shared" si="34"/>
        <v>1</v>
      </c>
      <c r="P188" s="962"/>
      <c r="Q188" s="53">
        <f t="shared" si="35"/>
        <v>1</v>
      </c>
      <c r="R188" s="489">
        <f t="shared" si="36"/>
        <v>0</v>
      </c>
      <c r="S188" s="798">
        <f t="shared" si="37"/>
        <v>0</v>
      </c>
    </row>
    <row r="189" spans="1:19">
      <c r="A189" s="964"/>
      <c r="B189" s="137"/>
      <c r="C189" s="53">
        <f t="shared" si="28"/>
        <v>1</v>
      </c>
      <c r="D189" s="962"/>
      <c r="E189" s="53">
        <f t="shared" si="29"/>
        <v>1</v>
      </c>
      <c r="F189" s="962"/>
      <c r="G189" s="53">
        <f t="shared" si="30"/>
        <v>1</v>
      </c>
      <c r="H189" s="962"/>
      <c r="I189" s="53">
        <f t="shared" si="31"/>
        <v>1</v>
      </c>
      <c r="J189" s="962"/>
      <c r="K189" s="53">
        <f t="shared" si="32"/>
        <v>1</v>
      </c>
      <c r="L189" s="962"/>
      <c r="M189" s="53">
        <f t="shared" si="33"/>
        <v>1</v>
      </c>
      <c r="N189" s="962"/>
      <c r="O189" s="53">
        <f t="shared" si="34"/>
        <v>1</v>
      </c>
      <c r="P189" s="962"/>
      <c r="Q189" s="53">
        <f t="shared" si="35"/>
        <v>1</v>
      </c>
      <c r="R189" s="489">
        <f t="shared" si="36"/>
        <v>0</v>
      </c>
      <c r="S189" s="798">
        <f t="shared" si="37"/>
        <v>0</v>
      </c>
    </row>
    <row r="190" spans="1:19">
      <c r="A190" s="964"/>
      <c r="B190" s="137"/>
      <c r="C190" s="53">
        <f t="shared" si="28"/>
        <v>1</v>
      </c>
      <c r="D190" s="962"/>
      <c r="E190" s="53">
        <f t="shared" si="29"/>
        <v>1</v>
      </c>
      <c r="F190" s="962"/>
      <c r="G190" s="53">
        <f t="shared" si="30"/>
        <v>1</v>
      </c>
      <c r="H190" s="962"/>
      <c r="I190" s="53">
        <f t="shared" si="31"/>
        <v>1</v>
      </c>
      <c r="J190" s="962"/>
      <c r="K190" s="53">
        <f t="shared" si="32"/>
        <v>1</v>
      </c>
      <c r="L190" s="962"/>
      <c r="M190" s="53">
        <f t="shared" si="33"/>
        <v>1</v>
      </c>
      <c r="N190" s="962"/>
      <c r="O190" s="53">
        <f t="shared" si="34"/>
        <v>1</v>
      </c>
      <c r="P190" s="962"/>
      <c r="Q190" s="53">
        <f t="shared" si="35"/>
        <v>1</v>
      </c>
      <c r="R190" s="489">
        <f t="shared" si="36"/>
        <v>0</v>
      </c>
      <c r="S190" s="798">
        <f t="shared" si="37"/>
        <v>0</v>
      </c>
    </row>
    <row r="191" spans="1:19">
      <c r="A191" s="964"/>
      <c r="B191" s="137"/>
      <c r="C191" s="53">
        <f t="shared" si="28"/>
        <v>1</v>
      </c>
      <c r="D191" s="962"/>
      <c r="E191" s="53">
        <f t="shared" si="29"/>
        <v>1</v>
      </c>
      <c r="F191" s="962"/>
      <c r="G191" s="53">
        <f t="shared" si="30"/>
        <v>1</v>
      </c>
      <c r="H191" s="962"/>
      <c r="I191" s="53">
        <f t="shared" si="31"/>
        <v>1</v>
      </c>
      <c r="J191" s="962"/>
      <c r="K191" s="53">
        <f t="shared" si="32"/>
        <v>1</v>
      </c>
      <c r="L191" s="962"/>
      <c r="M191" s="53">
        <f t="shared" si="33"/>
        <v>1</v>
      </c>
      <c r="N191" s="962"/>
      <c r="O191" s="53">
        <f t="shared" si="34"/>
        <v>1</v>
      </c>
      <c r="P191" s="962"/>
      <c r="Q191" s="53">
        <f t="shared" si="35"/>
        <v>1</v>
      </c>
      <c r="R191" s="489">
        <f t="shared" si="36"/>
        <v>0</v>
      </c>
      <c r="S191" s="798">
        <f t="shared" si="37"/>
        <v>0</v>
      </c>
    </row>
    <row r="192" spans="1:19">
      <c r="A192" s="964"/>
      <c r="B192" s="137"/>
      <c r="C192" s="53">
        <f t="shared" si="28"/>
        <v>1</v>
      </c>
      <c r="D192" s="962"/>
      <c r="E192" s="53">
        <f t="shared" si="29"/>
        <v>1</v>
      </c>
      <c r="F192" s="962"/>
      <c r="G192" s="53">
        <f t="shared" si="30"/>
        <v>1</v>
      </c>
      <c r="H192" s="962"/>
      <c r="I192" s="53">
        <f t="shared" si="31"/>
        <v>1</v>
      </c>
      <c r="J192" s="962"/>
      <c r="K192" s="53">
        <f t="shared" si="32"/>
        <v>1</v>
      </c>
      <c r="L192" s="962"/>
      <c r="M192" s="53">
        <f t="shared" si="33"/>
        <v>1</v>
      </c>
      <c r="N192" s="962"/>
      <c r="O192" s="53">
        <f t="shared" si="34"/>
        <v>1</v>
      </c>
      <c r="P192" s="962"/>
      <c r="Q192" s="53">
        <f t="shared" si="35"/>
        <v>1</v>
      </c>
      <c r="R192" s="489">
        <f t="shared" si="36"/>
        <v>0</v>
      </c>
      <c r="S192" s="798">
        <f t="shared" si="37"/>
        <v>0</v>
      </c>
    </row>
    <row r="193" spans="1:19">
      <c r="A193" s="964"/>
      <c r="B193" s="137"/>
      <c r="C193" s="53">
        <f t="shared" si="28"/>
        <v>1</v>
      </c>
      <c r="D193" s="962"/>
      <c r="E193" s="53">
        <f t="shared" si="29"/>
        <v>1</v>
      </c>
      <c r="F193" s="962"/>
      <c r="G193" s="53">
        <f t="shared" si="30"/>
        <v>1</v>
      </c>
      <c r="H193" s="962"/>
      <c r="I193" s="53">
        <f t="shared" si="31"/>
        <v>1</v>
      </c>
      <c r="J193" s="962"/>
      <c r="K193" s="53">
        <f t="shared" si="32"/>
        <v>1</v>
      </c>
      <c r="L193" s="962"/>
      <c r="M193" s="53">
        <f t="shared" si="33"/>
        <v>1</v>
      </c>
      <c r="N193" s="962"/>
      <c r="O193" s="53">
        <f t="shared" si="34"/>
        <v>1</v>
      </c>
      <c r="P193" s="962"/>
      <c r="Q193" s="53">
        <f t="shared" si="35"/>
        <v>1</v>
      </c>
      <c r="R193" s="489">
        <f t="shared" si="36"/>
        <v>0</v>
      </c>
      <c r="S193" s="798">
        <f t="shared" si="37"/>
        <v>0</v>
      </c>
    </row>
    <row r="194" spans="1:19">
      <c r="A194" s="964"/>
      <c r="B194" s="137"/>
      <c r="C194" s="53">
        <f t="shared" si="28"/>
        <v>1</v>
      </c>
      <c r="D194" s="962"/>
      <c r="E194" s="53">
        <f t="shared" si="29"/>
        <v>1</v>
      </c>
      <c r="F194" s="962"/>
      <c r="G194" s="53">
        <f t="shared" si="30"/>
        <v>1</v>
      </c>
      <c r="H194" s="962"/>
      <c r="I194" s="53">
        <f t="shared" si="31"/>
        <v>1</v>
      </c>
      <c r="J194" s="962"/>
      <c r="K194" s="53">
        <f t="shared" si="32"/>
        <v>1</v>
      </c>
      <c r="L194" s="962"/>
      <c r="M194" s="53">
        <f t="shared" si="33"/>
        <v>1</v>
      </c>
      <c r="N194" s="962"/>
      <c r="O194" s="53">
        <f t="shared" si="34"/>
        <v>1</v>
      </c>
      <c r="P194" s="962"/>
      <c r="Q194" s="53">
        <f t="shared" si="35"/>
        <v>1</v>
      </c>
      <c r="R194" s="489">
        <f t="shared" si="36"/>
        <v>0</v>
      </c>
      <c r="S194" s="798">
        <f t="shared" si="37"/>
        <v>0</v>
      </c>
    </row>
    <row r="195" spans="1:19">
      <c r="A195" s="964"/>
      <c r="B195" s="137"/>
      <c r="C195" s="53">
        <f t="shared" si="28"/>
        <v>1</v>
      </c>
      <c r="D195" s="962"/>
      <c r="E195" s="53">
        <f t="shared" si="29"/>
        <v>1</v>
      </c>
      <c r="F195" s="962"/>
      <c r="G195" s="53">
        <f t="shared" si="30"/>
        <v>1</v>
      </c>
      <c r="H195" s="962"/>
      <c r="I195" s="53">
        <f t="shared" si="31"/>
        <v>1</v>
      </c>
      <c r="J195" s="962"/>
      <c r="K195" s="53">
        <f t="shared" si="32"/>
        <v>1</v>
      </c>
      <c r="L195" s="962"/>
      <c r="M195" s="53">
        <f t="shared" si="33"/>
        <v>1</v>
      </c>
      <c r="N195" s="962"/>
      <c r="O195" s="53">
        <f t="shared" si="34"/>
        <v>1</v>
      </c>
      <c r="P195" s="962"/>
      <c r="Q195" s="53">
        <f t="shared" si="35"/>
        <v>1</v>
      </c>
      <c r="R195" s="489">
        <f t="shared" si="36"/>
        <v>0</v>
      </c>
      <c r="S195" s="798">
        <f t="shared" si="37"/>
        <v>0</v>
      </c>
    </row>
    <row r="196" spans="1:19">
      <c r="A196" s="964"/>
      <c r="B196" s="137"/>
      <c r="C196" s="53">
        <f t="shared" si="28"/>
        <v>1</v>
      </c>
      <c r="D196" s="962"/>
      <c r="E196" s="53">
        <f t="shared" si="29"/>
        <v>1</v>
      </c>
      <c r="F196" s="962"/>
      <c r="G196" s="53">
        <f t="shared" si="30"/>
        <v>1</v>
      </c>
      <c r="H196" s="962"/>
      <c r="I196" s="53">
        <f t="shared" si="31"/>
        <v>1</v>
      </c>
      <c r="J196" s="962"/>
      <c r="K196" s="53">
        <f t="shared" si="32"/>
        <v>1</v>
      </c>
      <c r="L196" s="962"/>
      <c r="M196" s="53">
        <f t="shared" si="33"/>
        <v>1</v>
      </c>
      <c r="N196" s="962"/>
      <c r="O196" s="53">
        <f t="shared" si="34"/>
        <v>1</v>
      </c>
      <c r="P196" s="962"/>
      <c r="Q196" s="53">
        <f t="shared" si="35"/>
        <v>1</v>
      </c>
      <c r="R196" s="489">
        <f t="shared" si="36"/>
        <v>0</v>
      </c>
      <c r="S196" s="798">
        <f t="shared" si="37"/>
        <v>0</v>
      </c>
    </row>
    <row r="197" spans="1:19">
      <c r="A197" s="964"/>
      <c r="B197" s="137"/>
      <c r="C197" s="53">
        <f t="shared" si="28"/>
        <v>1</v>
      </c>
      <c r="D197" s="962"/>
      <c r="E197" s="53">
        <f t="shared" si="29"/>
        <v>1</v>
      </c>
      <c r="F197" s="962"/>
      <c r="G197" s="53">
        <f t="shared" si="30"/>
        <v>1</v>
      </c>
      <c r="H197" s="962"/>
      <c r="I197" s="53">
        <f t="shared" si="31"/>
        <v>1</v>
      </c>
      <c r="J197" s="962"/>
      <c r="K197" s="53">
        <f t="shared" si="32"/>
        <v>1</v>
      </c>
      <c r="L197" s="962"/>
      <c r="M197" s="53">
        <f t="shared" si="33"/>
        <v>1</v>
      </c>
      <c r="N197" s="962"/>
      <c r="O197" s="53">
        <f t="shared" si="34"/>
        <v>1</v>
      </c>
      <c r="P197" s="962"/>
      <c r="Q197" s="53">
        <f t="shared" si="35"/>
        <v>1</v>
      </c>
      <c r="R197" s="489">
        <f t="shared" si="36"/>
        <v>0</v>
      </c>
      <c r="S197" s="798">
        <f t="shared" si="37"/>
        <v>0</v>
      </c>
    </row>
    <row r="198" spans="1:19">
      <c r="A198" s="964"/>
      <c r="B198" s="137"/>
      <c r="C198" s="53">
        <f t="shared" si="28"/>
        <v>1</v>
      </c>
      <c r="D198" s="962"/>
      <c r="E198" s="53">
        <f t="shared" si="29"/>
        <v>1</v>
      </c>
      <c r="F198" s="962"/>
      <c r="G198" s="53">
        <f t="shared" si="30"/>
        <v>1</v>
      </c>
      <c r="H198" s="962"/>
      <c r="I198" s="53">
        <f t="shared" si="31"/>
        <v>1</v>
      </c>
      <c r="J198" s="962"/>
      <c r="K198" s="53">
        <f t="shared" si="32"/>
        <v>1</v>
      </c>
      <c r="L198" s="962"/>
      <c r="M198" s="53">
        <f t="shared" si="33"/>
        <v>1</v>
      </c>
      <c r="N198" s="962"/>
      <c r="O198" s="53">
        <f t="shared" si="34"/>
        <v>1</v>
      </c>
      <c r="P198" s="962"/>
      <c r="Q198" s="53">
        <f t="shared" si="35"/>
        <v>1</v>
      </c>
      <c r="R198" s="489">
        <f t="shared" si="36"/>
        <v>0</v>
      </c>
      <c r="S198" s="798">
        <f t="shared" si="37"/>
        <v>0</v>
      </c>
    </row>
    <row r="199" spans="1:19">
      <c r="A199" s="964"/>
      <c r="B199" s="137"/>
      <c r="C199" s="53">
        <f t="shared" si="28"/>
        <v>1</v>
      </c>
      <c r="D199" s="962"/>
      <c r="E199" s="53">
        <f t="shared" si="29"/>
        <v>1</v>
      </c>
      <c r="F199" s="962"/>
      <c r="G199" s="53">
        <f t="shared" si="30"/>
        <v>1</v>
      </c>
      <c r="H199" s="962"/>
      <c r="I199" s="53">
        <f t="shared" si="31"/>
        <v>1</v>
      </c>
      <c r="J199" s="962"/>
      <c r="K199" s="53">
        <f t="shared" si="32"/>
        <v>1</v>
      </c>
      <c r="L199" s="962"/>
      <c r="M199" s="53">
        <f t="shared" si="33"/>
        <v>1</v>
      </c>
      <c r="N199" s="962"/>
      <c r="O199" s="53">
        <f t="shared" si="34"/>
        <v>1</v>
      </c>
      <c r="P199" s="962"/>
      <c r="Q199" s="53">
        <f t="shared" si="35"/>
        <v>1</v>
      </c>
      <c r="R199" s="489">
        <f t="shared" si="36"/>
        <v>0</v>
      </c>
      <c r="S199" s="798">
        <f t="shared" si="37"/>
        <v>0</v>
      </c>
    </row>
    <row r="200" spans="1:19">
      <c r="A200" s="964"/>
      <c r="B200" s="137"/>
      <c r="C200" s="53">
        <f t="shared" si="28"/>
        <v>1</v>
      </c>
      <c r="D200" s="962"/>
      <c r="E200" s="53">
        <f t="shared" si="29"/>
        <v>1</v>
      </c>
      <c r="F200" s="962"/>
      <c r="G200" s="53">
        <f t="shared" si="30"/>
        <v>1</v>
      </c>
      <c r="H200" s="962"/>
      <c r="I200" s="53">
        <f t="shared" si="31"/>
        <v>1</v>
      </c>
      <c r="J200" s="962"/>
      <c r="K200" s="53">
        <f t="shared" si="32"/>
        <v>1</v>
      </c>
      <c r="L200" s="962"/>
      <c r="M200" s="53">
        <f t="shared" si="33"/>
        <v>1</v>
      </c>
      <c r="N200" s="962"/>
      <c r="O200" s="53">
        <f t="shared" si="34"/>
        <v>1</v>
      </c>
      <c r="P200" s="962"/>
      <c r="Q200" s="53">
        <f t="shared" si="35"/>
        <v>1</v>
      </c>
      <c r="R200" s="489">
        <f t="shared" si="36"/>
        <v>0</v>
      </c>
      <c r="S200" s="798">
        <f t="shared" si="37"/>
        <v>0</v>
      </c>
    </row>
    <row r="201" spans="1:19">
      <c r="A201" s="964"/>
      <c r="B201" s="137"/>
      <c r="C201" s="53">
        <f t="shared" si="28"/>
        <v>1</v>
      </c>
      <c r="D201" s="962"/>
      <c r="E201" s="53">
        <f t="shared" si="29"/>
        <v>1</v>
      </c>
      <c r="F201" s="962"/>
      <c r="G201" s="53">
        <f t="shared" si="30"/>
        <v>1</v>
      </c>
      <c r="H201" s="962"/>
      <c r="I201" s="53">
        <f t="shared" si="31"/>
        <v>1</v>
      </c>
      <c r="J201" s="962"/>
      <c r="K201" s="53">
        <f t="shared" si="32"/>
        <v>1</v>
      </c>
      <c r="L201" s="962"/>
      <c r="M201" s="53">
        <f t="shared" si="33"/>
        <v>1</v>
      </c>
      <c r="N201" s="962"/>
      <c r="O201" s="53">
        <f t="shared" si="34"/>
        <v>1</v>
      </c>
      <c r="P201" s="962"/>
      <c r="Q201" s="53">
        <f t="shared" si="35"/>
        <v>1</v>
      </c>
      <c r="R201" s="489">
        <f t="shared" si="36"/>
        <v>0</v>
      </c>
      <c r="S201" s="798">
        <f t="shared" si="37"/>
        <v>0</v>
      </c>
    </row>
    <row r="202" spans="1:19">
      <c r="A202" s="964"/>
      <c r="B202" s="137"/>
      <c r="C202" s="53">
        <f t="shared" si="28"/>
        <v>1</v>
      </c>
      <c r="D202" s="962"/>
      <c r="E202" s="53">
        <f t="shared" si="29"/>
        <v>1</v>
      </c>
      <c r="F202" s="962"/>
      <c r="G202" s="53">
        <f t="shared" si="30"/>
        <v>1</v>
      </c>
      <c r="H202" s="962"/>
      <c r="I202" s="53">
        <f t="shared" si="31"/>
        <v>1</v>
      </c>
      <c r="J202" s="962"/>
      <c r="K202" s="53">
        <f t="shared" si="32"/>
        <v>1</v>
      </c>
      <c r="L202" s="962"/>
      <c r="M202" s="53">
        <f t="shared" si="33"/>
        <v>1</v>
      </c>
      <c r="N202" s="962"/>
      <c r="O202" s="53">
        <f t="shared" si="34"/>
        <v>1</v>
      </c>
      <c r="P202" s="962"/>
      <c r="Q202" s="53">
        <f t="shared" si="35"/>
        <v>1</v>
      </c>
      <c r="R202" s="489">
        <f t="shared" si="36"/>
        <v>0</v>
      </c>
      <c r="S202" s="798">
        <f t="shared" si="37"/>
        <v>0</v>
      </c>
    </row>
    <row r="203" spans="1:19">
      <c r="A203" s="964"/>
      <c r="B203" s="137"/>
      <c r="C203" s="53">
        <f t="shared" si="28"/>
        <v>1</v>
      </c>
      <c r="D203" s="962"/>
      <c r="E203" s="53">
        <f t="shared" si="29"/>
        <v>1</v>
      </c>
      <c r="F203" s="962"/>
      <c r="G203" s="53">
        <f t="shared" si="30"/>
        <v>1</v>
      </c>
      <c r="H203" s="962"/>
      <c r="I203" s="53">
        <f t="shared" si="31"/>
        <v>1</v>
      </c>
      <c r="J203" s="962"/>
      <c r="K203" s="53">
        <f t="shared" si="32"/>
        <v>1</v>
      </c>
      <c r="L203" s="962"/>
      <c r="M203" s="53">
        <f t="shared" si="33"/>
        <v>1</v>
      </c>
      <c r="N203" s="962"/>
      <c r="O203" s="53">
        <f t="shared" si="34"/>
        <v>1</v>
      </c>
      <c r="P203" s="962"/>
      <c r="Q203" s="53">
        <f t="shared" si="35"/>
        <v>1</v>
      </c>
      <c r="R203" s="489">
        <f t="shared" si="36"/>
        <v>0</v>
      </c>
      <c r="S203" s="798">
        <f t="shared" si="37"/>
        <v>0</v>
      </c>
    </row>
    <row r="204" spans="1:19">
      <c r="A204" s="964"/>
      <c r="B204" s="137"/>
      <c r="C204" s="53">
        <f t="shared" si="28"/>
        <v>1</v>
      </c>
      <c r="D204" s="962"/>
      <c r="E204" s="53">
        <f t="shared" si="29"/>
        <v>1</v>
      </c>
      <c r="F204" s="962"/>
      <c r="G204" s="53">
        <f t="shared" si="30"/>
        <v>1</v>
      </c>
      <c r="H204" s="962"/>
      <c r="I204" s="53">
        <f t="shared" si="31"/>
        <v>1</v>
      </c>
      <c r="J204" s="962"/>
      <c r="K204" s="53">
        <f t="shared" si="32"/>
        <v>1</v>
      </c>
      <c r="L204" s="962"/>
      <c r="M204" s="53">
        <f t="shared" si="33"/>
        <v>1</v>
      </c>
      <c r="N204" s="962"/>
      <c r="O204" s="53">
        <f t="shared" si="34"/>
        <v>1</v>
      </c>
      <c r="P204" s="962"/>
      <c r="Q204" s="53">
        <f t="shared" si="35"/>
        <v>1</v>
      </c>
      <c r="R204" s="489">
        <f t="shared" si="36"/>
        <v>0</v>
      </c>
      <c r="S204" s="798">
        <f t="shared" si="37"/>
        <v>0</v>
      </c>
    </row>
    <row r="205" spans="1:19">
      <c r="A205" s="964"/>
      <c r="B205" s="137"/>
      <c r="C205" s="53">
        <f t="shared" si="28"/>
        <v>1</v>
      </c>
      <c r="D205" s="962"/>
      <c r="E205" s="53">
        <f t="shared" si="29"/>
        <v>1</v>
      </c>
      <c r="F205" s="962"/>
      <c r="G205" s="53">
        <f t="shared" si="30"/>
        <v>1</v>
      </c>
      <c r="H205" s="962"/>
      <c r="I205" s="53">
        <f t="shared" si="31"/>
        <v>1</v>
      </c>
      <c r="J205" s="962"/>
      <c r="K205" s="53">
        <f t="shared" si="32"/>
        <v>1</v>
      </c>
      <c r="L205" s="962"/>
      <c r="M205" s="53">
        <f t="shared" si="33"/>
        <v>1</v>
      </c>
      <c r="N205" s="962"/>
      <c r="O205" s="53">
        <f t="shared" si="34"/>
        <v>1</v>
      </c>
      <c r="P205" s="962"/>
      <c r="Q205" s="53">
        <f t="shared" si="35"/>
        <v>1</v>
      </c>
      <c r="R205" s="489">
        <f t="shared" si="36"/>
        <v>0</v>
      </c>
      <c r="S205" s="798">
        <f t="shared" si="37"/>
        <v>0</v>
      </c>
    </row>
    <row r="206" spans="1:19">
      <c r="A206" s="964"/>
      <c r="B206" s="137"/>
      <c r="C206" s="53">
        <f t="shared" si="28"/>
        <v>1</v>
      </c>
      <c r="D206" s="962"/>
      <c r="E206" s="53">
        <f t="shared" si="29"/>
        <v>1</v>
      </c>
      <c r="F206" s="962"/>
      <c r="G206" s="53">
        <f t="shared" si="30"/>
        <v>1</v>
      </c>
      <c r="H206" s="962"/>
      <c r="I206" s="53">
        <f t="shared" si="31"/>
        <v>1</v>
      </c>
      <c r="J206" s="962"/>
      <c r="K206" s="53">
        <f t="shared" si="32"/>
        <v>1</v>
      </c>
      <c r="L206" s="962"/>
      <c r="M206" s="53">
        <f t="shared" si="33"/>
        <v>1</v>
      </c>
      <c r="N206" s="962"/>
      <c r="O206" s="53">
        <f t="shared" si="34"/>
        <v>1</v>
      </c>
      <c r="P206" s="962"/>
      <c r="Q206" s="53">
        <f t="shared" si="35"/>
        <v>1</v>
      </c>
      <c r="R206" s="489">
        <f t="shared" si="36"/>
        <v>0</v>
      </c>
      <c r="S206" s="798">
        <f t="shared" si="37"/>
        <v>0</v>
      </c>
    </row>
    <row r="207" spans="1:19">
      <c r="A207" s="964"/>
      <c r="B207" s="137"/>
      <c r="C207" s="53">
        <f t="shared" si="28"/>
        <v>1</v>
      </c>
      <c r="D207" s="962"/>
      <c r="E207" s="53">
        <f t="shared" si="29"/>
        <v>1</v>
      </c>
      <c r="F207" s="962"/>
      <c r="G207" s="53">
        <f t="shared" si="30"/>
        <v>1</v>
      </c>
      <c r="H207" s="962"/>
      <c r="I207" s="53">
        <f t="shared" si="31"/>
        <v>1</v>
      </c>
      <c r="J207" s="962"/>
      <c r="K207" s="53">
        <f t="shared" si="32"/>
        <v>1</v>
      </c>
      <c r="L207" s="962"/>
      <c r="M207" s="53">
        <f t="shared" si="33"/>
        <v>1</v>
      </c>
      <c r="N207" s="962"/>
      <c r="O207" s="53">
        <f t="shared" si="34"/>
        <v>1</v>
      </c>
      <c r="P207" s="962"/>
      <c r="Q207" s="53">
        <f t="shared" si="35"/>
        <v>1</v>
      </c>
      <c r="R207" s="489">
        <f t="shared" si="36"/>
        <v>0</v>
      </c>
      <c r="S207" s="798">
        <f t="shared" si="37"/>
        <v>0</v>
      </c>
    </row>
    <row r="208" spans="1:19">
      <c r="A208" s="964"/>
      <c r="B208" s="137"/>
      <c r="C208" s="53">
        <f t="shared" si="28"/>
        <v>1</v>
      </c>
      <c r="D208" s="962"/>
      <c r="E208" s="53">
        <f t="shared" si="29"/>
        <v>1</v>
      </c>
      <c r="F208" s="962"/>
      <c r="G208" s="53">
        <f t="shared" si="30"/>
        <v>1</v>
      </c>
      <c r="H208" s="962"/>
      <c r="I208" s="53">
        <f t="shared" si="31"/>
        <v>1</v>
      </c>
      <c r="J208" s="962"/>
      <c r="K208" s="53">
        <f t="shared" si="32"/>
        <v>1</v>
      </c>
      <c r="L208" s="962"/>
      <c r="M208" s="53">
        <f t="shared" si="33"/>
        <v>1</v>
      </c>
      <c r="N208" s="962"/>
      <c r="O208" s="53">
        <f t="shared" si="34"/>
        <v>1</v>
      </c>
      <c r="P208" s="962"/>
      <c r="Q208" s="53">
        <f t="shared" si="35"/>
        <v>1</v>
      </c>
      <c r="R208" s="489">
        <f t="shared" si="36"/>
        <v>0</v>
      </c>
      <c r="S208" s="798">
        <f t="shared" si="37"/>
        <v>0</v>
      </c>
    </row>
    <row r="209" spans="1:19">
      <c r="A209" s="964"/>
      <c r="B209" s="137"/>
      <c r="C209" s="53">
        <f t="shared" si="28"/>
        <v>1</v>
      </c>
      <c r="D209" s="962"/>
      <c r="E209" s="53">
        <f t="shared" si="29"/>
        <v>1</v>
      </c>
      <c r="F209" s="962"/>
      <c r="G209" s="53">
        <f t="shared" si="30"/>
        <v>1</v>
      </c>
      <c r="H209" s="962"/>
      <c r="I209" s="53">
        <f t="shared" si="31"/>
        <v>1</v>
      </c>
      <c r="J209" s="962"/>
      <c r="K209" s="53">
        <f t="shared" si="32"/>
        <v>1</v>
      </c>
      <c r="L209" s="962"/>
      <c r="M209" s="53">
        <f t="shared" si="33"/>
        <v>1</v>
      </c>
      <c r="N209" s="962"/>
      <c r="O209" s="53">
        <f t="shared" si="34"/>
        <v>1</v>
      </c>
      <c r="P209" s="962"/>
      <c r="Q209" s="53">
        <f t="shared" si="35"/>
        <v>1</v>
      </c>
      <c r="R209" s="489">
        <f t="shared" si="36"/>
        <v>0</v>
      </c>
      <c r="S209" s="798">
        <f t="shared" si="37"/>
        <v>0</v>
      </c>
    </row>
    <row r="210" spans="1:19">
      <c r="A210" s="964"/>
      <c r="B210" s="137"/>
      <c r="C210" s="53">
        <f t="shared" si="28"/>
        <v>1</v>
      </c>
      <c r="D210" s="962"/>
      <c r="E210" s="53">
        <f t="shared" si="29"/>
        <v>1</v>
      </c>
      <c r="F210" s="962"/>
      <c r="G210" s="53">
        <f t="shared" si="30"/>
        <v>1</v>
      </c>
      <c r="H210" s="962"/>
      <c r="I210" s="53">
        <f t="shared" si="31"/>
        <v>1</v>
      </c>
      <c r="J210" s="962"/>
      <c r="K210" s="53">
        <f t="shared" si="32"/>
        <v>1</v>
      </c>
      <c r="L210" s="962"/>
      <c r="M210" s="53">
        <f t="shared" si="33"/>
        <v>1</v>
      </c>
      <c r="N210" s="962"/>
      <c r="O210" s="53">
        <f t="shared" si="34"/>
        <v>1</v>
      </c>
      <c r="P210" s="962"/>
      <c r="Q210" s="53">
        <f t="shared" si="35"/>
        <v>1</v>
      </c>
      <c r="R210" s="489">
        <f t="shared" si="36"/>
        <v>0</v>
      </c>
      <c r="S210" s="798">
        <f t="shared" si="37"/>
        <v>0</v>
      </c>
    </row>
    <row r="211" spans="1:19">
      <c r="A211" s="964"/>
      <c r="B211" s="137"/>
      <c r="C211" s="53">
        <f t="shared" si="28"/>
        <v>1</v>
      </c>
      <c r="D211" s="962"/>
      <c r="E211" s="53">
        <f t="shared" si="29"/>
        <v>1</v>
      </c>
      <c r="F211" s="962"/>
      <c r="G211" s="53">
        <f t="shared" si="30"/>
        <v>1</v>
      </c>
      <c r="H211" s="962"/>
      <c r="I211" s="53">
        <f t="shared" si="31"/>
        <v>1</v>
      </c>
      <c r="J211" s="962"/>
      <c r="K211" s="53">
        <f t="shared" si="32"/>
        <v>1</v>
      </c>
      <c r="L211" s="962"/>
      <c r="M211" s="53">
        <f t="shared" si="33"/>
        <v>1</v>
      </c>
      <c r="N211" s="962"/>
      <c r="O211" s="53">
        <f t="shared" si="34"/>
        <v>1</v>
      </c>
      <c r="P211" s="962"/>
      <c r="Q211" s="53">
        <f t="shared" si="35"/>
        <v>1</v>
      </c>
      <c r="R211" s="489">
        <f t="shared" si="36"/>
        <v>0</v>
      </c>
      <c r="S211" s="798">
        <f t="shared" si="37"/>
        <v>0</v>
      </c>
    </row>
    <row r="212" spans="1:19">
      <c r="A212" s="964"/>
      <c r="B212" s="137"/>
      <c r="C212" s="53">
        <f t="shared" si="28"/>
        <v>1</v>
      </c>
      <c r="D212" s="962"/>
      <c r="E212" s="53">
        <f t="shared" si="29"/>
        <v>1</v>
      </c>
      <c r="F212" s="962"/>
      <c r="G212" s="53">
        <f t="shared" si="30"/>
        <v>1</v>
      </c>
      <c r="H212" s="962"/>
      <c r="I212" s="53">
        <f t="shared" si="31"/>
        <v>1</v>
      </c>
      <c r="J212" s="962"/>
      <c r="K212" s="53">
        <f t="shared" si="32"/>
        <v>1</v>
      </c>
      <c r="L212" s="962"/>
      <c r="M212" s="53">
        <f t="shared" si="33"/>
        <v>1</v>
      </c>
      <c r="N212" s="962"/>
      <c r="O212" s="53">
        <f t="shared" si="34"/>
        <v>1</v>
      </c>
      <c r="P212" s="962"/>
      <c r="Q212" s="53">
        <f t="shared" si="35"/>
        <v>1</v>
      </c>
      <c r="R212" s="489">
        <f t="shared" si="36"/>
        <v>0</v>
      </c>
      <c r="S212" s="798">
        <f t="shared" si="37"/>
        <v>0</v>
      </c>
    </row>
    <row r="213" spans="1:19">
      <c r="A213" s="964"/>
      <c r="B213" s="137"/>
      <c r="C213" s="53">
        <f t="shared" si="28"/>
        <v>1</v>
      </c>
      <c r="D213" s="962"/>
      <c r="E213" s="53">
        <f t="shared" si="29"/>
        <v>1</v>
      </c>
      <c r="F213" s="962"/>
      <c r="G213" s="53">
        <f t="shared" si="30"/>
        <v>1</v>
      </c>
      <c r="H213" s="962"/>
      <c r="I213" s="53">
        <f t="shared" si="31"/>
        <v>1</v>
      </c>
      <c r="J213" s="962"/>
      <c r="K213" s="53">
        <f t="shared" si="32"/>
        <v>1</v>
      </c>
      <c r="L213" s="962"/>
      <c r="M213" s="53">
        <f t="shared" si="33"/>
        <v>1</v>
      </c>
      <c r="N213" s="962"/>
      <c r="O213" s="53">
        <f t="shared" si="34"/>
        <v>1</v>
      </c>
      <c r="P213" s="962"/>
      <c r="Q213" s="53">
        <f t="shared" si="35"/>
        <v>1</v>
      </c>
      <c r="R213" s="489">
        <f t="shared" si="36"/>
        <v>0</v>
      </c>
      <c r="S213" s="798">
        <f t="shared" si="37"/>
        <v>0</v>
      </c>
    </row>
    <row r="214" spans="1:19">
      <c r="A214" s="964"/>
      <c r="B214" s="137"/>
      <c r="C214" s="53">
        <f t="shared" si="28"/>
        <v>1</v>
      </c>
      <c r="D214" s="962"/>
      <c r="E214" s="53">
        <f t="shared" si="29"/>
        <v>1</v>
      </c>
      <c r="F214" s="962"/>
      <c r="G214" s="53">
        <f t="shared" si="30"/>
        <v>1</v>
      </c>
      <c r="H214" s="962"/>
      <c r="I214" s="53">
        <f t="shared" si="31"/>
        <v>1</v>
      </c>
      <c r="J214" s="962"/>
      <c r="K214" s="53">
        <f t="shared" si="32"/>
        <v>1</v>
      </c>
      <c r="L214" s="962"/>
      <c r="M214" s="53">
        <f t="shared" si="33"/>
        <v>1</v>
      </c>
      <c r="N214" s="962"/>
      <c r="O214" s="53">
        <f t="shared" si="34"/>
        <v>1</v>
      </c>
      <c r="P214" s="962"/>
      <c r="Q214" s="53">
        <f t="shared" si="35"/>
        <v>1</v>
      </c>
      <c r="R214" s="489">
        <f t="shared" si="36"/>
        <v>0</v>
      </c>
      <c r="S214" s="798">
        <f t="shared" si="37"/>
        <v>0</v>
      </c>
    </row>
    <row r="215" spans="1:19">
      <c r="A215" s="964"/>
      <c r="B215" s="137"/>
      <c r="C215" s="53">
        <f t="shared" si="28"/>
        <v>1</v>
      </c>
      <c r="D215" s="962"/>
      <c r="E215" s="53">
        <f t="shared" si="29"/>
        <v>1</v>
      </c>
      <c r="F215" s="962"/>
      <c r="G215" s="53">
        <f t="shared" si="30"/>
        <v>1</v>
      </c>
      <c r="H215" s="962"/>
      <c r="I215" s="53">
        <f t="shared" si="31"/>
        <v>1</v>
      </c>
      <c r="J215" s="962"/>
      <c r="K215" s="53">
        <f t="shared" si="32"/>
        <v>1</v>
      </c>
      <c r="L215" s="962"/>
      <c r="M215" s="53">
        <f t="shared" si="33"/>
        <v>1</v>
      </c>
      <c r="N215" s="962"/>
      <c r="O215" s="53">
        <f t="shared" si="34"/>
        <v>1</v>
      </c>
      <c r="P215" s="962"/>
      <c r="Q215" s="53">
        <f t="shared" si="35"/>
        <v>1</v>
      </c>
      <c r="R215" s="489">
        <f t="shared" si="36"/>
        <v>0</v>
      </c>
      <c r="S215" s="798">
        <f t="shared" si="37"/>
        <v>0</v>
      </c>
    </row>
    <row r="216" spans="1:19">
      <c r="A216" s="964"/>
      <c r="B216" s="137"/>
      <c r="C216" s="53">
        <f t="shared" si="28"/>
        <v>1</v>
      </c>
      <c r="D216" s="962"/>
      <c r="E216" s="53">
        <f t="shared" si="29"/>
        <v>1</v>
      </c>
      <c r="F216" s="962"/>
      <c r="G216" s="53">
        <f t="shared" si="30"/>
        <v>1</v>
      </c>
      <c r="H216" s="962"/>
      <c r="I216" s="53">
        <f t="shared" si="31"/>
        <v>1</v>
      </c>
      <c r="J216" s="962"/>
      <c r="K216" s="53">
        <f t="shared" si="32"/>
        <v>1</v>
      </c>
      <c r="L216" s="962"/>
      <c r="M216" s="53">
        <f t="shared" si="33"/>
        <v>1</v>
      </c>
      <c r="N216" s="962"/>
      <c r="O216" s="53">
        <f t="shared" si="34"/>
        <v>1</v>
      </c>
      <c r="P216" s="962"/>
      <c r="Q216" s="53">
        <f t="shared" si="35"/>
        <v>1</v>
      </c>
      <c r="R216" s="489">
        <f t="shared" si="36"/>
        <v>0</v>
      </c>
      <c r="S216" s="798">
        <f t="shared" si="37"/>
        <v>0</v>
      </c>
    </row>
    <row r="217" spans="1:19">
      <c r="A217" s="964"/>
      <c r="B217" s="137"/>
      <c r="C217" s="53">
        <f t="shared" si="28"/>
        <v>1</v>
      </c>
      <c r="D217" s="962"/>
      <c r="E217" s="53">
        <f t="shared" si="29"/>
        <v>1</v>
      </c>
      <c r="F217" s="962"/>
      <c r="G217" s="53">
        <f t="shared" si="30"/>
        <v>1</v>
      </c>
      <c r="H217" s="962"/>
      <c r="I217" s="53">
        <f t="shared" si="31"/>
        <v>1</v>
      </c>
      <c r="J217" s="962"/>
      <c r="K217" s="53">
        <f t="shared" si="32"/>
        <v>1</v>
      </c>
      <c r="L217" s="962"/>
      <c r="M217" s="53">
        <f t="shared" si="33"/>
        <v>1</v>
      </c>
      <c r="N217" s="962"/>
      <c r="O217" s="53">
        <f t="shared" si="34"/>
        <v>1</v>
      </c>
      <c r="P217" s="962"/>
      <c r="Q217" s="53">
        <f t="shared" si="35"/>
        <v>1</v>
      </c>
      <c r="R217" s="489">
        <f t="shared" si="36"/>
        <v>0</v>
      </c>
      <c r="S217" s="798">
        <f t="shared" si="37"/>
        <v>0</v>
      </c>
    </row>
    <row r="218" spans="1:19">
      <c r="A218" s="964"/>
      <c r="B218" s="137"/>
      <c r="C218" s="53">
        <f t="shared" ref="C218:C281" si="38">IF(B218="",1,(LOOKUP(B218,$3:$3,$4:$4)-LOOKUP($B$24,$3:$3,$4:$4)+100)/100)</f>
        <v>1</v>
      </c>
      <c r="D218" s="962"/>
      <c r="E218" s="53">
        <f t="shared" ref="E218:E281" si="39">(SUMIF($5:$5,D218,$6:$6)-SUMIF($5:$5,$D$24,$6:$6)+100)/100</f>
        <v>1</v>
      </c>
      <c r="F218" s="962"/>
      <c r="G218" s="53">
        <f t="shared" ref="G218:G281" si="40">(SUMIF($7:$7,F218,$8:$8)-SUMIF($7:$7,$F$24,$8:$8)+100)/100</f>
        <v>1</v>
      </c>
      <c r="H218" s="962"/>
      <c r="I218" s="53">
        <f t="shared" ref="I218:I281" si="41">(SUMIF($9:$9,H218,$10:$10)-SUMIF($9:$9,$H$24,$10:$10)+100)/100</f>
        <v>1</v>
      </c>
      <c r="J218" s="962"/>
      <c r="K218" s="53">
        <f t="shared" ref="K218:K281" si="42">(SUMIF($11:$11,J218,$12:$12)-SUMIF($11:$11,$J$24,$12:$12)+100)/100</f>
        <v>1</v>
      </c>
      <c r="L218" s="962"/>
      <c r="M218" s="53">
        <f t="shared" ref="M218:M281" si="43">(SUMIF($13:$13,L218,$14:$14)-SUMIF($13:$13,$L$24,$14:$14)+100)/100</f>
        <v>1</v>
      </c>
      <c r="N218" s="962"/>
      <c r="O218" s="53">
        <f t="shared" ref="O218:O281" si="44">(SUMIF($15:$15,N218,$16:$16)-SUMIF($15:$15,$N$24,$16:$16)+100)/100</f>
        <v>1</v>
      </c>
      <c r="P218" s="962"/>
      <c r="Q218" s="53">
        <f t="shared" ref="Q218:Q281" si="45">(SUMIF($17:$17,P218,$18:$18)-SUMIF($17:$17,$P$24,$18:$18)+100)/100</f>
        <v>1</v>
      </c>
      <c r="R218" s="489">
        <f t="shared" ref="R218:R281" si="46">IF(B218="",0,ROUND($R$24*C218*E218*G218*I218*K218*M218*O218*Q218,0))</f>
        <v>0</v>
      </c>
      <c r="S218" s="798">
        <f t="shared" si="37"/>
        <v>0</v>
      </c>
    </row>
    <row r="219" spans="1:19">
      <c r="A219" s="964"/>
      <c r="B219" s="137"/>
      <c r="C219" s="53">
        <f t="shared" si="38"/>
        <v>1</v>
      </c>
      <c r="D219" s="962"/>
      <c r="E219" s="53">
        <f t="shared" si="39"/>
        <v>1</v>
      </c>
      <c r="F219" s="962"/>
      <c r="G219" s="53">
        <f t="shared" si="40"/>
        <v>1</v>
      </c>
      <c r="H219" s="962"/>
      <c r="I219" s="53">
        <f t="shared" si="41"/>
        <v>1</v>
      </c>
      <c r="J219" s="962"/>
      <c r="K219" s="53">
        <f t="shared" si="42"/>
        <v>1</v>
      </c>
      <c r="L219" s="962"/>
      <c r="M219" s="53">
        <f t="shared" si="43"/>
        <v>1</v>
      </c>
      <c r="N219" s="962"/>
      <c r="O219" s="53">
        <f t="shared" si="44"/>
        <v>1</v>
      </c>
      <c r="P219" s="962"/>
      <c r="Q219" s="53">
        <f t="shared" si="45"/>
        <v>1</v>
      </c>
      <c r="R219" s="489">
        <f t="shared" si="46"/>
        <v>0</v>
      </c>
      <c r="S219" s="798">
        <f t="shared" si="37"/>
        <v>0</v>
      </c>
    </row>
    <row r="220" spans="1:19">
      <c r="A220" s="964"/>
      <c r="B220" s="137"/>
      <c r="C220" s="53">
        <f t="shared" si="38"/>
        <v>1</v>
      </c>
      <c r="D220" s="962"/>
      <c r="E220" s="53">
        <f t="shared" si="39"/>
        <v>1</v>
      </c>
      <c r="F220" s="962"/>
      <c r="G220" s="53">
        <f t="shared" si="40"/>
        <v>1</v>
      </c>
      <c r="H220" s="962"/>
      <c r="I220" s="53">
        <f t="shared" si="41"/>
        <v>1</v>
      </c>
      <c r="J220" s="962"/>
      <c r="K220" s="53">
        <f t="shared" si="42"/>
        <v>1</v>
      </c>
      <c r="L220" s="962"/>
      <c r="M220" s="53">
        <f t="shared" si="43"/>
        <v>1</v>
      </c>
      <c r="N220" s="962"/>
      <c r="O220" s="53">
        <f t="shared" si="44"/>
        <v>1</v>
      </c>
      <c r="P220" s="962"/>
      <c r="Q220" s="53">
        <f t="shared" si="45"/>
        <v>1</v>
      </c>
      <c r="R220" s="489">
        <f t="shared" si="46"/>
        <v>0</v>
      </c>
      <c r="S220" s="798">
        <f t="shared" si="37"/>
        <v>0</v>
      </c>
    </row>
    <row r="221" spans="1:19">
      <c r="A221" s="964"/>
      <c r="B221" s="137"/>
      <c r="C221" s="53">
        <f t="shared" si="38"/>
        <v>1</v>
      </c>
      <c r="D221" s="962"/>
      <c r="E221" s="53">
        <f t="shared" si="39"/>
        <v>1</v>
      </c>
      <c r="F221" s="962"/>
      <c r="G221" s="53">
        <f t="shared" si="40"/>
        <v>1</v>
      </c>
      <c r="H221" s="962"/>
      <c r="I221" s="53">
        <f t="shared" si="41"/>
        <v>1</v>
      </c>
      <c r="J221" s="962"/>
      <c r="K221" s="53">
        <f t="shared" si="42"/>
        <v>1</v>
      </c>
      <c r="L221" s="962"/>
      <c r="M221" s="53">
        <f t="shared" si="43"/>
        <v>1</v>
      </c>
      <c r="N221" s="962"/>
      <c r="O221" s="53">
        <f t="shared" si="44"/>
        <v>1</v>
      </c>
      <c r="P221" s="962"/>
      <c r="Q221" s="53">
        <f t="shared" si="45"/>
        <v>1</v>
      </c>
      <c r="R221" s="489">
        <f t="shared" si="46"/>
        <v>0</v>
      </c>
      <c r="S221" s="798">
        <f t="shared" si="37"/>
        <v>0</v>
      </c>
    </row>
    <row r="222" spans="1:19">
      <c r="A222" s="964"/>
      <c r="B222" s="137"/>
      <c r="C222" s="53">
        <f t="shared" si="38"/>
        <v>1</v>
      </c>
      <c r="D222" s="962"/>
      <c r="E222" s="53">
        <f t="shared" si="39"/>
        <v>1</v>
      </c>
      <c r="F222" s="962"/>
      <c r="G222" s="53">
        <f t="shared" si="40"/>
        <v>1</v>
      </c>
      <c r="H222" s="962"/>
      <c r="I222" s="53">
        <f t="shared" si="41"/>
        <v>1</v>
      </c>
      <c r="J222" s="962"/>
      <c r="K222" s="53">
        <f t="shared" si="42"/>
        <v>1</v>
      </c>
      <c r="L222" s="962"/>
      <c r="M222" s="53">
        <f t="shared" si="43"/>
        <v>1</v>
      </c>
      <c r="N222" s="962"/>
      <c r="O222" s="53">
        <f t="shared" si="44"/>
        <v>1</v>
      </c>
      <c r="P222" s="962"/>
      <c r="Q222" s="53">
        <f t="shared" si="45"/>
        <v>1</v>
      </c>
      <c r="R222" s="489">
        <f t="shared" si="46"/>
        <v>0</v>
      </c>
      <c r="S222" s="798">
        <f t="shared" si="37"/>
        <v>0</v>
      </c>
    </row>
    <row r="223" spans="1:19">
      <c r="A223" s="964"/>
      <c r="B223" s="137"/>
      <c r="C223" s="53">
        <f t="shared" si="38"/>
        <v>1</v>
      </c>
      <c r="D223" s="962"/>
      <c r="E223" s="53">
        <f t="shared" si="39"/>
        <v>1</v>
      </c>
      <c r="F223" s="962"/>
      <c r="G223" s="53">
        <f t="shared" si="40"/>
        <v>1</v>
      </c>
      <c r="H223" s="962"/>
      <c r="I223" s="53">
        <f t="shared" si="41"/>
        <v>1</v>
      </c>
      <c r="J223" s="962"/>
      <c r="K223" s="53">
        <f t="shared" si="42"/>
        <v>1</v>
      </c>
      <c r="L223" s="962"/>
      <c r="M223" s="53">
        <f t="shared" si="43"/>
        <v>1</v>
      </c>
      <c r="N223" s="962"/>
      <c r="O223" s="53">
        <f t="shared" si="44"/>
        <v>1</v>
      </c>
      <c r="P223" s="962"/>
      <c r="Q223" s="53">
        <f t="shared" si="45"/>
        <v>1</v>
      </c>
      <c r="R223" s="489">
        <f t="shared" si="46"/>
        <v>0</v>
      </c>
      <c r="S223" s="798">
        <f t="shared" ref="S223:S286" si="47">ROUND(R223*B223/10000,0)</f>
        <v>0</v>
      </c>
    </row>
    <row r="224" spans="1:19">
      <c r="A224" s="964"/>
      <c r="B224" s="137"/>
      <c r="C224" s="53">
        <f t="shared" si="38"/>
        <v>1</v>
      </c>
      <c r="D224" s="962"/>
      <c r="E224" s="53">
        <f t="shared" si="39"/>
        <v>1</v>
      </c>
      <c r="F224" s="962"/>
      <c r="G224" s="53">
        <f t="shared" si="40"/>
        <v>1</v>
      </c>
      <c r="H224" s="962"/>
      <c r="I224" s="53">
        <f t="shared" si="41"/>
        <v>1</v>
      </c>
      <c r="J224" s="962"/>
      <c r="K224" s="53">
        <f t="shared" si="42"/>
        <v>1</v>
      </c>
      <c r="L224" s="962"/>
      <c r="M224" s="53">
        <f t="shared" si="43"/>
        <v>1</v>
      </c>
      <c r="N224" s="962"/>
      <c r="O224" s="53">
        <f t="shared" si="44"/>
        <v>1</v>
      </c>
      <c r="P224" s="962"/>
      <c r="Q224" s="53">
        <f t="shared" si="45"/>
        <v>1</v>
      </c>
      <c r="R224" s="489">
        <f t="shared" si="46"/>
        <v>0</v>
      </c>
      <c r="S224" s="798">
        <f t="shared" si="47"/>
        <v>0</v>
      </c>
    </row>
    <row r="225" spans="1:19">
      <c r="A225" s="964"/>
      <c r="B225" s="137"/>
      <c r="C225" s="53">
        <f t="shared" si="38"/>
        <v>1</v>
      </c>
      <c r="D225" s="962"/>
      <c r="E225" s="53">
        <f t="shared" si="39"/>
        <v>1</v>
      </c>
      <c r="F225" s="962"/>
      <c r="G225" s="53">
        <f t="shared" si="40"/>
        <v>1</v>
      </c>
      <c r="H225" s="962"/>
      <c r="I225" s="53">
        <f t="shared" si="41"/>
        <v>1</v>
      </c>
      <c r="J225" s="962"/>
      <c r="K225" s="53">
        <f t="shared" si="42"/>
        <v>1</v>
      </c>
      <c r="L225" s="962"/>
      <c r="M225" s="53">
        <f t="shared" si="43"/>
        <v>1</v>
      </c>
      <c r="N225" s="962"/>
      <c r="O225" s="53">
        <f t="shared" si="44"/>
        <v>1</v>
      </c>
      <c r="P225" s="962"/>
      <c r="Q225" s="53">
        <f t="shared" si="45"/>
        <v>1</v>
      </c>
      <c r="R225" s="489">
        <f t="shared" si="46"/>
        <v>0</v>
      </c>
      <c r="S225" s="798">
        <f t="shared" si="47"/>
        <v>0</v>
      </c>
    </row>
    <row r="226" spans="1:19">
      <c r="A226" s="964"/>
      <c r="B226" s="137"/>
      <c r="C226" s="53">
        <f t="shared" si="38"/>
        <v>1</v>
      </c>
      <c r="D226" s="962"/>
      <c r="E226" s="53">
        <f t="shared" si="39"/>
        <v>1</v>
      </c>
      <c r="F226" s="962"/>
      <c r="G226" s="53">
        <f t="shared" si="40"/>
        <v>1</v>
      </c>
      <c r="H226" s="962"/>
      <c r="I226" s="53">
        <f t="shared" si="41"/>
        <v>1</v>
      </c>
      <c r="J226" s="962"/>
      <c r="K226" s="53">
        <f t="shared" si="42"/>
        <v>1</v>
      </c>
      <c r="L226" s="962"/>
      <c r="M226" s="53">
        <f t="shared" si="43"/>
        <v>1</v>
      </c>
      <c r="N226" s="962"/>
      <c r="O226" s="53">
        <f t="shared" si="44"/>
        <v>1</v>
      </c>
      <c r="P226" s="962"/>
      <c r="Q226" s="53">
        <f t="shared" si="45"/>
        <v>1</v>
      </c>
      <c r="R226" s="489">
        <f t="shared" si="46"/>
        <v>0</v>
      </c>
      <c r="S226" s="798">
        <f t="shared" si="47"/>
        <v>0</v>
      </c>
    </row>
    <row r="227" spans="1:19">
      <c r="A227" s="964"/>
      <c r="B227" s="137"/>
      <c r="C227" s="53">
        <f t="shared" si="38"/>
        <v>1</v>
      </c>
      <c r="D227" s="962"/>
      <c r="E227" s="53">
        <f t="shared" si="39"/>
        <v>1</v>
      </c>
      <c r="F227" s="962"/>
      <c r="G227" s="53">
        <f t="shared" si="40"/>
        <v>1</v>
      </c>
      <c r="H227" s="962"/>
      <c r="I227" s="53">
        <f t="shared" si="41"/>
        <v>1</v>
      </c>
      <c r="J227" s="962"/>
      <c r="K227" s="53">
        <f t="shared" si="42"/>
        <v>1</v>
      </c>
      <c r="L227" s="962"/>
      <c r="M227" s="53">
        <f t="shared" si="43"/>
        <v>1</v>
      </c>
      <c r="N227" s="962"/>
      <c r="O227" s="53">
        <f t="shared" si="44"/>
        <v>1</v>
      </c>
      <c r="P227" s="962"/>
      <c r="Q227" s="53">
        <f t="shared" si="45"/>
        <v>1</v>
      </c>
      <c r="R227" s="489">
        <f t="shared" si="46"/>
        <v>0</v>
      </c>
      <c r="S227" s="798">
        <f t="shared" si="47"/>
        <v>0</v>
      </c>
    </row>
    <row r="228" spans="1:19">
      <c r="A228" s="964"/>
      <c r="B228" s="137"/>
      <c r="C228" s="53">
        <f t="shared" si="38"/>
        <v>1</v>
      </c>
      <c r="D228" s="962"/>
      <c r="E228" s="53">
        <f t="shared" si="39"/>
        <v>1</v>
      </c>
      <c r="F228" s="962"/>
      <c r="G228" s="53">
        <f t="shared" si="40"/>
        <v>1</v>
      </c>
      <c r="H228" s="962"/>
      <c r="I228" s="53">
        <f t="shared" si="41"/>
        <v>1</v>
      </c>
      <c r="J228" s="962"/>
      <c r="K228" s="53">
        <f t="shared" si="42"/>
        <v>1</v>
      </c>
      <c r="L228" s="962"/>
      <c r="M228" s="53">
        <f t="shared" si="43"/>
        <v>1</v>
      </c>
      <c r="N228" s="962"/>
      <c r="O228" s="53">
        <f t="shared" si="44"/>
        <v>1</v>
      </c>
      <c r="P228" s="962"/>
      <c r="Q228" s="53">
        <f t="shared" si="45"/>
        <v>1</v>
      </c>
      <c r="R228" s="489">
        <f t="shared" si="46"/>
        <v>0</v>
      </c>
      <c r="S228" s="798">
        <f t="shared" si="47"/>
        <v>0</v>
      </c>
    </row>
    <row r="229" spans="1:19">
      <c r="A229" s="964"/>
      <c r="B229" s="137"/>
      <c r="C229" s="53">
        <f t="shared" si="38"/>
        <v>1</v>
      </c>
      <c r="D229" s="962"/>
      <c r="E229" s="53">
        <f t="shared" si="39"/>
        <v>1</v>
      </c>
      <c r="F229" s="962"/>
      <c r="G229" s="53">
        <f t="shared" si="40"/>
        <v>1</v>
      </c>
      <c r="H229" s="962"/>
      <c r="I229" s="53">
        <f t="shared" si="41"/>
        <v>1</v>
      </c>
      <c r="J229" s="962"/>
      <c r="K229" s="53">
        <f t="shared" si="42"/>
        <v>1</v>
      </c>
      <c r="L229" s="962"/>
      <c r="M229" s="53">
        <f t="shared" si="43"/>
        <v>1</v>
      </c>
      <c r="N229" s="962"/>
      <c r="O229" s="53">
        <f t="shared" si="44"/>
        <v>1</v>
      </c>
      <c r="P229" s="962"/>
      <c r="Q229" s="53">
        <f t="shared" si="45"/>
        <v>1</v>
      </c>
      <c r="R229" s="489">
        <f t="shared" si="46"/>
        <v>0</v>
      </c>
      <c r="S229" s="798">
        <f t="shared" si="47"/>
        <v>0</v>
      </c>
    </row>
    <row r="230" spans="1:19">
      <c r="A230" s="964"/>
      <c r="B230" s="137"/>
      <c r="C230" s="53">
        <f t="shared" si="38"/>
        <v>1</v>
      </c>
      <c r="D230" s="962"/>
      <c r="E230" s="53">
        <f t="shared" si="39"/>
        <v>1</v>
      </c>
      <c r="F230" s="962"/>
      <c r="G230" s="53">
        <f t="shared" si="40"/>
        <v>1</v>
      </c>
      <c r="H230" s="962"/>
      <c r="I230" s="53">
        <f t="shared" si="41"/>
        <v>1</v>
      </c>
      <c r="J230" s="962"/>
      <c r="K230" s="53">
        <f t="shared" si="42"/>
        <v>1</v>
      </c>
      <c r="L230" s="962"/>
      <c r="M230" s="53">
        <f t="shared" si="43"/>
        <v>1</v>
      </c>
      <c r="N230" s="962"/>
      <c r="O230" s="53">
        <f t="shared" si="44"/>
        <v>1</v>
      </c>
      <c r="P230" s="962"/>
      <c r="Q230" s="53">
        <f t="shared" si="45"/>
        <v>1</v>
      </c>
      <c r="R230" s="489">
        <f t="shared" si="46"/>
        <v>0</v>
      </c>
      <c r="S230" s="798">
        <f t="shared" si="47"/>
        <v>0</v>
      </c>
    </row>
    <row r="231" spans="1:19">
      <c r="A231" s="964"/>
      <c r="B231" s="137"/>
      <c r="C231" s="53">
        <f t="shared" si="38"/>
        <v>1</v>
      </c>
      <c r="D231" s="962"/>
      <c r="E231" s="53">
        <f t="shared" si="39"/>
        <v>1</v>
      </c>
      <c r="F231" s="962"/>
      <c r="G231" s="53">
        <f t="shared" si="40"/>
        <v>1</v>
      </c>
      <c r="H231" s="962"/>
      <c r="I231" s="53">
        <f t="shared" si="41"/>
        <v>1</v>
      </c>
      <c r="J231" s="962"/>
      <c r="K231" s="53">
        <f t="shared" si="42"/>
        <v>1</v>
      </c>
      <c r="L231" s="962"/>
      <c r="M231" s="53">
        <f t="shared" si="43"/>
        <v>1</v>
      </c>
      <c r="N231" s="962"/>
      <c r="O231" s="53">
        <f t="shared" si="44"/>
        <v>1</v>
      </c>
      <c r="P231" s="962"/>
      <c r="Q231" s="53">
        <f t="shared" si="45"/>
        <v>1</v>
      </c>
      <c r="R231" s="489">
        <f t="shared" si="46"/>
        <v>0</v>
      </c>
      <c r="S231" s="798">
        <f t="shared" si="47"/>
        <v>0</v>
      </c>
    </row>
    <row r="232" spans="1:19">
      <c r="A232" s="964"/>
      <c r="B232" s="137"/>
      <c r="C232" s="53">
        <f t="shared" si="38"/>
        <v>1</v>
      </c>
      <c r="D232" s="962"/>
      <c r="E232" s="53">
        <f t="shared" si="39"/>
        <v>1</v>
      </c>
      <c r="F232" s="962"/>
      <c r="G232" s="53">
        <f t="shared" si="40"/>
        <v>1</v>
      </c>
      <c r="H232" s="962"/>
      <c r="I232" s="53">
        <f t="shared" si="41"/>
        <v>1</v>
      </c>
      <c r="J232" s="962"/>
      <c r="K232" s="53">
        <f t="shared" si="42"/>
        <v>1</v>
      </c>
      <c r="L232" s="962"/>
      <c r="M232" s="53">
        <f t="shared" si="43"/>
        <v>1</v>
      </c>
      <c r="N232" s="962"/>
      <c r="O232" s="53">
        <f t="shared" si="44"/>
        <v>1</v>
      </c>
      <c r="P232" s="962"/>
      <c r="Q232" s="53">
        <f t="shared" si="45"/>
        <v>1</v>
      </c>
      <c r="R232" s="489">
        <f t="shared" si="46"/>
        <v>0</v>
      </c>
      <c r="S232" s="798">
        <f t="shared" si="47"/>
        <v>0</v>
      </c>
    </row>
    <row r="233" spans="1:19">
      <c r="A233" s="964"/>
      <c r="B233" s="137"/>
      <c r="C233" s="53">
        <f t="shared" si="38"/>
        <v>1</v>
      </c>
      <c r="D233" s="962"/>
      <c r="E233" s="53">
        <f t="shared" si="39"/>
        <v>1</v>
      </c>
      <c r="F233" s="962"/>
      <c r="G233" s="53">
        <f t="shared" si="40"/>
        <v>1</v>
      </c>
      <c r="H233" s="962"/>
      <c r="I233" s="53">
        <f t="shared" si="41"/>
        <v>1</v>
      </c>
      <c r="J233" s="962"/>
      <c r="K233" s="53">
        <f t="shared" si="42"/>
        <v>1</v>
      </c>
      <c r="L233" s="962"/>
      <c r="M233" s="53">
        <f t="shared" si="43"/>
        <v>1</v>
      </c>
      <c r="N233" s="962"/>
      <c r="O233" s="53">
        <f t="shared" si="44"/>
        <v>1</v>
      </c>
      <c r="P233" s="962"/>
      <c r="Q233" s="53">
        <f t="shared" si="45"/>
        <v>1</v>
      </c>
      <c r="R233" s="489">
        <f t="shared" si="46"/>
        <v>0</v>
      </c>
      <c r="S233" s="798">
        <f t="shared" si="47"/>
        <v>0</v>
      </c>
    </row>
    <row r="234" spans="1:19">
      <c r="A234" s="964"/>
      <c r="B234" s="137"/>
      <c r="C234" s="53">
        <f t="shared" si="38"/>
        <v>1</v>
      </c>
      <c r="D234" s="962"/>
      <c r="E234" s="53">
        <f t="shared" si="39"/>
        <v>1</v>
      </c>
      <c r="F234" s="962"/>
      <c r="G234" s="53">
        <f t="shared" si="40"/>
        <v>1</v>
      </c>
      <c r="H234" s="962"/>
      <c r="I234" s="53">
        <f t="shared" si="41"/>
        <v>1</v>
      </c>
      <c r="J234" s="962"/>
      <c r="K234" s="53">
        <f t="shared" si="42"/>
        <v>1</v>
      </c>
      <c r="L234" s="962"/>
      <c r="M234" s="53">
        <f t="shared" si="43"/>
        <v>1</v>
      </c>
      <c r="N234" s="962"/>
      <c r="O234" s="53">
        <f t="shared" si="44"/>
        <v>1</v>
      </c>
      <c r="P234" s="962"/>
      <c r="Q234" s="53">
        <f t="shared" si="45"/>
        <v>1</v>
      </c>
      <c r="R234" s="489">
        <f t="shared" si="46"/>
        <v>0</v>
      </c>
      <c r="S234" s="798">
        <f t="shared" si="47"/>
        <v>0</v>
      </c>
    </row>
    <row r="235" spans="1:19">
      <c r="A235" s="964"/>
      <c r="B235" s="137"/>
      <c r="C235" s="53">
        <f t="shared" si="38"/>
        <v>1</v>
      </c>
      <c r="D235" s="962"/>
      <c r="E235" s="53">
        <f t="shared" si="39"/>
        <v>1</v>
      </c>
      <c r="F235" s="962"/>
      <c r="G235" s="53">
        <f t="shared" si="40"/>
        <v>1</v>
      </c>
      <c r="H235" s="962"/>
      <c r="I235" s="53">
        <f t="shared" si="41"/>
        <v>1</v>
      </c>
      <c r="J235" s="962"/>
      <c r="K235" s="53">
        <f t="shared" si="42"/>
        <v>1</v>
      </c>
      <c r="L235" s="962"/>
      <c r="M235" s="53">
        <f t="shared" si="43"/>
        <v>1</v>
      </c>
      <c r="N235" s="962"/>
      <c r="O235" s="53">
        <f t="shared" si="44"/>
        <v>1</v>
      </c>
      <c r="P235" s="962"/>
      <c r="Q235" s="53">
        <f t="shared" si="45"/>
        <v>1</v>
      </c>
      <c r="R235" s="489">
        <f t="shared" si="46"/>
        <v>0</v>
      </c>
      <c r="S235" s="798">
        <f t="shared" si="47"/>
        <v>0</v>
      </c>
    </row>
    <row r="236" spans="1:19">
      <c r="A236" s="964"/>
      <c r="B236" s="137"/>
      <c r="C236" s="53">
        <f t="shared" si="38"/>
        <v>1</v>
      </c>
      <c r="D236" s="962"/>
      <c r="E236" s="53">
        <f t="shared" si="39"/>
        <v>1</v>
      </c>
      <c r="F236" s="962"/>
      <c r="G236" s="53">
        <f t="shared" si="40"/>
        <v>1</v>
      </c>
      <c r="H236" s="962"/>
      <c r="I236" s="53">
        <f t="shared" si="41"/>
        <v>1</v>
      </c>
      <c r="J236" s="962"/>
      <c r="K236" s="53">
        <f t="shared" si="42"/>
        <v>1</v>
      </c>
      <c r="L236" s="962"/>
      <c r="M236" s="53">
        <f t="shared" si="43"/>
        <v>1</v>
      </c>
      <c r="N236" s="962"/>
      <c r="O236" s="53">
        <f t="shared" si="44"/>
        <v>1</v>
      </c>
      <c r="P236" s="962"/>
      <c r="Q236" s="53">
        <f t="shared" si="45"/>
        <v>1</v>
      </c>
      <c r="R236" s="489">
        <f t="shared" si="46"/>
        <v>0</v>
      </c>
      <c r="S236" s="798">
        <f t="shared" si="47"/>
        <v>0</v>
      </c>
    </row>
    <row r="237" spans="1:19">
      <c r="A237" s="964"/>
      <c r="B237" s="137"/>
      <c r="C237" s="53">
        <f t="shared" si="38"/>
        <v>1</v>
      </c>
      <c r="D237" s="962"/>
      <c r="E237" s="53">
        <f t="shared" si="39"/>
        <v>1</v>
      </c>
      <c r="F237" s="962"/>
      <c r="G237" s="53">
        <f t="shared" si="40"/>
        <v>1</v>
      </c>
      <c r="H237" s="962"/>
      <c r="I237" s="53">
        <f t="shared" si="41"/>
        <v>1</v>
      </c>
      <c r="J237" s="962"/>
      <c r="K237" s="53">
        <f t="shared" si="42"/>
        <v>1</v>
      </c>
      <c r="L237" s="962"/>
      <c r="M237" s="53">
        <f t="shared" si="43"/>
        <v>1</v>
      </c>
      <c r="N237" s="962"/>
      <c r="O237" s="53">
        <f t="shared" si="44"/>
        <v>1</v>
      </c>
      <c r="P237" s="962"/>
      <c r="Q237" s="53">
        <f t="shared" si="45"/>
        <v>1</v>
      </c>
      <c r="R237" s="489">
        <f t="shared" si="46"/>
        <v>0</v>
      </c>
      <c r="S237" s="798">
        <f t="shared" si="47"/>
        <v>0</v>
      </c>
    </row>
    <row r="238" spans="1:19">
      <c r="A238" s="964"/>
      <c r="B238" s="137"/>
      <c r="C238" s="53">
        <f t="shared" si="38"/>
        <v>1</v>
      </c>
      <c r="D238" s="962"/>
      <c r="E238" s="53">
        <f t="shared" si="39"/>
        <v>1</v>
      </c>
      <c r="F238" s="962"/>
      <c r="G238" s="53">
        <f t="shared" si="40"/>
        <v>1</v>
      </c>
      <c r="H238" s="962"/>
      <c r="I238" s="53">
        <f t="shared" si="41"/>
        <v>1</v>
      </c>
      <c r="J238" s="962"/>
      <c r="K238" s="53">
        <f t="shared" si="42"/>
        <v>1</v>
      </c>
      <c r="L238" s="962"/>
      <c r="M238" s="53">
        <f t="shared" si="43"/>
        <v>1</v>
      </c>
      <c r="N238" s="962"/>
      <c r="O238" s="53">
        <f t="shared" si="44"/>
        <v>1</v>
      </c>
      <c r="P238" s="962"/>
      <c r="Q238" s="53">
        <f t="shared" si="45"/>
        <v>1</v>
      </c>
      <c r="R238" s="489">
        <f t="shared" si="46"/>
        <v>0</v>
      </c>
      <c r="S238" s="798">
        <f t="shared" si="47"/>
        <v>0</v>
      </c>
    </row>
    <row r="239" spans="1:19">
      <c r="A239" s="964"/>
      <c r="B239" s="137"/>
      <c r="C239" s="53">
        <f t="shared" si="38"/>
        <v>1</v>
      </c>
      <c r="D239" s="962"/>
      <c r="E239" s="53">
        <f t="shared" si="39"/>
        <v>1</v>
      </c>
      <c r="F239" s="962"/>
      <c r="G239" s="53">
        <f t="shared" si="40"/>
        <v>1</v>
      </c>
      <c r="H239" s="962"/>
      <c r="I239" s="53">
        <f t="shared" si="41"/>
        <v>1</v>
      </c>
      <c r="J239" s="962"/>
      <c r="K239" s="53">
        <f t="shared" si="42"/>
        <v>1</v>
      </c>
      <c r="L239" s="962"/>
      <c r="M239" s="53">
        <f t="shared" si="43"/>
        <v>1</v>
      </c>
      <c r="N239" s="962"/>
      <c r="O239" s="53">
        <f t="shared" si="44"/>
        <v>1</v>
      </c>
      <c r="P239" s="962"/>
      <c r="Q239" s="53">
        <f t="shared" si="45"/>
        <v>1</v>
      </c>
      <c r="R239" s="489">
        <f t="shared" si="46"/>
        <v>0</v>
      </c>
      <c r="S239" s="798">
        <f t="shared" si="47"/>
        <v>0</v>
      </c>
    </row>
    <row r="240" spans="1:19">
      <c r="A240" s="964"/>
      <c r="B240" s="137"/>
      <c r="C240" s="53">
        <f t="shared" si="38"/>
        <v>1</v>
      </c>
      <c r="D240" s="962"/>
      <c r="E240" s="53">
        <f t="shared" si="39"/>
        <v>1</v>
      </c>
      <c r="F240" s="962"/>
      <c r="G240" s="53">
        <f t="shared" si="40"/>
        <v>1</v>
      </c>
      <c r="H240" s="962"/>
      <c r="I240" s="53">
        <f t="shared" si="41"/>
        <v>1</v>
      </c>
      <c r="J240" s="962"/>
      <c r="K240" s="53">
        <f t="shared" si="42"/>
        <v>1</v>
      </c>
      <c r="L240" s="962"/>
      <c r="M240" s="53">
        <f t="shared" si="43"/>
        <v>1</v>
      </c>
      <c r="N240" s="962"/>
      <c r="O240" s="53">
        <f t="shared" si="44"/>
        <v>1</v>
      </c>
      <c r="P240" s="962"/>
      <c r="Q240" s="53">
        <f t="shared" si="45"/>
        <v>1</v>
      </c>
      <c r="R240" s="489">
        <f t="shared" si="46"/>
        <v>0</v>
      </c>
      <c r="S240" s="798">
        <f t="shared" si="47"/>
        <v>0</v>
      </c>
    </row>
    <row r="241" spans="1:19">
      <c r="A241" s="964"/>
      <c r="B241" s="137"/>
      <c r="C241" s="53">
        <f t="shared" si="38"/>
        <v>1</v>
      </c>
      <c r="D241" s="962"/>
      <c r="E241" s="53">
        <f t="shared" si="39"/>
        <v>1</v>
      </c>
      <c r="F241" s="962"/>
      <c r="G241" s="53">
        <f t="shared" si="40"/>
        <v>1</v>
      </c>
      <c r="H241" s="962"/>
      <c r="I241" s="53">
        <f t="shared" si="41"/>
        <v>1</v>
      </c>
      <c r="J241" s="962"/>
      <c r="K241" s="53">
        <f t="shared" si="42"/>
        <v>1</v>
      </c>
      <c r="L241" s="962"/>
      <c r="M241" s="53">
        <f t="shared" si="43"/>
        <v>1</v>
      </c>
      <c r="N241" s="962"/>
      <c r="O241" s="53">
        <f t="shared" si="44"/>
        <v>1</v>
      </c>
      <c r="P241" s="962"/>
      <c r="Q241" s="53">
        <f t="shared" si="45"/>
        <v>1</v>
      </c>
      <c r="R241" s="489">
        <f t="shared" si="46"/>
        <v>0</v>
      </c>
      <c r="S241" s="798">
        <f t="shared" si="47"/>
        <v>0</v>
      </c>
    </row>
    <row r="242" spans="1:19">
      <c r="A242" s="964"/>
      <c r="B242" s="137"/>
      <c r="C242" s="53">
        <f t="shared" si="38"/>
        <v>1</v>
      </c>
      <c r="D242" s="962"/>
      <c r="E242" s="53">
        <f t="shared" si="39"/>
        <v>1</v>
      </c>
      <c r="F242" s="962"/>
      <c r="G242" s="53">
        <f t="shared" si="40"/>
        <v>1</v>
      </c>
      <c r="H242" s="962"/>
      <c r="I242" s="53">
        <f t="shared" si="41"/>
        <v>1</v>
      </c>
      <c r="J242" s="962"/>
      <c r="K242" s="53">
        <f t="shared" si="42"/>
        <v>1</v>
      </c>
      <c r="L242" s="962"/>
      <c r="M242" s="53">
        <f t="shared" si="43"/>
        <v>1</v>
      </c>
      <c r="N242" s="962"/>
      <c r="O242" s="53">
        <f t="shared" si="44"/>
        <v>1</v>
      </c>
      <c r="P242" s="962"/>
      <c r="Q242" s="53">
        <f t="shared" si="45"/>
        <v>1</v>
      </c>
      <c r="R242" s="489">
        <f t="shared" si="46"/>
        <v>0</v>
      </c>
      <c r="S242" s="798">
        <f t="shared" si="47"/>
        <v>0</v>
      </c>
    </row>
    <row r="243" spans="1:19">
      <c r="A243" s="964"/>
      <c r="B243" s="137"/>
      <c r="C243" s="53">
        <f t="shared" si="38"/>
        <v>1</v>
      </c>
      <c r="D243" s="962"/>
      <c r="E243" s="53">
        <f t="shared" si="39"/>
        <v>1</v>
      </c>
      <c r="F243" s="962"/>
      <c r="G243" s="53">
        <f t="shared" si="40"/>
        <v>1</v>
      </c>
      <c r="H243" s="962"/>
      <c r="I243" s="53">
        <f t="shared" si="41"/>
        <v>1</v>
      </c>
      <c r="J243" s="962"/>
      <c r="K243" s="53">
        <f t="shared" si="42"/>
        <v>1</v>
      </c>
      <c r="L243" s="962"/>
      <c r="M243" s="53">
        <f t="shared" si="43"/>
        <v>1</v>
      </c>
      <c r="N243" s="962"/>
      <c r="O243" s="53">
        <f t="shared" si="44"/>
        <v>1</v>
      </c>
      <c r="P243" s="962"/>
      <c r="Q243" s="53">
        <f t="shared" si="45"/>
        <v>1</v>
      </c>
      <c r="R243" s="489">
        <f t="shared" si="46"/>
        <v>0</v>
      </c>
      <c r="S243" s="798">
        <f t="shared" si="47"/>
        <v>0</v>
      </c>
    </row>
    <row r="244" spans="1:19">
      <c r="A244" s="964"/>
      <c r="B244" s="137"/>
      <c r="C244" s="53">
        <f t="shared" si="38"/>
        <v>1</v>
      </c>
      <c r="D244" s="962"/>
      <c r="E244" s="53">
        <f t="shared" si="39"/>
        <v>1</v>
      </c>
      <c r="F244" s="962"/>
      <c r="G244" s="53">
        <f t="shared" si="40"/>
        <v>1</v>
      </c>
      <c r="H244" s="962"/>
      <c r="I244" s="53">
        <f t="shared" si="41"/>
        <v>1</v>
      </c>
      <c r="J244" s="962"/>
      <c r="K244" s="53">
        <f t="shared" si="42"/>
        <v>1</v>
      </c>
      <c r="L244" s="962"/>
      <c r="M244" s="53">
        <f t="shared" si="43"/>
        <v>1</v>
      </c>
      <c r="N244" s="962"/>
      <c r="O244" s="53">
        <f t="shared" si="44"/>
        <v>1</v>
      </c>
      <c r="P244" s="962"/>
      <c r="Q244" s="53">
        <f t="shared" si="45"/>
        <v>1</v>
      </c>
      <c r="R244" s="489">
        <f t="shared" si="46"/>
        <v>0</v>
      </c>
      <c r="S244" s="798">
        <f t="shared" si="47"/>
        <v>0</v>
      </c>
    </row>
    <row r="245" spans="1:19">
      <c r="A245" s="964"/>
      <c r="B245" s="137"/>
      <c r="C245" s="53">
        <f t="shared" si="38"/>
        <v>1</v>
      </c>
      <c r="D245" s="962"/>
      <c r="E245" s="53">
        <f t="shared" si="39"/>
        <v>1</v>
      </c>
      <c r="F245" s="962"/>
      <c r="G245" s="53">
        <f t="shared" si="40"/>
        <v>1</v>
      </c>
      <c r="H245" s="962"/>
      <c r="I245" s="53">
        <f t="shared" si="41"/>
        <v>1</v>
      </c>
      <c r="J245" s="962"/>
      <c r="K245" s="53">
        <f t="shared" si="42"/>
        <v>1</v>
      </c>
      <c r="L245" s="962"/>
      <c r="M245" s="53">
        <f t="shared" si="43"/>
        <v>1</v>
      </c>
      <c r="N245" s="962"/>
      <c r="O245" s="53">
        <f t="shared" si="44"/>
        <v>1</v>
      </c>
      <c r="P245" s="962"/>
      <c r="Q245" s="53">
        <f t="shared" si="45"/>
        <v>1</v>
      </c>
      <c r="R245" s="489">
        <f t="shared" si="46"/>
        <v>0</v>
      </c>
      <c r="S245" s="798">
        <f t="shared" si="47"/>
        <v>0</v>
      </c>
    </row>
    <row r="246" spans="1:19">
      <c r="A246" s="964"/>
      <c r="B246" s="137"/>
      <c r="C246" s="53">
        <f t="shared" si="38"/>
        <v>1</v>
      </c>
      <c r="D246" s="962"/>
      <c r="E246" s="53">
        <f t="shared" si="39"/>
        <v>1</v>
      </c>
      <c r="F246" s="962"/>
      <c r="G246" s="53">
        <f t="shared" si="40"/>
        <v>1</v>
      </c>
      <c r="H246" s="962"/>
      <c r="I246" s="53">
        <f t="shared" si="41"/>
        <v>1</v>
      </c>
      <c r="J246" s="962"/>
      <c r="K246" s="53">
        <f t="shared" si="42"/>
        <v>1</v>
      </c>
      <c r="L246" s="962"/>
      <c r="M246" s="53">
        <f t="shared" si="43"/>
        <v>1</v>
      </c>
      <c r="N246" s="962"/>
      <c r="O246" s="53">
        <f t="shared" si="44"/>
        <v>1</v>
      </c>
      <c r="P246" s="962"/>
      <c r="Q246" s="53">
        <f t="shared" si="45"/>
        <v>1</v>
      </c>
      <c r="R246" s="489">
        <f t="shared" si="46"/>
        <v>0</v>
      </c>
      <c r="S246" s="798">
        <f t="shared" si="47"/>
        <v>0</v>
      </c>
    </row>
    <row r="247" spans="1:19">
      <c r="A247" s="964"/>
      <c r="B247" s="137"/>
      <c r="C247" s="53">
        <f t="shared" si="38"/>
        <v>1</v>
      </c>
      <c r="D247" s="962"/>
      <c r="E247" s="53">
        <f t="shared" si="39"/>
        <v>1</v>
      </c>
      <c r="F247" s="962"/>
      <c r="G247" s="53">
        <f t="shared" si="40"/>
        <v>1</v>
      </c>
      <c r="H247" s="962"/>
      <c r="I247" s="53">
        <f t="shared" si="41"/>
        <v>1</v>
      </c>
      <c r="J247" s="962"/>
      <c r="K247" s="53">
        <f t="shared" si="42"/>
        <v>1</v>
      </c>
      <c r="L247" s="962"/>
      <c r="M247" s="53">
        <f t="shared" si="43"/>
        <v>1</v>
      </c>
      <c r="N247" s="962"/>
      <c r="O247" s="53">
        <f t="shared" si="44"/>
        <v>1</v>
      </c>
      <c r="P247" s="962"/>
      <c r="Q247" s="53">
        <f t="shared" si="45"/>
        <v>1</v>
      </c>
      <c r="R247" s="489">
        <f t="shared" si="46"/>
        <v>0</v>
      </c>
      <c r="S247" s="798">
        <f t="shared" si="47"/>
        <v>0</v>
      </c>
    </row>
    <row r="248" spans="1:19">
      <c r="A248" s="964"/>
      <c r="B248" s="137"/>
      <c r="C248" s="53">
        <f t="shared" si="38"/>
        <v>1</v>
      </c>
      <c r="D248" s="962"/>
      <c r="E248" s="53">
        <f t="shared" si="39"/>
        <v>1</v>
      </c>
      <c r="F248" s="962"/>
      <c r="G248" s="53">
        <f t="shared" si="40"/>
        <v>1</v>
      </c>
      <c r="H248" s="962"/>
      <c r="I248" s="53">
        <f t="shared" si="41"/>
        <v>1</v>
      </c>
      <c r="J248" s="962"/>
      <c r="K248" s="53">
        <f t="shared" si="42"/>
        <v>1</v>
      </c>
      <c r="L248" s="962"/>
      <c r="M248" s="53">
        <f t="shared" si="43"/>
        <v>1</v>
      </c>
      <c r="N248" s="962"/>
      <c r="O248" s="53">
        <f t="shared" si="44"/>
        <v>1</v>
      </c>
      <c r="P248" s="962"/>
      <c r="Q248" s="53">
        <f t="shared" si="45"/>
        <v>1</v>
      </c>
      <c r="R248" s="489">
        <f t="shared" si="46"/>
        <v>0</v>
      </c>
      <c r="S248" s="798">
        <f t="shared" si="47"/>
        <v>0</v>
      </c>
    </row>
    <row r="249" spans="1:19">
      <c r="A249" s="964"/>
      <c r="B249" s="137"/>
      <c r="C249" s="53">
        <f t="shared" si="38"/>
        <v>1</v>
      </c>
      <c r="D249" s="962"/>
      <c r="E249" s="53">
        <f t="shared" si="39"/>
        <v>1</v>
      </c>
      <c r="F249" s="962"/>
      <c r="G249" s="53">
        <f t="shared" si="40"/>
        <v>1</v>
      </c>
      <c r="H249" s="962"/>
      <c r="I249" s="53">
        <f t="shared" si="41"/>
        <v>1</v>
      </c>
      <c r="J249" s="962"/>
      <c r="K249" s="53">
        <f t="shared" si="42"/>
        <v>1</v>
      </c>
      <c r="L249" s="962"/>
      <c r="M249" s="53">
        <f t="shared" si="43"/>
        <v>1</v>
      </c>
      <c r="N249" s="962"/>
      <c r="O249" s="53">
        <f t="shared" si="44"/>
        <v>1</v>
      </c>
      <c r="P249" s="962"/>
      <c r="Q249" s="53">
        <f t="shared" si="45"/>
        <v>1</v>
      </c>
      <c r="R249" s="489">
        <f t="shared" si="46"/>
        <v>0</v>
      </c>
      <c r="S249" s="798">
        <f t="shared" si="47"/>
        <v>0</v>
      </c>
    </row>
    <row r="250" spans="1:19">
      <c r="A250" s="964"/>
      <c r="B250" s="137"/>
      <c r="C250" s="53">
        <f t="shared" si="38"/>
        <v>1</v>
      </c>
      <c r="D250" s="962"/>
      <c r="E250" s="53">
        <f t="shared" si="39"/>
        <v>1</v>
      </c>
      <c r="F250" s="962"/>
      <c r="G250" s="53">
        <f t="shared" si="40"/>
        <v>1</v>
      </c>
      <c r="H250" s="962"/>
      <c r="I250" s="53">
        <f t="shared" si="41"/>
        <v>1</v>
      </c>
      <c r="J250" s="962"/>
      <c r="K250" s="53">
        <f t="shared" si="42"/>
        <v>1</v>
      </c>
      <c r="L250" s="962"/>
      <c r="M250" s="53">
        <f t="shared" si="43"/>
        <v>1</v>
      </c>
      <c r="N250" s="962"/>
      <c r="O250" s="53">
        <f t="shared" si="44"/>
        <v>1</v>
      </c>
      <c r="P250" s="962"/>
      <c r="Q250" s="53">
        <f t="shared" si="45"/>
        <v>1</v>
      </c>
      <c r="R250" s="489">
        <f t="shared" si="46"/>
        <v>0</v>
      </c>
      <c r="S250" s="798">
        <f t="shared" si="47"/>
        <v>0</v>
      </c>
    </row>
    <row r="251" spans="1:19">
      <c r="A251" s="964"/>
      <c r="B251" s="137"/>
      <c r="C251" s="53">
        <f t="shared" si="38"/>
        <v>1</v>
      </c>
      <c r="D251" s="962"/>
      <c r="E251" s="53">
        <f t="shared" si="39"/>
        <v>1</v>
      </c>
      <c r="F251" s="962"/>
      <c r="G251" s="53">
        <f t="shared" si="40"/>
        <v>1</v>
      </c>
      <c r="H251" s="962"/>
      <c r="I251" s="53">
        <f t="shared" si="41"/>
        <v>1</v>
      </c>
      <c r="J251" s="962"/>
      <c r="K251" s="53">
        <f t="shared" si="42"/>
        <v>1</v>
      </c>
      <c r="L251" s="962"/>
      <c r="M251" s="53">
        <f t="shared" si="43"/>
        <v>1</v>
      </c>
      <c r="N251" s="962"/>
      <c r="O251" s="53">
        <f t="shared" si="44"/>
        <v>1</v>
      </c>
      <c r="P251" s="962"/>
      <c r="Q251" s="53">
        <f t="shared" si="45"/>
        <v>1</v>
      </c>
      <c r="R251" s="489">
        <f t="shared" si="46"/>
        <v>0</v>
      </c>
      <c r="S251" s="798">
        <f t="shared" si="47"/>
        <v>0</v>
      </c>
    </row>
    <row r="252" spans="1:19">
      <c r="A252" s="964"/>
      <c r="B252" s="137"/>
      <c r="C252" s="53">
        <f t="shared" si="38"/>
        <v>1</v>
      </c>
      <c r="D252" s="962"/>
      <c r="E252" s="53">
        <f t="shared" si="39"/>
        <v>1</v>
      </c>
      <c r="F252" s="962"/>
      <c r="G252" s="53">
        <f t="shared" si="40"/>
        <v>1</v>
      </c>
      <c r="H252" s="962"/>
      <c r="I252" s="53">
        <f t="shared" si="41"/>
        <v>1</v>
      </c>
      <c r="J252" s="962"/>
      <c r="K252" s="53">
        <f t="shared" si="42"/>
        <v>1</v>
      </c>
      <c r="L252" s="962"/>
      <c r="M252" s="53">
        <f t="shared" si="43"/>
        <v>1</v>
      </c>
      <c r="N252" s="962"/>
      <c r="O252" s="53">
        <f t="shared" si="44"/>
        <v>1</v>
      </c>
      <c r="P252" s="962"/>
      <c r="Q252" s="53">
        <f t="shared" si="45"/>
        <v>1</v>
      </c>
      <c r="R252" s="489">
        <f t="shared" si="46"/>
        <v>0</v>
      </c>
      <c r="S252" s="798">
        <f t="shared" si="47"/>
        <v>0</v>
      </c>
    </row>
    <row r="253" spans="1:19">
      <c r="A253" s="964"/>
      <c r="B253" s="137"/>
      <c r="C253" s="53">
        <f t="shared" si="38"/>
        <v>1</v>
      </c>
      <c r="D253" s="962"/>
      <c r="E253" s="53">
        <f t="shared" si="39"/>
        <v>1</v>
      </c>
      <c r="F253" s="962"/>
      <c r="G253" s="53">
        <f t="shared" si="40"/>
        <v>1</v>
      </c>
      <c r="H253" s="962"/>
      <c r="I253" s="53">
        <f t="shared" si="41"/>
        <v>1</v>
      </c>
      <c r="J253" s="962"/>
      <c r="K253" s="53">
        <f t="shared" si="42"/>
        <v>1</v>
      </c>
      <c r="L253" s="962"/>
      <c r="M253" s="53">
        <f t="shared" si="43"/>
        <v>1</v>
      </c>
      <c r="N253" s="962"/>
      <c r="O253" s="53">
        <f t="shared" si="44"/>
        <v>1</v>
      </c>
      <c r="P253" s="962"/>
      <c r="Q253" s="53">
        <f t="shared" si="45"/>
        <v>1</v>
      </c>
      <c r="R253" s="489">
        <f t="shared" si="46"/>
        <v>0</v>
      </c>
      <c r="S253" s="798">
        <f t="shared" si="47"/>
        <v>0</v>
      </c>
    </row>
    <row r="254" spans="1:19">
      <c r="A254" s="964"/>
      <c r="B254" s="137"/>
      <c r="C254" s="53">
        <f t="shared" si="38"/>
        <v>1</v>
      </c>
      <c r="D254" s="962"/>
      <c r="E254" s="53">
        <f t="shared" si="39"/>
        <v>1</v>
      </c>
      <c r="F254" s="962"/>
      <c r="G254" s="53">
        <f t="shared" si="40"/>
        <v>1</v>
      </c>
      <c r="H254" s="962"/>
      <c r="I254" s="53">
        <f t="shared" si="41"/>
        <v>1</v>
      </c>
      <c r="J254" s="962"/>
      <c r="K254" s="53">
        <f t="shared" si="42"/>
        <v>1</v>
      </c>
      <c r="L254" s="962"/>
      <c r="M254" s="53">
        <f t="shared" si="43"/>
        <v>1</v>
      </c>
      <c r="N254" s="962"/>
      <c r="O254" s="53">
        <f t="shared" si="44"/>
        <v>1</v>
      </c>
      <c r="P254" s="962"/>
      <c r="Q254" s="53">
        <f t="shared" si="45"/>
        <v>1</v>
      </c>
      <c r="R254" s="489">
        <f t="shared" si="46"/>
        <v>0</v>
      </c>
      <c r="S254" s="798">
        <f t="shared" si="47"/>
        <v>0</v>
      </c>
    </row>
    <row r="255" spans="1:19">
      <c r="A255" s="964"/>
      <c r="B255" s="137"/>
      <c r="C255" s="53">
        <f t="shared" si="38"/>
        <v>1</v>
      </c>
      <c r="D255" s="962"/>
      <c r="E255" s="53">
        <f t="shared" si="39"/>
        <v>1</v>
      </c>
      <c r="F255" s="962"/>
      <c r="G255" s="53">
        <f t="shared" si="40"/>
        <v>1</v>
      </c>
      <c r="H255" s="962"/>
      <c r="I255" s="53">
        <f t="shared" si="41"/>
        <v>1</v>
      </c>
      <c r="J255" s="962"/>
      <c r="K255" s="53">
        <f t="shared" si="42"/>
        <v>1</v>
      </c>
      <c r="L255" s="962"/>
      <c r="M255" s="53">
        <f t="shared" si="43"/>
        <v>1</v>
      </c>
      <c r="N255" s="962"/>
      <c r="O255" s="53">
        <f t="shared" si="44"/>
        <v>1</v>
      </c>
      <c r="P255" s="962"/>
      <c r="Q255" s="53">
        <f t="shared" si="45"/>
        <v>1</v>
      </c>
      <c r="R255" s="489">
        <f t="shared" si="46"/>
        <v>0</v>
      </c>
      <c r="S255" s="798">
        <f t="shared" si="47"/>
        <v>0</v>
      </c>
    </row>
    <row r="256" spans="1:19">
      <c r="A256" s="964"/>
      <c r="B256" s="137"/>
      <c r="C256" s="53">
        <f t="shared" si="38"/>
        <v>1</v>
      </c>
      <c r="D256" s="962"/>
      <c r="E256" s="53">
        <f t="shared" si="39"/>
        <v>1</v>
      </c>
      <c r="F256" s="962"/>
      <c r="G256" s="53">
        <f t="shared" si="40"/>
        <v>1</v>
      </c>
      <c r="H256" s="962"/>
      <c r="I256" s="53">
        <f t="shared" si="41"/>
        <v>1</v>
      </c>
      <c r="J256" s="962"/>
      <c r="K256" s="53">
        <f t="shared" si="42"/>
        <v>1</v>
      </c>
      <c r="L256" s="962"/>
      <c r="M256" s="53">
        <f t="shared" si="43"/>
        <v>1</v>
      </c>
      <c r="N256" s="962"/>
      <c r="O256" s="53">
        <f t="shared" si="44"/>
        <v>1</v>
      </c>
      <c r="P256" s="962"/>
      <c r="Q256" s="53">
        <f t="shared" si="45"/>
        <v>1</v>
      </c>
      <c r="R256" s="489">
        <f t="shared" si="46"/>
        <v>0</v>
      </c>
      <c r="S256" s="798">
        <f t="shared" si="47"/>
        <v>0</v>
      </c>
    </row>
    <row r="257" spans="1:19">
      <c r="A257" s="964"/>
      <c r="B257" s="137"/>
      <c r="C257" s="53">
        <f t="shared" si="38"/>
        <v>1</v>
      </c>
      <c r="D257" s="962"/>
      <c r="E257" s="53">
        <f t="shared" si="39"/>
        <v>1</v>
      </c>
      <c r="F257" s="962"/>
      <c r="G257" s="53">
        <f t="shared" si="40"/>
        <v>1</v>
      </c>
      <c r="H257" s="962"/>
      <c r="I257" s="53">
        <f t="shared" si="41"/>
        <v>1</v>
      </c>
      <c r="J257" s="962"/>
      <c r="K257" s="53">
        <f t="shared" si="42"/>
        <v>1</v>
      </c>
      <c r="L257" s="962"/>
      <c r="M257" s="53">
        <f t="shared" si="43"/>
        <v>1</v>
      </c>
      <c r="N257" s="962"/>
      <c r="O257" s="53">
        <f t="shared" si="44"/>
        <v>1</v>
      </c>
      <c r="P257" s="962"/>
      <c r="Q257" s="53">
        <f t="shared" si="45"/>
        <v>1</v>
      </c>
      <c r="R257" s="489">
        <f t="shared" si="46"/>
        <v>0</v>
      </c>
      <c r="S257" s="798">
        <f t="shared" si="47"/>
        <v>0</v>
      </c>
    </row>
    <row r="258" spans="1:19">
      <c r="A258" s="964"/>
      <c r="B258" s="137"/>
      <c r="C258" s="53">
        <f t="shared" si="38"/>
        <v>1</v>
      </c>
      <c r="D258" s="962"/>
      <c r="E258" s="53">
        <f t="shared" si="39"/>
        <v>1</v>
      </c>
      <c r="F258" s="962"/>
      <c r="G258" s="53">
        <f t="shared" si="40"/>
        <v>1</v>
      </c>
      <c r="H258" s="962"/>
      <c r="I258" s="53">
        <f t="shared" si="41"/>
        <v>1</v>
      </c>
      <c r="J258" s="962"/>
      <c r="K258" s="53">
        <f t="shared" si="42"/>
        <v>1</v>
      </c>
      <c r="L258" s="962"/>
      <c r="M258" s="53">
        <f t="shared" si="43"/>
        <v>1</v>
      </c>
      <c r="N258" s="962"/>
      <c r="O258" s="53">
        <f t="shared" si="44"/>
        <v>1</v>
      </c>
      <c r="P258" s="962"/>
      <c r="Q258" s="53">
        <f t="shared" si="45"/>
        <v>1</v>
      </c>
      <c r="R258" s="489">
        <f t="shared" si="46"/>
        <v>0</v>
      </c>
      <c r="S258" s="798">
        <f t="shared" si="47"/>
        <v>0</v>
      </c>
    </row>
    <row r="259" spans="1:19">
      <c r="A259" s="964"/>
      <c r="B259" s="137"/>
      <c r="C259" s="53">
        <f t="shared" si="38"/>
        <v>1</v>
      </c>
      <c r="D259" s="962"/>
      <c r="E259" s="53">
        <f t="shared" si="39"/>
        <v>1</v>
      </c>
      <c r="F259" s="962"/>
      <c r="G259" s="53">
        <f t="shared" si="40"/>
        <v>1</v>
      </c>
      <c r="H259" s="962"/>
      <c r="I259" s="53">
        <f t="shared" si="41"/>
        <v>1</v>
      </c>
      <c r="J259" s="962"/>
      <c r="K259" s="53">
        <f t="shared" si="42"/>
        <v>1</v>
      </c>
      <c r="L259" s="962"/>
      <c r="M259" s="53">
        <f t="shared" si="43"/>
        <v>1</v>
      </c>
      <c r="N259" s="962"/>
      <c r="O259" s="53">
        <f t="shared" si="44"/>
        <v>1</v>
      </c>
      <c r="P259" s="962"/>
      <c r="Q259" s="53">
        <f t="shared" si="45"/>
        <v>1</v>
      </c>
      <c r="R259" s="489">
        <f t="shared" si="46"/>
        <v>0</v>
      </c>
      <c r="S259" s="798">
        <f t="shared" si="47"/>
        <v>0</v>
      </c>
    </row>
    <row r="260" spans="1:19">
      <c r="A260" s="964"/>
      <c r="B260" s="137"/>
      <c r="C260" s="53">
        <f t="shared" si="38"/>
        <v>1</v>
      </c>
      <c r="D260" s="962"/>
      <c r="E260" s="53">
        <f t="shared" si="39"/>
        <v>1</v>
      </c>
      <c r="F260" s="962"/>
      <c r="G260" s="53">
        <f t="shared" si="40"/>
        <v>1</v>
      </c>
      <c r="H260" s="962"/>
      <c r="I260" s="53">
        <f t="shared" si="41"/>
        <v>1</v>
      </c>
      <c r="J260" s="962"/>
      <c r="K260" s="53">
        <f t="shared" si="42"/>
        <v>1</v>
      </c>
      <c r="L260" s="962"/>
      <c r="M260" s="53">
        <f t="shared" si="43"/>
        <v>1</v>
      </c>
      <c r="N260" s="962"/>
      <c r="O260" s="53">
        <f t="shared" si="44"/>
        <v>1</v>
      </c>
      <c r="P260" s="962"/>
      <c r="Q260" s="53">
        <f t="shared" si="45"/>
        <v>1</v>
      </c>
      <c r="R260" s="489">
        <f t="shared" si="46"/>
        <v>0</v>
      </c>
      <c r="S260" s="798">
        <f t="shared" si="47"/>
        <v>0</v>
      </c>
    </row>
    <row r="261" spans="1:19">
      <c r="A261" s="964"/>
      <c r="B261" s="137"/>
      <c r="C261" s="53">
        <f t="shared" si="38"/>
        <v>1</v>
      </c>
      <c r="D261" s="962"/>
      <c r="E261" s="53">
        <f t="shared" si="39"/>
        <v>1</v>
      </c>
      <c r="F261" s="962"/>
      <c r="G261" s="53">
        <f t="shared" si="40"/>
        <v>1</v>
      </c>
      <c r="H261" s="962"/>
      <c r="I261" s="53">
        <f t="shared" si="41"/>
        <v>1</v>
      </c>
      <c r="J261" s="962"/>
      <c r="K261" s="53">
        <f t="shared" si="42"/>
        <v>1</v>
      </c>
      <c r="L261" s="962"/>
      <c r="M261" s="53">
        <f t="shared" si="43"/>
        <v>1</v>
      </c>
      <c r="N261" s="962"/>
      <c r="O261" s="53">
        <f t="shared" si="44"/>
        <v>1</v>
      </c>
      <c r="P261" s="962"/>
      <c r="Q261" s="53">
        <f t="shared" si="45"/>
        <v>1</v>
      </c>
      <c r="R261" s="489">
        <f t="shared" si="46"/>
        <v>0</v>
      </c>
      <c r="S261" s="798">
        <f t="shared" si="47"/>
        <v>0</v>
      </c>
    </row>
    <row r="262" spans="1:19">
      <c r="A262" s="964"/>
      <c r="B262" s="137"/>
      <c r="C262" s="53">
        <f t="shared" si="38"/>
        <v>1</v>
      </c>
      <c r="D262" s="962"/>
      <c r="E262" s="53">
        <f t="shared" si="39"/>
        <v>1</v>
      </c>
      <c r="F262" s="962"/>
      <c r="G262" s="53">
        <f t="shared" si="40"/>
        <v>1</v>
      </c>
      <c r="H262" s="962"/>
      <c r="I262" s="53">
        <f t="shared" si="41"/>
        <v>1</v>
      </c>
      <c r="J262" s="962"/>
      <c r="K262" s="53">
        <f t="shared" si="42"/>
        <v>1</v>
      </c>
      <c r="L262" s="962"/>
      <c r="M262" s="53">
        <f t="shared" si="43"/>
        <v>1</v>
      </c>
      <c r="N262" s="962"/>
      <c r="O262" s="53">
        <f t="shared" si="44"/>
        <v>1</v>
      </c>
      <c r="P262" s="962"/>
      <c r="Q262" s="53">
        <f t="shared" si="45"/>
        <v>1</v>
      </c>
      <c r="R262" s="489">
        <f t="shared" si="46"/>
        <v>0</v>
      </c>
      <c r="S262" s="798">
        <f t="shared" si="47"/>
        <v>0</v>
      </c>
    </row>
    <row r="263" spans="1:19">
      <c r="A263" s="964"/>
      <c r="B263" s="137"/>
      <c r="C263" s="53">
        <f t="shared" si="38"/>
        <v>1</v>
      </c>
      <c r="D263" s="962"/>
      <c r="E263" s="53">
        <f t="shared" si="39"/>
        <v>1</v>
      </c>
      <c r="F263" s="962"/>
      <c r="G263" s="53">
        <f t="shared" si="40"/>
        <v>1</v>
      </c>
      <c r="H263" s="962"/>
      <c r="I263" s="53">
        <f t="shared" si="41"/>
        <v>1</v>
      </c>
      <c r="J263" s="962"/>
      <c r="K263" s="53">
        <f t="shared" si="42"/>
        <v>1</v>
      </c>
      <c r="L263" s="962"/>
      <c r="M263" s="53">
        <f t="shared" si="43"/>
        <v>1</v>
      </c>
      <c r="N263" s="962"/>
      <c r="O263" s="53">
        <f t="shared" si="44"/>
        <v>1</v>
      </c>
      <c r="P263" s="962"/>
      <c r="Q263" s="53">
        <f t="shared" si="45"/>
        <v>1</v>
      </c>
      <c r="R263" s="489">
        <f t="shared" si="46"/>
        <v>0</v>
      </c>
      <c r="S263" s="798">
        <f t="shared" si="47"/>
        <v>0</v>
      </c>
    </row>
    <row r="264" spans="1:19">
      <c r="A264" s="964"/>
      <c r="B264" s="137"/>
      <c r="C264" s="53">
        <f t="shared" si="38"/>
        <v>1</v>
      </c>
      <c r="D264" s="962"/>
      <c r="E264" s="53">
        <f t="shared" si="39"/>
        <v>1</v>
      </c>
      <c r="F264" s="962"/>
      <c r="G264" s="53">
        <f t="shared" si="40"/>
        <v>1</v>
      </c>
      <c r="H264" s="962"/>
      <c r="I264" s="53">
        <f t="shared" si="41"/>
        <v>1</v>
      </c>
      <c r="J264" s="962"/>
      <c r="K264" s="53">
        <f t="shared" si="42"/>
        <v>1</v>
      </c>
      <c r="L264" s="962"/>
      <c r="M264" s="53">
        <f t="shared" si="43"/>
        <v>1</v>
      </c>
      <c r="N264" s="962"/>
      <c r="O264" s="53">
        <f t="shared" si="44"/>
        <v>1</v>
      </c>
      <c r="P264" s="962"/>
      <c r="Q264" s="53">
        <f t="shared" si="45"/>
        <v>1</v>
      </c>
      <c r="R264" s="489">
        <f t="shared" si="46"/>
        <v>0</v>
      </c>
      <c r="S264" s="798">
        <f t="shared" si="47"/>
        <v>0</v>
      </c>
    </row>
    <row r="265" spans="1:19">
      <c r="A265" s="964"/>
      <c r="B265" s="137"/>
      <c r="C265" s="53">
        <f t="shared" si="38"/>
        <v>1</v>
      </c>
      <c r="D265" s="962"/>
      <c r="E265" s="53">
        <f t="shared" si="39"/>
        <v>1</v>
      </c>
      <c r="F265" s="962"/>
      <c r="G265" s="53">
        <f t="shared" si="40"/>
        <v>1</v>
      </c>
      <c r="H265" s="962"/>
      <c r="I265" s="53">
        <f t="shared" si="41"/>
        <v>1</v>
      </c>
      <c r="J265" s="962"/>
      <c r="K265" s="53">
        <f t="shared" si="42"/>
        <v>1</v>
      </c>
      <c r="L265" s="962"/>
      <c r="M265" s="53">
        <f t="shared" si="43"/>
        <v>1</v>
      </c>
      <c r="N265" s="962"/>
      <c r="O265" s="53">
        <f t="shared" si="44"/>
        <v>1</v>
      </c>
      <c r="P265" s="962"/>
      <c r="Q265" s="53">
        <f t="shared" si="45"/>
        <v>1</v>
      </c>
      <c r="R265" s="489">
        <f t="shared" si="46"/>
        <v>0</v>
      </c>
      <c r="S265" s="798">
        <f t="shared" si="47"/>
        <v>0</v>
      </c>
    </row>
    <row r="266" spans="1:19">
      <c r="A266" s="964"/>
      <c r="B266" s="137"/>
      <c r="C266" s="53">
        <f t="shared" si="38"/>
        <v>1</v>
      </c>
      <c r="D266" s="962"/>
      <c r="E266" s="53">
        <f t="shared" si="39"/>
        <v>1</v>
      </c>
      <c r="F266" s="962"/>
      <c r="G266" s="53">
        <f t="shared" si="40"/>
        <v>1</v>
      </c>
      <c r="H266" s="962"/>
      <c r="I266" s="53">
        <f t="shared" si="41"/>
        <v>1</v>
      </c>
      <c r="J266" s="962"/>
      <c r="K266" s="53">
        <f t="shared" si="42"/>
        <v>1</v>
      </c>
      <c r="L266" s="962"/>
      <c r="M266" s="53">
        <f t="shared" si="43"/>
        <v>1</v>
      </c>
      <c r="N266" s="962"/>
      <c r="O266" s="53">
        <f t="shared" si="44"/>
        <v>1</v>
      </c>
      <c r="P266" s="962"/>
      <c r="Q266" s="53">
        <f t="shared" si="45"/>
        <v>1</v>
      </c>
      <c r="R266" s="489">
        <f t="shared" si="46"/>
        <v>0</v>
      </c>
      <c r="S266" s="798">
        <f t="shared" si="47"/>
        <v>0</v>
      </c>
    </row>
    <row r="267" spans="1:19">
      <c r="A267" s="964"/>
      <c r="B267" s="137"/>
      <c r="C267" s="53">
        <f t="shared" si="38"/>
        <v>1</v>
      </c>
      <c r="D267" s="962"/>
      <c r="E267" s="53">
        <f t="shared" si="39"/>
        <v>1</v>
      </c>
      <c r="F267" s="962"/>
      <c r="G267" s="53">
        <f t="shared" si="40"/>
        <v>1</v>
      </c>
      <c r="H267" s="962"/>
      <c r="I267" s="53">
        <f t="shared" si="41"/>
        <v>1</v>
      </c>
      <c r="J267" s="962"/>
      <c r="K267" s="53">
        <f t="shared" si="42"/>
        <v>1</v>
      </c>
      <c r="L267" s="962"/>
      <c r="M267" s="53">
        <f t="shared" si="43"/>
        <v>1</v>
      </c>
      <c r="N267" s="962"/>
      <c r="O267" s="53">
        <f t="shared" si="44"/>
        <v>1</v>
      </c>
      <c r="P267" s="962"/>
      <c r="Q267" s="53">
        <f t="shared" si="45"/>
        <v>1</v>
      </c>
      <c r="R267" s="489">
        <f t="shared" si="46"/>
        <v>0</v>
      </c>
      <c r="S267" s="798">
        <f t="shared" si="47"/>
        <v>0</v>
      </c>
    </row>
    <row r="268" spans="1:19">
      <c r="A268" s="964"/>
      <c r="B268" s="137"/>
      <c r="C268" s="53">
        <f t="shared" si="38"/>
        <v>1</v>
      </c>
      <c r="D268" s="962"/>
      <c r="E268" s="53">
        <f t="shared" si="39"/>
        <v>1</v>
      </c>
      <c r="F268" s="962"/>
      <c r="G268" s="53">
        <f t="shared" si="40"/>
        <v>1</v>
      </c>
      <c r="H268" s="962"/>
      <c r="I268" s="53">
        <f t="shared" si="41"/>
        <v>1</v>
      </c>
      <c r="J268" s="962"/>
      <c r="K268" s="53">
        <f t="shared" si="42"/>
        <v>1</v>
      </c>
      <c r="L268" s="962"/>
      <c r="M268" s="53">
        <f t="shared" si="43"/>
        <v>1</v>
      </c>
      <c r="N268" s="962"/>
      <c r="O268" s="53">
        <f t="shared" si="44"/>
        <v>1</v>
      </c>
      <c r="P268" s="962"/>
      <c r="Q268" s="53">
        <f t="shared" si="45"/>
        <v>1</v>
      </c>
      <c r="R268" s="489">
        <f t="shared" si="46"/>
        <v>0</v>
      </c>
      <c r="S268" s="798">
        <f t="shared" si="47"/>
        <v>0</v>
      </c>
    </row>
    <row r="269" spans="1:19">
      <c r="A269" s="964"/>
      <c r="B269" s="137"/>
      <c r="C269" s="53">
        <f t="shared" si="38"/>
        <v>1</v>
      </c>
      <c r="D269" s="962"/>
      <c r="E269" s="53">
        <f t="shared" si="39"/>
        <v>1</v>
      </c>
      <c r="F269" s="962"/>
      <c r="G269" s="53">
        <f t="shared" si="40"/>
        <v>1</v>
      </c>
      <c r="H269" s="962"/>
      <c r="I269" s="53">
        <f t="shared" si="41"/>
        <v>1</v>
      </c>
      <c r="J269" s="962"/>
      <c r="K269" s="53">
        <f t="shared" si="42"/>
        <v>1</v>
      </c>
      <c r="L269" s="962"/>
      <c r="M269" s="53">
        <f t="shared" si="43"/>
        <v>1</v>
      </c>
      <c r="N269" s="962"/>
      <c r="O269" s="53">
        <f t="shared" si="44"/>
        <v>1</v>
      </c>
      <c r="P269" s="962"/>
      <c r="Q269" s="53">
        <f t="shared" si="45"/>
        <v>1</v>
      </c>
      <c r="R269" s="489">
        <f t="shared" si="46"/>
        <v>0</v>
      </c>
      <c r="S269" s="798">
        <f t="shared" si="47"/>
        <v>0</v>
      </c>
    </row>
    <row r="270" spans="1:19">
      <c r="A270" s="964"/>
      <c r="B270" s="137"/>
      <c r="C270" s="53">
        <f t="shared" si="38"/>
        <v>1</v>
      </c>
      <c r="D270" s="962"/>
      <c r="E270" s="53">
        <f t="shared" si="39"/>
        <v>1</v>
      </c>
      <c r="F270" s="962"/>
      <c r="G270" s="53">
        <f t="shared" si="40"/>
        <v>1</v>
      </c>
      <c r="H270" s="962"/>
      <c r="I270" s="53">
        <f t="shared" si="41"/>
        <v>1</v>
      </c>
      <c r="J270" s="962"/>
      <c r="K270" s="53">
        <f t="shared" si="42"/>
        <v>1</v>
      </c>
      <c r="L270" s="962"/>
      <c r="M270" s="53">
        <f t="shared" si="43"/>
        <v>1</v>
      </c>
      <c r="N270" s="962"/>
      <c r="O270" s="53">
        <f t="shared" si="44"/>
        <v>1</v>
      </c>
      <c r="P270" s="962"/>
      <c r="Q270" s="53">
        <f t="shared" si="45"/>
        <v>1</v>
      </c>
      <c r="R270" s="489">
        <f t="shared" si="46"/>
        <v>0</v>
      </c>
      <c r="S270" s="798">
        <f t="shared" si="47"/>
        <v>0</v>
      </c>
    </row>
    <row r="271" spans="1:19">
      <c r="A271" s="964"/>
      <c r="B271" s="137"/>
      <c r="C271" s="53">
        <f t="shared" si="38"/>
        <v>1</v>
      </c>
      <c r="D271" s="962"/>
      <c r="E271" s="53">
        <f t="shared" si="39"/>
        <v>1</v>
      </c>
      <c r="F271" s="962"/>
      <c r="G271" s="53">
        <f t="shared" si="40"/>
        <v>1</v>
      </c>
      <c r="H271" s="962"/>
      <c r="I271" s="53">
        <f t="shared" si="41"/>
        <v>1</v>
      </c>
      <c r="J271" s="962"/>
      <c r="K271" s="53">
        <f t="shared" si="42"/>
        <v>1</v>
      </c>
      <c r="L271" s="962"/>
      <c r="M271" s="53">
        <f t="shared" si="43"/>
        <v>1</v>
      </c>
      <c r="N271" s="962"/>
      <c r="O271" s="53">
        <f t="shared" si="44"/>
        <v>1</v>
      </c>
      <c r="P271" s="962"/>
      <c r="Q271" s="53">
        <f t="shared" si="45"/>
        <v>1</v>
      </c>
      <c r="R271" s="489">
        <f t="shared" si="46"/>
        <v>0</v>
      </c>
      <c r="S271" s="798">
        <f t="shared" si="47"/>
        <v>0</v>
      </c>
    </row>
    <row r="272" spans="1:19">
      <c r="A272" s="964"/>
      <c r="B272" s="137"/>
      <c r="C272" s="53">
        <f t="shared" si="38"/>
        <v>1</v>
      </c>
      <c r="D272" s="962"/>
      <c r="E272" s="53">
        <f t="shared" si="39"/>
        <v>1</v>
      </c>
      <c r="F272" s="962"/>
      <c r="G272" s="53">
        <f t="shared" si="40"/>
        <v>1</v>
      </c>
      <c r="H272" s="962"/>
      <c r="I272" s="53">
        <f t="shared" si="41"/>
        <v>1</v>
      </c>
      <c r="J272" s="962"/>
      <c r="K272" s="53">
        <f t="shared" si="42"/>
        <v>1</v>
      </c>
      <c r="L272" s="962"/>
      <c r="M272" s="53">
        <f t="shared" si="43"/>
        <v>1</v>
      </c>
      <c r="N272" s="962"/>
      <c r="O272" s="53">
        <f t="shared" si="44"/>
        <v>1</v>
      </c>
      <c r="P272" s="962"/>
      <c r="Q272" s="53">
        <f t="shared" si="45"/>
        <v>1</v>
      </c>
      <c r="R272" s="489">
        <f t="shared" si="46"/>
        <v>0</v>
      </c>
      <c r="S272" s="798">
        <f t="shared" si="47"/>
        <v>0</v>
      </c>
    </row>
    <row r="273" spans="1:19">
      <c r="A273" s="964"/>
      <c r="B273" s="137"/>
      <c r="C273" s="53">
        <f t="shared" si="38"/>
        <v>1</v>
      </c>
      <c r="D273" s="962"/>
      <c r="E273" s="53">
        <f t="shared" si="39"/>
        <v>1</v>
      </c>
      <c r="F273" s="962"/>
      <c r="G273" s="53">
        <f t="shared" si="40"/>
        <v>1</v>
      </c>
      <c r="H273" s="962"/>
      <c r="I273" s="53">
        <f t="shared" si="41"/>
        <v>1</v>
      </c>
      <c r="J273" s="962"/>
      <c r="K273" s="53">
        <f t="shared" si="42"/>
        <v>1</v>
      </c>
      <c r="L273" s="962"/>
      <c r="M273" s="53">
        <f t="shared" si="43"/>
        <v>1</v>
      </c>
      <c r="N273" s="962"/>
      <c r="O273" s="53">
        <f t="shared" si="44"/>
        <v>1</v>
      </c>
      <c r="P273" s="962"/>
      <c r="Q273" s="53">
        <f t="shared" si="45"/>
        <v>1</v>
      </c>
      <c r="R273" s="489">
        <f t="shared" si="46"/>
        <v>0</v>
      </c>
      <c r="S273" s="798">
        <f t="shared" si="47"/>
        <v>0</v>
      </c>
    </row>
    <row r="274" spans="1:19">
      <c r="A274" s="964"/>
      <c r="B274" s="137"/>
      <c r="C274" s="53">
        <f t="shared" si="38"/>
        <v>1</v>
      </c>
      <c r="D274" s="962"/>
      <c r="E274" s="53">
        <f t="shared" si="39"/>
        <v>1</v>
      </c>
      <c r="F274" s="962"/>
      <c r="G274" s="53">
        <f t="shared" si="40"/>
        <v>1</v>
      </c>
      <c r="H274" s="962"/>
      <c r="I274" s="53">
        <f t="shared" si="41"/>
        <v>1</v>
      </c>
      <c r="J274" s="962"/>
      <c r="K274" s="53">
        <f t="shared" si="42"/>
        <v>1</v>
      </c>
      <c r="L274" s="962"/>
      <c r="M274" s="53">
        <f t="shared" si="43"/>
        <v>1</v>
      </c>
      <c r="N274" s="962"/>
      <c r="O274" s="53">
        <f t="shared" si="44"/>
        <v>1</v>
      </c>
      <c r="P274" s="962"/>
      <c r="Q274" s="53">
        <f t="shared" si="45"/>
        <v>1</v>
      </c>
      <c r="R274" s="489">
        <f t="shared" si="46"/>
        <v>0</v>
      </c>
      <c r="S274" s="798">
        <f t="shared" si="47"/>
        <v>0</v>
      </c>
    </row>
    <row r="275" spans="1:19">
      <c r="A275" s="964"/>
      <c r="B275" s="137"/>
      <c r="C275" s="53">
        <f t="shared" si="38"/>
        <v>1</v>
      </c>
      <c r="D275" s="962"/>
      <c r="E275" s="53">
        <f t="shared" si="39"/>
        <v>1</v>
      </c>
      <c r="F275" s="962"/>
      <c r="G275" s="53">
        <f t="shared" si="40"/>
        <v>1</v>
      </c>
      <c r="H275" s="962"/>
      <c r="I275" s="53">
        <f t="shared" si="41"/>
        <v>1</v>
      </c>
      <c r="J275" s="962"/>
      <c r="K275" s="53">
        <f t="shared" si="42"/>
        <v>1</v>
      </c>
      <c r="L275" s="962"/>
      <c r="M275" s="53">
        <f t="shared" si="43"/>
        <v>1</v>
      </c>
      <c r="N275" s="962"/>
      <c r="O275" s="53">
        <f t="shared" si="44"/>
        <v>1</v>
      </c>
      <c r="P275" s="962"/>
      <c r="Q275" s="53">
        <f t="shared" si="45"/>
        <v>1</v>
      </c>
      <c r="R275" s="489">
        <f t="shared" si="46"/>
        <v>0</v>
      </c>
      <c r="S275" s="798">
        <f t="shared" si="47"/>
        <v>0</v>
      </c>
    </row>
    <row r="276" spans="1:19">
      <c r="A276" s="964"/>
      <c r="B276" s="137"/>
      <c r="C276" s="53">
        <f t="shared" si="38"/>
        <v>1</v>
      </c>
      <c r="D276" s="962"/>
      <c r="E276" s="53">
        <f t="shared" si="39"/>
        <v>1</v>
      </c>
      <c r="F276" s="962"/>
      <c r="G276" s="53">
        <f t="shared" si="40"/>
        <v>1</v>
      </c>
      <c r="H276" s="962"/>
      <c r="I276" s="53">
        <f t="shared" si="41"/>
        <v>1</v>
      </c>
      <c r="J276" s="962"/>
      <c r="K276" s="53">
        <f t="shared" si="42"/>
        <v>1</v>
      </c>
      <c r="L276" s="962"/>
      <c r="M276" s="53">
        <f t="shared" si="43"/>
        <v>1</v>
      </c>
      <c r="N276" s="962"/>
      <c r="O276" s="53">
        <f t="shared" si="44"/>
        <v>1</v>
      </c>
      <c r="P276" s="962"/>
      <c r="Q276" s="53">
        <f t="shared" si="45"/>
        <v>1</v>
      </c>
      <c r="R276" s="489">
        <f t="shared" si="46"/>
        <v>0</v>
      </c>
      <c r="S276" s="798">
        <f t="shared" si="47"/>
        <v>0</v>
      </c>
    </row>
    <row r="277" spans="1:19">
      <c r="A277" s="964"/>
      <c r="B277" s="137"/>
      <c r="C277" s="53">
        <f t="shared" si="38"/>
        <v>1</v>
      </c>
      <c r="D277" s="962"/>
      <c r="E277" s="53">
        <f t="shared" si="39"/>
        <v>1</v>
      </c>
      <c r="F277" s="962"/>
      <c r="G277" s="53">
        <f t="shared" si="40"/>
        <v>1</v>
      </c>
      <c r="H277" s="962"/>
      <c r="I277" s="53">
        <f t="shared" si="41"/>
        <v>1</v>
      </c>
      <c r="J277" s="962"/>
      <c r="K277" s="53">
        <f t="shared" si="42"/>
        <v>1</v>
      </c>
      <c r="L277" s="962"/>
      <c r="M277" s="53">
        <f t="shared" si="43"/>
        <v>1</v>
      </c>
      <c r="N277" s="962"/>
      <c r="O277" s="53">
        <f t="shared" si="44"/>
        <v>1</v>
      </c>
      <c r="P277" s="962"/>
      <c r="Q277" s="53">
        <f t="shared" si="45"/>
        <v>1</v>
      </c>
      <c r="R277" s="489">
        <f t="shared" si="46"/>
        <v>0</v>
      </c>
      <c r="S277" s="798">
        <f t="shared" si="47"/>
        <v>0</v>
      </c>
    </row>
    <row r="278" spans="1:19">
      <c r="A278" s="964"/>
      <c r="B278" s="137"/>
      <c r="C278" s="53">
        <f t="shared" si="38"/>
        <v>1</v>
      </c>
      <c r="D278" s="962"/>
      <c r="E278" s="53">
        <f t="shared" si="39"/>
        <v>1</v>
      </c>
      <c r="F278" s="962"/>
      <c r="G278" s="53">
        <f t="shared" si="40"/>
        <v>1</v>
      </c>
      <c r="H278" s="962"/>
      <c r="I278" s="53">
        <f t="shared" si="41"/>
        <v>1</v>
      </c>
      <c r="J278" s="962"/>
      <c r="K278" s="53">
        <f t="shared" si="42"/>
        <v>1</v>
      </c>
      <c r="L278" s="962"/>
      <c r="M278" s="53">
        <f t="shared" si="43"/>
        <v>1</v>
      </c>
      <c r="N278" s="962"/>
      <c r="O278" s="53">
        <f t="shared" si="44"/>
        <v>1</v>
      </c>
      <c r="P278" s="962"/>
      <c r="Q278" s="53">
        <f t="shared" si="45"/>
        <v>1</v>
      </c>
      <c r="R278" s="489">
        <f t="shared" si="46"/>
        <v>0</v>
      </c>
      <c r="S278" s="798">
        <f t="shared" si="47"/>
        <v>0</v>
      </c>
    </row>
    <row r="279" spans="1:19">
      <c r="A279" s="964"/>
      <c r="B279" s="137"/>
      <c r="C279" s="53">
        <f t="shared" si="38"/>
        <v>1</v>
      </c>
      <c r="D279" s="962"/>
      <c r="E279" s="53">
        <f t="shared" si="39"/>
        <v>1</v>
      </c>
      <c r="F279" s="962"/>
      <c r="G279" s="53">
        <f t="shared" si="40"/>
        <v>1</v>
      </c>
      <c r="H279" s="962"/>
      <c r="I279" s="53">
        <f t="shared" si="41"/>
        <v>1</v>
      </c>
      <c r="J279" s="962"/>
      <c r="K279" s="53">
        <f t="shared" si="42"/>
        <v>1</v>
      </c>
      <c r="L279" s="962"/>
      <c r="M279" s="53">
        <f t="shared" si="43"/>
        <v>1</v>
      </c>
      <c r="N279" s="962"/>
      <c r="O279" s="53">
        <f t="shared" si="44"/>
        <v>1</v>
      </c>
      <c r="P279" s="962"/>
      <c r="Q279" s="53">
        <f t="shared" si="45"/>
        <v>1</v>
      </c>
      <c r="R279" s="489">
        <f t="shared" si="46"/>
        <v>0</v>
      </c>
      <c r="S279" s="798">
        <f t="shared" si="47"/>
        <v>0</v>
      </c>
    </row>
    <row r="280" spans="1:19">
      <c r="A280" s="964"/>
      <c r="B280" s="137"/>
      <c r="C280" s="53">
        <f t="shared" si="38"/>
        <v>1</v>
      </c>
      <c r="D280" s="962"/>
      <c r="E280" s="53">
        <f t="shared" si="39"/>
        <v>1</v>
      </c>
      <c r="F280" s="962"/>
      <c r="G280" s="53">
        <f t="shared" si="40"/>
        <v>1</v>
      </c>
      <c r="H280" s="962"/>
      <c r="I280" s="53">
        <f t="shared" si="41"/>
        <v>1</v>
      </c>
      <c r="J280" s="962"/>
      <c r="K280" s="53">
        <f t="shared" si="42"/>
        <v>1</v>
      </c>
      <c r="L280" s="962"/>
      <c r="M280" s="53">
        <f t="shared" si="43"/>
        <v>1</v>
      </c>
      <c r="N280" s="962"/>
      <c r="O280" s="53">
        <f t="shared" si="44"/>
        <v>1</v>
      </c>
      <c r="P280" s="962"/>
      <c r="Q280" s="53">
        <f t="shared" si="45"/>
        <v>1</v>
      </c>
      <c r="R280" s="489">
        <f t="shared" si="46"/>
        <v>0</v>
      </c>
      <c r="S280" s="798">
        <f t="shared" si="47"/>
        <v>0</v>
      </c>
    </row>
    <row r="281" spans="1:19">
      <c r="A281" s="964"/>
      <c r="B281" s="137"/>
      <c r="C281" s="53">
        <f t="shared" si="38"/>
        <v>1</v>
      </c>
      <c r="D281" s="962"/>
      <c r="E281" s="53">
        <f t="shared" si="39"/>
        <v>1</v>
      </c>
      <c r="F281" s="962"/>
      <c r="G281" s="53">
        <f t="shared" si="40"/>
        <v>1</v>
      </c>
      <c r="H281" s="962"/>
      <c r="I281" s="53">
        <f t="shared" si="41"/>
        <v>1</v>
      </c>
      <c r="J281" s="962"/>
      <c r="K281" s="53">
        <f t="shared" si="42"/>
        <v>1</v>
      </c>
      <c r="L281" s="962"/>
      <c r="M281" s="53">
        <f t="shared" si="43"/>
        <v>1</v>
      </c>
      <c r="N281" s="962"/>
      <c r="O281" s="53">
        <f t="shared" si="44"/>
        <v>1</v>
      </c>
      <c r="P281" s="962"/>
      <c r="Q281" s="53">
        <f t="shared" si="45"/>
        <v>1</v>
      </c>
      <c r="R281" s="489">
        <f t="shared" si="46"/>
        <v>0</v>
      </c>
      <c r="S281" s="798">
        <f t="shared" si="47"/>
        <v>0</v>
      </c>
    </row>
    <row r="282" spans="1:19">
      <c r="A282" s="964"/>
      <c r="B282" s="137"/>
      <c r="C282" s="53">
        <f t="shared" ref="C282:C345" si="48">IF(B282="",1,(LOOKUP(B282,$3:$3,$4:$4)-LOOKUP($B$24,$3:$3,$4:$4)+100)/100)</f>
        <v>1</v>
      </c>
      <c r="D282" s="962"/>
      <c r="E282" s="53">
        <f t="shared" ref="E282:E345" si="49">(SUMIF($5:$5,D282,$6:$6)-SUMIF($5:$5,$D$24,$6:$6)+100)/100</f>
        <v>1</v>
      </c>
      <c r="F282" s="962"/>
      <c r="G282" s="53">
        <f t="shared" ref="G282:G345" si="50">(SUMIF($7:$7,F282,$8:$8)-SUMIF($7:$7,$F$24,$8:$8)+100)/100</f>
        <v>1</v>
      </c>
      <c r="H282" s="962"/>
      <c r="I282" s="53">
        <f t="shared" ref="I282:I345" si="51">(SUMIF($9:$9,H282,$10:$10)-SUMIF($9:$9,$H$24,$10:$10)+100)/100</f>
        <v>1</v>
      </c>
      <c r="J282" s="962"/>
      <c r="K282" s="53">
        <f t="shared" ref="K282:K345" si="52">(SUMIF($11:$11,J282,$12:$12)-SUMIF($11:$11,$J$24,$12:$12)+100)/100</f>
        <v>1</v>
      </c>
      <c r="L282" s="962"/>
      <c r="M282" s="53">
        <f t="shared" ref="M282:M345" si="53">(SUMIF($13:$13,L282,$14:$14)-SUMIF($13:$13,$L$24,$14:$14)+100)/100</f>
        <v>1</v>
      </c>
      <c r="N282" s="962"/>
      <c r="O282" s="53">
        <f t="shared" ref="O282:O345" si="54">(SUMIF($15:$15,N282,$16:$16)-SUMIF($15:$15,$N$24,$16:$16)+100)/100</f>
        <v>1</v>
      </c>
      <c r="P282" s="962"/>
      <c r="Q282" s="53">
        <f t="shared" ref="Q282:Q345" si="55">(SUMIF($17:$17,P282,$18:$18)-SUMIF($17:$17,$P$24,$18:$18)+100)/100</f>
        <v>1</v>
      </c>
      <c r="R282" s="489">
        <f t="shared" ref="R282:R345" si="56">IF(B282="",0,ROUND($R$24*C282*E282*G282*I282*K282*M282*O282*Q282,0))</f>
        <v>0</v>
      </c>
      <c r="S282" s="798">
        <f t="shared" si="47"/>
        <v>0</v>
      </c>
    </row>
    <row r="283" spans="1:19">
      <c r="A283" s="964"/>
      <c r="B283" s="137"/>
      <c r="C283" s="53">
        <f t="shared" si="48"/>
        <v>1</v>
      </c>
      <c r="D283" s="962"/>
      <c r="E283" s="53">
        <f t="shared" si="49"/>
        <v>1</v>
      </c>
      <c r="F283" s="962"/>
      <c r="G283" s="53">
        <f t="shared" si="50"/>
        <v>1</v>
      </c>
      <c r="H283" s="962"/>
      <c r="I283" s="53">
        <f t="shared" si="51"/>
        <v>1</v>
      </c>
      <c r="J283" s="962"/>
      <c r="K283" s="53">
        <f t="shared" si="52"/>
        <v>1</v>
      </c>
      <c r="L283" s="962"/>
      <c r="M283" s="53">
        <f t="shared" si="53"/>
        <v>1</v>
      </c>
      <c r="N283" s="962"/>
      <c r="O283" s="53">
        <f t="shared" si="54"/>
        <v>1</v>
      </c>
      <c r="P283" s="962"/>
      <c r="Q283" s="53">
        <f t="shared" si="55"/>
        <v>1</v>
      </c>
      <c r="R283" s="489">
        <f t="shared" si="56"/>
        <v>0</v>
      </c>
      <c r="S283" s="798">
        <f t="shared" si="47"/>
        <v>0</v>
      </c>
    </row>
    <row r="284" spans="1:19">
      <c r="A284" s="964"/>
      <c r="B284" s="137"/>
      <c r="C284" s="53">
        <f t="shared" si="48"/>
        <v>1</v>
      </c>
      <c r="D284" s="962"/>
      <c r="E284" s="53">
        <f t="shared" si="49"/>
        <v>1</v>
      </c>
      <c r="F284" s="962"/>
      <c r="G284" s="53">
        <f t="shared" si="50"/>
        <v>1</v>
      </c>
      <c r="H284" s="962"/>
      <c r="I284" s="53">
        <f t="shared" si="51"/>
        <v>1</v>
      </c>
      <c r="J284" s="962"/>
      <c r="K284" s="53">
        <f t="shared" si="52"/>
        <v>1</v>
      </c>
      <c r="L284" s="962"/>
      <c r="M284" s="53">
        <f t="shared" si="53"/>
        <v>1</v>
      </c>
      <c r="N284" s="962"/>
      <c r="O284" s="53">
        <f t="shared" si="54"/>
        <v>1</v>
      </c>
      <c r="P284" s="962"/>
      <c r="Q284" s="53">
        <f t="shared" si="55"/>
        <v>1</v>
      </c>
      <c r="R284" s="489">
        <f t="shared" si="56"/>
        <v>0</v>
      </c>
      <c r="S284" s="798">
        <f t="shared" si="47"/>
        <v>0</v>
      </c>
    </row>
    <row r="285" spans="1:19">
      <c r="A285" s="964"/>
      <c r="B285" s="137"/>
      <c r="C285" s="53">
        <f t="shared" si="48"/>
        <v>1</v>
      </c>
      <c r="D285" s="962"/>
      <c r="E285" s="53">
        <f t="shared" si="49"/>
        <v>1</v>
      </c>
      <c r="F285" s="962"/>
      <c r="G285" s="53">
        <f t="shared" si="50"/>
        <v>1</v>
      </c>
      <c r="H285" s="962"/>
      <c r="I285" s="53">
        <f t="shared" si="51"/>
        <v>1</v>
      </c>
      <c r="J285" s="962"/>
      <c r="K285" s="53">
        <f t="shared" si="52"/>
        <v>1</v>
      </c>
      <c r="L285" s="962"/>
      <c r="M285" s="53">
        <f t="shared" si="53"/>
        <v>1</v>
      </c>
      <c r="N285" s="962"/>
      <c r="O285" s="53">
        <f t="shared" si="54"/>
        <v>1</v>
      </c>
      <c r="P285" s="962"/>
      <c r="Q285" s="53">
        <f t="shared" si="55"/>
        <v>1</v>
      </c>
      <c r="R285" s="489">
        <f t="shared" si="56"/>
        <v>0</v>
      </c>
      <c r="S285" s="798">
        <f t="shared" si="47"/>
        <v>0</v>
      </c>
    </row>
    <row r="286" spans="1:19">
      <c r="A286" s="964"/>
      <c r="B286" s="137"/>
      <c r="C286" s="53">
        <f t="shared" si="48"/>
        <v>1</v>
      </c>
      <c r="D286" s="962"/>
      <c r="E286" s="53">
        <f t="shared" si="49"/>
        <v>1</v>
      </c>
      <c r="F286" s="962"/>
      <c r="G286" s="53">
        <f t="shared" si="50"/>
        <v>1</v>
      </c>
      <c r="H286" s="962"/>
      <c r="I286" s="53">
        <f t="shared" si="51"/>
        <v>1</v>
      </c>
      <c r="J286" s="962"/>
      <c r="K286" s="53">
        <f t="shared" si="52"/>
        <v>1</v>
      </c>
      <c r="L286" s="962"/>
      <c r="M286" s="53">
        <f t="shared" si="53"/>
        <v>1</v>
      </c>
      <c r="N286" s="962"/>
      <c r="O286" s="53">
        <f t="shared" si="54"/>
        <v>1</v>
      </c>
      <c r="P286" s="962"/>
      <c r="Q286" s="53">
        <f t="shared" si="55"/>
        <v>1</v>
      </c>
      <c r="R286" s="489">
        <f t="shared" si="56"/>
        <v>0</v>
      </c>
      <c r="S286" s="798">
        <f t="shared" si="47"/>
        <v>0</v>
      </c>
    </row>
    <row r="287" spans="1:19">
      <c r="A287" s="964"/>
      <c r="B287" s="137"/>
      <c r="C287" s="53">
        <f t="shared" si="48"/>
        <v>1</v>
      </c>
      <c r="D287" s="962"/>
      <c r="E287" s="53">
        <f t="shared" si="49"/>
        <v>1</v>
      </c>
      <c r="F287" s="962"/>
      <c r="G287" s="53">
        <f t="shared" si="50"/>
        <v>1</v>
      </c>
      <c r="H287" s="962"/>
      <c r="I287" s="53">
        <f t="shared" si="51"/>
        <v>1</v>
      </c>
      <c r="J287" s="962"/>
      <c r="K287" s="53">
        <f t="shared" si="52"/>
        <v>1</v>
      </c>
      <c r="L287" s="962"/>
      <c r="M287" s="53">
        <f t="shared" si="53"/>
        <v>1</v>
      </c>
      <c r="N287" s="962"/>
      <c r="O287" s="53">
        <f t="shared" si="54"/>
        <v>1</v>
      </c>
      <c r="P287" s="962"/>
      <c r="Q287" s="53">
        <f t="shared" si="55"/>
        <v>1</v>
      </c>
      <c r="R287" s="489">
        <f t="shared" si="56"/>
        <v>0</v>
      </c>
      <c r="S287" s="798">
        <f t="shared" ref="S287:S320" si="57">ROUND(R287*B287/10000,0)</f>
        <v>0</v>
      </c>
    </row>
    <row r="288" spans="1:19">
      <c r="A288" s="964"/>
      <c r="B288" s="137"/>
      <c r="C288" s="53">
        <f t="shared" si="48"/>
        <v>1</v>
      </c>
      <c r="D288" s="962"/>
      <c r="E288" s="53">
        <f t="shared" si="49"/>
        <v>1</v>
      </c>
      <c r="F288" s="962"/>
      <c r="G288" s="53">
        <f t="shared" si="50"/>
        <v>1</v>
      </c>
      <c r="H288" s="962"/>
      <c r="I288" s="53">
        <f t="shared" si="51"/>
        <v>1</v>
      </c>
      <c r="J288" s="962"/>
      <c r="K288" s="53">
        <f t="shared" si="52"/>
        <v>1</v>
      </c>
      <c r="L288" s="962"/>
      <c r="M288" s="53">
        <f t="shared" si="53"/>
        <v>1</v>
      </c>
      <c r="N288" s="962"/>
      <c r="O288" s="53">
        <f t="shared" si="54"/>
        <v>1</v>
      </c>
      <c r="P288" s="962"/>
      <c r="Q288" s="53">
        <f t="shared" si="55"/>
        <v>1</v>
      </c>
      <c r="R288" s="489">
        <f t="shared" si="56"/>
        <v>0</v>
      </c>
      <c r="S288" s="798">
        <f t="shared" si="57"/>
        <v>0</v>
      </c>
    </row>
    <row r="289" spans="1:19">
      <c r="A289" s="964"/>
      <c r="B289" s="137"/>
      <c r="C289" s="53">
        <f t="shared" si="48"/>
        <v>1</v>
      </c>
      <c r="D289" s="962"/>
      <c r="E289" s="53">
        <f t="shared" si="49"/>
        <v>1</v>
      </c>
      <c r="F289" s="962"/>
      <c r="G289" s="53">
        <f t="shared" si="50"/>
        <v>1</v>
      </c>
      <c r="H289" s="962"/>
      <c r="I289" s="53">
        <f t="shared" si="51"/>
        <v>1</v>
      </c>
      <c r="J289" s="962"/>
      <c r="K289" s="53">
        <f t="shared" si="52"/>
        <v>1</v>
      </c>
      <c r="L289" s="962"/>
      <c r="M289" s="53">
        <f t="shared" si="53"/>
        <v>1</v>
      </c>
      <c r="N289" s="962"/>
      <c r="O289" s="53">
        <f t="shared" si="54"/>
        <v>1</v>
      </c>
      <c r="P289" s="962"/>
      <c r="Q289" s="53">
        <f t="shared" si="55"/>
        <v>1</v>
      </c>
      <c r="R289" s="489">
        <f t="shared" si="56"/>
        <v>0</v>
      </c>
      <c r="S289" s="798">
        <f t="shared" si="57"/>
        <v>0</v>
      </c>
    </row>
    <row r="290" spans="1:19">
      <c r="A290" s="964"/>
      <c r="B290" s="137"/>
      <c r="C290" s="53">
        <f t="shared" si="48"/>
        <v>1</v>
      </c>
      <c r="D290" s="962"/>
      <c r="E290" s="53">
        <f t="shared" si="49"/>
        <v>1</v>
      </c>
      <c r="F290" s="962"/>
      <c r="G290" s="53">
        <f t="shared" si="50"/>
        <v>1</v>
      </c>
      <c r="H290" s="962"/>
      <c r="I290" s="53">
        <f t="shared" si="51"/>
        <v>1</v>
      </c>
      <c r="J290" s="962"/>
      <c r="K290" s="53">
        <f t="shared" si="52"/>
        <v>1</v>
      </c>
      <c r="L290" s="962"/>
      <c r="M290" s="53">
        <f t="shared" si="53"/>
        <v>1</v>
      </c>
      <c r="N290" s="962"/>
      <c r="O290" s="53">
        <f t="shared" si="54"/>
        <v>1</v>
      </c>
      <c r="P290" s="962"/>
      <c r="Q290" s="53">
        <f t="shared" si="55"/>
        <v>1</v>
      </c>
      <c r="R290" s="489">
        <f t="shared" si="56"/>
        <v>0</v>
      </c>
      <c r="S290" s="798">
        <f t="shared" si="57"/>
        <v>0</v>
      </c>
    </row>
    <row r="291" spans="1:19">
      <c r="A291" s="964"/>
      <c r="B291" s="137"/>
      <c r="C291" s="53">
        <f t="shared" si="48"/>
        <v>1</v>
      </c>
      <c r="D291" s="962"/>
      <c r="E291" s="53">
        <f t="shared" si="49"/>
        <v>1</v>
      </c>
      <c r="F291" s="962"/>
      <c r="G291" s="53">
        <f t="shared" si="50"/>
        <v>1</v>
      </c>
      <c r="H291" s="962"/>
      <c r="I291" s="53">
        <f t="shared" si="51"/>
        <v>1</v>
      </c>
      <c r="J291" s="962"/>
      <c r="K291" s="53">
        <f t="shared" si="52"/>
        <v>1</v>
      </c>
      <c r="L291" s="962"/>
      <c r="M291" s="53">
        <f t="shared" si="53"/>
        <v>1</v>
      </c>
      <c r="N291" s="962"/>
      <c r="O291" s="53">
        <f t="shared" si="54"/>
        <v>1</v>
      </c>
      <c r="P291" s="962"/>
      <c r="Q291" s="53">
        <f t="shared" si="55"/>
        <v>1</v>
      </c>
      <c r="R291" s="489">
        <f t="shared" si="56"/>
        <v>0</v>
      </c>
      <c r="S291" s="798">
        <f t="shared" si="57"/>
        <v>0</v>
      </c>
    </row>
    <row r="292" spans="1:19">
      <c r="A292" s="964"/>
      <c r="B292" s="137"/>
      <c r="C292" s="53">
        <f t="shared" si="48"/>
        <v>1</v>
      </c>
      <c r="D292" s="962"/>
      <c r="E292" s="53">
        <f t="shared" si="49"/>
        <v>1</v>
      </c>
      <c r="F292" s="962"/>
      <c r="G292" s="53">
        <f t="shared" si="50"/>
        <v>1</v>
      </c>
      <c r="H292" s="962"/>
      <c r="I292" s="53">
        <f t="shared" si="51"/>
        <v>1</v>
      </c>
      <c r="J292" s="962"/>
      <c r="K292" s="53">
        <f t="shared" si="52"/>
        <v>1</v>
      </c>
      <c r="L292" s="962"/>
      <c r="M292" s="53">
        <f t="shared" si="53"/>
        <v>1</v>
      </c>
      <c r="N292" s="962"/>
      <c r="O292" s="53">
        <f t="shared" si="54"/>
        <v>1</v>
      </c>
      <c r="P292" s="962"/>
      <c r="Q292" s="53">
        <f t="shared" si="55"/>
        <v>1</v>
      </c>
      <c r="R292" s="489">
        <f t="shared" si="56"/>
        <v>0</v>
      </c>
      <c r="S292" s="798">
        <f t="shared" si="57"/>
        <v>0</v>
      </c>
    </row>
    <row r="293" spans="1:19">
      <c r="A293" s="964"/>
      <c r="B293" s="137"/>
      <c r="C293" s="53">
        <f t="shared" si="48"/>
        <v>1</v>
      </c>
      <c r="D293" s="962"/>
      <c r="E293" s="53">
        <f t="shared" si="49"/>
        <v>1</v>
      </c>
      <c r="F293" s="962"/>
      <c r="G293" s="53">
        <f t="shared" si="50"/>
        <v>1</v>
      </c>
      <c r="H293" s="962"/>
      <c r="I293" s="53">
        <f t="shared" si="51"/>
        <v>1</v>
      </c>
      <c r="J293" s="962"/>
      <c r="K293" s="53">
        <f t="shared" si="52"/>
        <v>1</v>
      </c>
      <c r="L293" s="962"/>
      <c r="M293" s="53">
        <f t="shared" si="53"/>
        <v>1</v>
      </c>
      <c r="N293" s="962"/>
      <c r="O293" s="53">
        <f t="shared" si="54"/>
        <v>1</v>
      </c>
      <c r="P293" s="962"/>
      <c r="Q293" s="53">
        <f t="shared" si="55"/>
        <v>1</v>
      </c>
      <c r="R293" s="489">
        <f t="shared" si="56"/>
        <v>0</v>
      </c>
      <c r="S293" s="798">
        <f t="shared" si="57"/>
        <v>0</v>
      </c>
    </row>
    <row r="294" spans="1:19">
      <c r="A294" s="964"/>
      <c r="B294" s="137"/>
      <c r="C294" s="53">
        <f t="shared" si="48"/>
        <v>1</v>
      </c>
      <c r="D294" s="962"/>
      <c r="E294" s="53">
        <f t="shared" si="49"/>
        <v>1</v>
      </c>
      <c r="F294" s="962"/>
      <c r="G294" s="53">
        <f t="shared" si="50"/>
        <v>1</v>
      </c>
      <c r="H294" s="962"/>
      <c r="I294" s="53">
        <f t="shared" si="51"/>
        <v>1</v>
      </c>
      <c r="J294" s="962"/>
      <c r="K294" s="53">
        <f t="shared" si="52"/>
        <v>1</v>
      </c>
      <c r="L294" s="962"/>
      <c r="M294" s="53">
        <f t="shared" si="53"/>
        <v>1</v>
      </c>
      <c r="N294" s="962"/>
      <c r="O294" s="53">
        <f t="shared" si="54"/>
        <v>1</v>
      </c>
      <c r="P294" s="962"/>
      <c r="Q294" s="53">
        <f t="shared" si="55"/>
        <v>1</v>
      </c>
      <c r="R294" s="489">
        <f t="shared" si="56"/>
        <v>0</v>
      </c>
      <c r="S294" s="798">
        <f t="shared" si="57"/>
        <v>0</v>
      </c>
    </row>
    <row r="295" spans="1:19">
      <c r="A295" s="964"/>
      <c r="B295" s="137"/>
      <c r="C295" s="53">
        <f t="shared" si="48"/>
        <v>1</v>
      </c>
      <c r="D295" s="962"/>
      <c r="E295" s="53">
        <f t="shared" si="49"/>
        <v>1</v>
      </c>
      <c r="F295" s="962"/>
      <c r="G295" s="53">
        <f t="shared" si="50"/>
        <v>1</v>
      </c>
      <c r="H295" s="962"/>
      <c r="I295" s="53">
        <f t="shared" si="51"/>
        <v>1</v>
      </c>
      <c r="J295" s="962"/>
      <c r="K295" s="53">
        <f t="shared" si="52"/>
        <v>1</v>
      </c>
      <c r="L295" s="962"/>
      <c r="M295" s="53">
        <f t="shared" si="53"/>
        <v>1</v>
      </c>
      <c r="N295" s="962"/>
      <c r="O295" s="53">
        <f t="shared" si="54"/>
        <v>1</v>
      </c>
      <c r="P295" s="962"/>
      <c r="Q295" s="53">
        <f t="shared" si="55"/>
        <v>1</v>
      </c>
      <c r="R295" s="489">
        <f t="shared" si="56"/>
        <v>0</v>
      </c>
      <c r="S295" s="798">
        <f t="shared" si="57"/>
        <v>0</v>
      </c>
    </row>
    <row r="296" spans="1:19">
      <c r="A296" s="964"/>
      <c r="B296" s="137"/>
      <c r="C296" s="53">
        <f t="shared" si="48"/>
        <v>1</v>
      </c>
      <c r="D296" s="962"/>
      <c r="E296" s="53">
        <f t="shared" si="49"/>
        <v>1</v>
      </c>
      <c r="F296" s="962"/>
      <c r="G296" s="53">
        <f t="shared" si="50"/>
        <v>1</v>
      </c>
      <c r="H296" s="962"/>
      <c r="I296" s="53">
        <f t="shared" si="51"/>
        <v>1</v>
      </c>
      <c r="J296" s="962"/>
      <c r="K296" s="53">
        <f t="shared" si="52"/>
        <v>1</v>
      </c>
      <c r="L296" s="962"/>
      <c r="M296" s="53">
        <f t="shared" si="53"/>
        <v>1</v>
      </c>
      <c r="N296" s="962"/>
      <c r="O296" s="53">
        <f t="shared" si="54"/>
        <v>1</v>
      </c>
      <c r="P296" s="962"/>
      <c r="Q296" s="53">
        <f t="shared" si="55"/>
        <v>1</v>
      </c>
      <c r="R296" s="489">
        <f t="shared" si="56"/>
        <v>0</v>
      </c>
      <c r="S296" s="798">
        <f t="shared" si="57"/>
        <v>0</v>
      </c>
    </row>
    <row r="297" spans="1:19">
      <c r="A297" s="964"/>
      <c r="B297" s="137"/>
      <c r="C297" s="53">
        <f t="shared" si="48"/>
        <v>1</v>
      </c>
      <c r="D297" s="962"/>
      <c r="E297" s="53">
        <f t="shared" si="49"/>
        <v>1</v>
      </c>
      <c r="F297" s="962"/>
      <c r="G297" s="53">
        <f t="shared" si="50"/>
        <v>1</v>
      </c>
      <c r="H297" s="962"/>
      <c r="I297" s="53">
        <f t="shared" si="51"/>
        <v>1</v>
      </c>
      <c r="J297" s="962"/>
      <c r="K297" s="53">
        <f t="shared" si="52"/>
        <v>1</v>
      </c>
      <c r="L297" s="962"/>
      <c r="M297" s="53">
        <f t="shared" si="53"/>
        <v>1</v>
      </c>
      <c r="N297" s="962"/>
      <c r="O297" s="53">
        <f t="shared" si="54"/>
        <v>1</v>
      </c>
      <c r="P297" s="962"/>
      <c r="Q297" s="53">
        <f t="shared" si="55"/>
        <v>1</v>
      </c>
      <c r="R297" s="489">
        <f t="shared" si="56"/>
        <v>0</v>
      </c>
      <c r="S297" s="798">
        <f t="shared" si="57"/>
        <v>0</v>
      </c>
    </row>
    <row r="298" spans="1:19">
      <c r="A298" s="964"/>
      <c r="B298" s="137"/>
      <c r="C298" s="53">
        <f t="shared" si="48"/>
        <v>1</v>
      </c>
      <c r="D298" s="962"/>
      <c r="E298" s="53">
        <f t="shared" si="49"/>
        <v>1</v>
      </c>
      <c r="F298" s="962"/>
      <c r="G298" s="53">
        <f t="shared" si="50"/>
        <v>1</v>
      </c>
      <c r="H298" s="962"/>
      <c r="I298" s="53">
        <f t="shared" si="51"/>
        <v>1</v>
      </c>
      <c r="J298" s="962"/>
      <c r="K298" s="53">
        <f t="shared" si="52"/>
        <v>1</v>
      </c>
      <c r="L298" s="962"/>
      <c r="M298" s="53">
        <f t="shared" si="53"/>
        <v>1</v>
      </c>
      <c r="N298" s="962"/>
      <c r="O298" s="53">
        <f t="shared" si="54"/>
        <v>1</v>
      </c>
      <c r="P298" s="962"/>
      <c r="Q298" s="53">
        <f t="shared" si="55"/>
        <v>1</v>
      </c>
      <c r="R298" s="489">
        <f t="shared" si="56"/>
        <v>0</v>
      </c>
      <c r="S298" s="798">
        <f t="shared" si="57"/>
        <v>0</v>
      </c>
    </row>
    <row r="299" spans="1:19">
      <c r="A299" s="964"/>
      <c r="B299" s="137"/>
      <c r="C299" s="53">
        <f t="shared" si="48"/>
        <v>1</v>
      </c>
      <c r="D299" s="962"/>
      <c r="E299" s="53">
        <f t="shared" si="49"/>
        <v>1</v>
      </c>
      <c r="F299" s="962"/>
      <c r="G299" s="53">
        <f t="shared" si="50"/>
        <v>1</v>
      </c>
      <c r="H299" s="962"/>
      <c r="I299" s="53">
        <f t="shared" si="51"/>
        <v>1</v>
      </c>
      <c r="J299" s="962"/>
      <c r="K299" s="53">
        <f t="shared" si="52"/>
        <v>1</v>
      </c>
      <c r="L299" s="962"/>
      <c r="M299" s="53">
        <f t="shared" si="53"/>
        <v>1</v>
      </c>
      <c r="N299" s="962"/>
      <c r="O299" s="53">
        <f t="shared" si="54"/>
        <v>1</v>
      </c>
      <c r="P299" s="962"/>
      <c r="Q299" s="53">
        <f t="shared" si="55"/>
        <v>1</v>
      </c>
      <c r="R299" s="489">
        <f t="shared" si="56"/>
        <v>0</v>
      </c>
      <c r="S299" s="798">
        <f t="shared" si="57"/>
        <v>0</v>
      </c>
    </row>
    <row r="300" spans="1:19">
      <c r="A300" s="964"/>
      <c r="B300" s="137"/>
      <c r="C300" s="53">
        <f t="shared" si="48"/>
        <v>1</v>
      </c>
      <c r="D300" s="962"/>
      <c r="E300" s="53">
        <f t="shared" si="49"/>
        <v>1</v>
      </c>
      <c r="F300" s="962"/>
      <c r="G300" s="53">
        <f t="shared" si="50"/>
        <v>1</v>
      </c>
      <c r="H300" s="962"/>
      <c r="I300" s="53">
        <f t="shared" si="51"/>
        <v>1</v>
      </c>
      <c r="J300" s="962"/>
      <c r="K300" s="53">
        <f t="shared" si="52"/>
        <v>1</v>
      </c>
      <c r="L300" s="962"/>
      <c r="M300" s="53">
        <f t="shared" si="53"/>
        <v>1</v>
      </c>
      <c r="N300" s="962"/>
      <c r="O300" s="53">
        <f t="shared" si="54"/>
        <v>1</v>
      </c>
      <c r="P300" s="962"/>
      <c r="Q300" s="53">
        <f t="shared" si="55"/>
        <v>1</v>
      </c>
      <c r="R300" s="489">
        <f t="shared" si="56"/>
        <v>0</v>
      </c>
      <c r="S300" s="798">
        <f t="shared" si="57"/>
        <v>0</v>
      </c>
    </row>
    <row r="301" spans="1:19">
      <c r="A301" s="964"/>
      <c r="B301" s="137"/>
      <c r="C301" s="53">
        <f t="shared" si="48"/>
        <v>1</v>
      </c>
      <c r="D301" s="962"/>
      <c r="E301" s="53">
        <f t="shared" si="49"/>
        <v>1</v>
      </c>
      <c r="F301" s="962"/>
      <c r="G301" s="53">
        <f t="shared" si="50"/>
        <v>1</v>
      </c>
      <c r="H301" s="962"/>
      <c r="I301" s="53">
        <f t="shared" si="51"/>
        <v>1</v>
      </c>
      <c r="J301" s="962"/>
      <c r="K301" s="53">
        <f t="shared" si="52"/>
        <v>1</v>
      </c>
      <c r="L301" s="962"/>
      <c r="M301" s="53">
        <f t="shared" si="53"/>
        <v>1</v>
      </c>
      <c r="N301" s="962"/>
      <c r="O301" s="53">
        <f t="shared" si="54"/>
        <v>1</v>
      </c>
      <c r="P301" s="962"/>
      <c r="Q301" s="53">
        <f t="shared" si="55"/>
        <v>1</v>
      </c>
      <c r="R301" s="489">
        <f t="shared" si="56"/>
        <v>0</v>
      </c>
      <c r="S301" s="798">
        <f t="shared" si="57"/>
        <v>0</v>
      </c>
    </row>
    <row r="302" spans="1:19">
      <c r="A302" s="964"/>
      <c r="B302" s="137"/>
      <c r="C302" s="53">
        <f t="shared" si="48"/>
        <v>1</v>
      </c>
      <c r="D302" s="962"/>
      <c r="E302" s="53">
        <f t="shared" si="49"/>
        <v>1</v>
      </c>
      <c r="F302" s="962"/>
      <c r="G302" s="53">
        <f t="shared" si="50"/>
        <v>1</v>
      </c>
      <c r="H302" s="962"/>
      <c r="I302" s="53">
        <f t="shared" si="51"/>
        <v>1</v>
      </c>
      <c r="J302" s="962"/>
      <c r="K302" s="53">
        <f t="shared" si="52"/>
        <v>1</v>
      </c>
      <c r="L302" s="962"/>
      <c r="M302" s="53">
        <f t="shared" si="53"/>
        <v>1</v>
      </c>
      <c r="N302" s="962"/>
      <c r="O302" s="53">
        <f t="shared" si="54"/>
        <v>1</v>
      </c>
      <c r="P302" s="962"/>
      <c r="Q302" s="53">
        <f t="shared" si="55"/>
        <v>1</v>
      </c>
      <c r="R302" s="489">
        <f t="shared" si="56"/>
        <v>0</v>
      </c>
      <c r="S302" s="798">
        <f t="shared" si="57"/>
        <v>0</v>
      </c>
    </row>
    <row r="303" spans="1:19">
      <c r="A303" s="964"/>
      <c r="B303" s="137"/>
      <c r="C303" s="53">
        <f t="shared" si="48"/>
        <v>1</v>
      </c>
      <c r="D303" s="962"/>
      <c r="E303" s="53">
        <f t="shared" si="49"/>
        <v>1</v>
      </c>
      <c r="F303" s="962"/>
      <c r="G303" s="53">
        <f t="shared" si="50"/>
        <v>1</v>
      </c>
      <c r="H303" s="962"/>
      <c r="I303" s="53">
        <f t="shared" si="51"/>
        <v>1</v>
      </c>
      <c r="J303" s="962"/>
      <c r="K303" s="53">
        <f t="shared" si="52"/>
        <v>1</v>
      </c>
      <c r="L303" s="962"/>
      <c r="M303" s="53">
        <f t="shared" si="53"/>
        <v>1</v>
      </c>
      <c r="N303" s="962"/>
      <c r="O303" s="53">
        <f t="shared" si="54"/>
        <v>1</v>
      </c>
      <c r="P303" s="962"/>
      <c r="Q303" s="53">
        <f t="shared" si="55"/>
        <v>1</v>
      </c>
      <c r="R303" s="489">
        <f t="shared" si="56"/>
        <v>0</v>
      </c>
      <c r="S303" s="798">
        <f t="shared" si="57"/>
        <v>0</v>
      </c>
    </row>
    <row r="304" spans="1:19">
      <c r="A304" s="964"/>
      <c r="B304" s="137"/>
      <c r="C304" s="53">
        <f t="shared" si="48"/>
        <v>1</v>
      </c>
      <c r="D304" s="962"/>
      <c r="E304" s="53">
        <f t="shared" si="49"/>
        <v>1</v>
      </c>
      <c r="F304" s="962"/>
      <c r="G304" s="53">
        <f t="shared" si="50"/>
        <v>1</v>
      </c>
      <c r="H304" s="962"/>
      <c r="I304" s="53">
        <f t="shared" si="51"/>
        <v>1</v>
      </c>
      <c r="J304" s="962"/>
      <c r="K304" s="53">
        <f t="shared" si="52"/>
        <v>1</v>
      </c>
      <c r="L304" s="962"/>
      <c r="M304" s="53">
        <f t="shared" si="53"/>
        <v>1</v>
      </c>
      <c r="N304" s="962"/>
      <c r="O304" s="53">
        <f t="shared" si="54"/>
        <v>1</v>
      </c>
      <c r="P304" s="962"/>
      <c r="Q304" s="53">
        <f t="shared" si="55"/>
        <v>1</v>
      </c>
      <c r="R304" s="489">
        <f t="shared" si="56"/>
        <v>0</v>
      </c>
      <c r="S304" s="798">
        <f t="shared" si="57"/>
        <v>0</v>
      </c>
    </row>
    <row r="305" spans="1:19">
      <c r="A305" s="964"/>
      <c r="B305" s="137"/>
      <c r="C305" s="53">
        <f t="shared" si="48"/>
        <v>1</v>
      </c>
      <c r="D305" s="962"/>
      <c r="E305" s="53">
        <f t="shared" si="49"/>
        <v>1</v>
      </c>
      <c r="F305" s="962"/>
      <c r="G305" s="53">
        <f t="shared" si="50"/>
        <v>1</v>
      </c>
      <c r="H305" s="962"/>
      <c r="I305" s="53">
        <f t="shared" si="51"/>
        <v>1</v>
      </c>
      <c r="J305" s="962"/>
      <c r="K305" s="53">
        <f t="shared" si="52"/>
        <v>1</v>
      </c>
      <c r="L305" s="962"/>
      <c r="M305" s="53">
        <f t="shared" si="53"/>
        <v>1</v>
      </c>
      <c r="N305" s="962"/>
      <c r="O305" s="53">
        <f t="shared" si="54"/>
        <v>1</v>
      </c>
      <c r="P305" s="962"/>
      <c r="Q305" s="53">
        <f t="shared" si="55"/>
        <v>1</v>
      </c>
      <c r="R305" s="489">
        <f t="shared" si="56"/>
        <v>0</v>
      </c>
      <c r="S305" s="798">
        <f t="shared" si="57"/>
        <v>0</v>
      </c>
    </row>
    <row r="306" spans="1:19">
      <c r="A306" s="964"/>
      <c r="B306" s="137"/>
      <c r="C306" s="53">
        <f t="shared" si="48"/>
        <v>1</v>
      </c>
      <c r="D306" s="962"/>
      <c r="E306" s="53">
        <f t="shared" si="49"/>
        <v>1</v>
      </c>
      <c r="F306" s="962"/>
      <c r="G306" s="53">
        <f t="shared" si="50"/>
        <v>1</v>
      </c>
      <c r="H306" s="962"/>
      <c r="I306" s="53">
        <f t="shared" si="51"/>
        <v>1</v>
      </c>
      <c r="J306" s="962"/>
      <c r="K306" s="53">
        <f t="shared" si="52"/>
        <v>1</v>
      </c>
      <c r="L306" s="962"/>
      <c r="M306" s="53">
        <f t="shared" si="53"/>
        <v>1</v>
      </c>
      <c r="N306" s="962"/>
      <c r="O306" s="53">
        <f t="shared" si="54"/>
        <v>1</v>
      </c>
      <c r="P306" s="962"/>
      <c r="Q306" s="53">
        <f t="shared" si="55"/>
        <v>1</v>
      </c>
      <c r="R306" s="489">
        <f t="shared" si="56"/>
        <v>0</v>
      </c>
      <c r="S306" s="798">
        <f t="shared" si="57"/>
        <v>0</v>
      </c>
    </row>
    <row r="307" spans="1:19">
      <c r="A307" s="964"/>
      <c r="B307" s="137"/>
      <c r="C307" s="53">
        <f t="shared" si="48"/>
        <v>1</v>
      </c>
      <c r="D307" s="962"/>
      <c r="E307" s="53">
        <f t="shared" si="49"/>
        <v>1</v>
      </c>
      <c r="F307" s="962"/>
      <c r="G307" s="53">
        <f t="shared" si="50"/>
        <v>1</v>
      </c>
      <c r="H307" s="962"/>
      <c r="I307" s="53">
        <f t="shared" si="51"/>
        <v>1</v>
      </c>
      <c r="J307" s="962"/>
      <c r="K307" s="53">
        <f t="shared" si="52"/>
        <v>1</v>
      </c>
      <c r="L307" s="962"/>
      <c r="M307" s="53">
        <f t="shared" si="53"/>
        <v>1</v>
      </c>
      <c r="N307" s="962"/>
      <c r="O307" s="53">
        <f t="shared" si="54"/>
        <v>1</v>
      </c>
      <c r="P307" s="962"/>
      <c r="Q307" s="53">
        <f t="shared" si="55"/>
        <v>1</v>
      </c>
      <c r="R307" s="489">
        <f t="shared" si="56"/>
        <v>0</v>
      </c>
      <c r="S307" s="798">
        <f t="shared" si="57"/>
        <v>0</v>
      </c>
    </row>
    <row r="308" spans="1:19">
      <c r="A308" s="964"/>
      <c r="B308" s="137"/>
      <c r="C308" s="53">
        <f t="shared" si="48"/>
        <v>1</v>
      </c>
      <c r="D308" s="962"/>
      <c r="E308" s="53">
        <f t="shared" si="49"/>
        <v>1</v>
      </c>
      <c r="F308" s="962"/>
      <c r="G308" s="53">
        <f t="shared" si="50"/>
        <v>1</v>
      </c>
      <c r="H308" s="962"/>
      <c r="I308" s="53">
        <f t="shared" si="51"/>
        <v>1</v>
      </c>
      <c r="J308" s="962"/>
      <c r="K308" s="53">
        <f t="shared" si="52"/>
        <v>1</v>
      </c>
      <c r="L308" s="962"/>
      <c r="M308" s="53">
        <f t="shared" si="53"/>
        <v>1</v>
      </c>
      <c r="N308" s="962"/>
      <c r="O308" s="53">
        <f t="shared" si="54"/>
        <v>1</v>
      </c>
      <c r="P308" s="962"/>
      <c r="Q308" s="53">
        <f t="shared" si="55"/>
        <v>1</v>
      </c>
      <c r="R308" s="489">
        <f t="shared" si="56"/>
        <v>0</v>
      </c>
      <c r="S308" s="798">
        <f t="shared" si="57"/>
        <v>0</v>
      </c>
    </row>
    <row r="309" spans="1:19">
      <c r="A309" s="964"/>
      <c r="B309" s="137"/>
      <c r="C309" s="53">
        <f t="shared" si="48"/>
        <v>1</v>
      </c>
      <c r="D309" s="962"/>
      <c r="E309" s="53">
        <f t="shared" si="49"/>
        <v>1</v>
      </c>
      <c r="F309" s="962"/>
      <c r="G309" s="53">
        <f t="shared" si="50"/>
        <v>1</v>
      </c>
      <c r="H309" s="962"/>
      <c r="I309" s="53">
        <f t="shared" si="51"/>
        <v>1</v>
      </c>
      <c r="J309" s="962"/>
      <c r="K309" s="53">
        <f t="shared" si="52"/>
        <v>1</v>
      </c>
      <c r="L309" s="962"/>
      <c r="M309" s="53">
        <f t="shared" si="53"/>
        <v>1</v>
      </c>
      <c r="N309" s="962"/>
      <c r="O309" s="53">
        <f t="shared" si="54"/>
        <v>1</v>
      </c>
      <c r="P309" s="962"/>
      <c r="Q309" s="53">
        <f t="shared" si="55"/>
        <v>1</v>
      </c>
      <c r="R309" s="489">
        <f t="shared" si="56"/>
        <v>0</v>
      </c>
      <c r="S309" s="798">
        <f t="shared" si="57"/>
        <v>0</v>
      </c>
    </row>
    <row r="310" spans="1:19">
      <c r="A310" s="964"/>
      <c r="B310" s="137"/>
      <c r="C310" s="53">
        <f t="shared" si="48"/>
        <v>1</v>
      </c>
      <c r="D310" s="962"/>
      <c r="E310" s="53">
        <f t="shared" si="49"/>
        <v>1</v>
      </c>
      <c r="F310" s="962"/>
      <c r="G310" s="53">
        <f t="shared" si="50"/>
        <v>1</v>
      </c>
      <c r="H310" s="962"/>
      <c r="I310" s="53">
        <f t="shared" si="51"/>
        <v>1</v>
      </c>
      <c r="J310" s="962"/>
      <c r="K310" s="53">
        <f t="shared" si="52"/>
        <v>1</v>
      </c>
      <c r="L310" s="962"/>
      <c r="M310" s="53">
        <f t="shared" si="53"/>
        <v>1</v>
      </c>
      <c r="N310" s="962"/>
      <c r="O310" s="53">
        <f t="shared" si="54"/>
        <v>1</v>
      </c>
      <c r="P310" s="962"/>
      <c r="Q310" s="53">
        <f t="shared" si="55"/>
        <v>1</v>
      </c>
      <c r="R310" s="489">
        <f t="shared" si="56"/>
        <v>0</v>
      </c>
      <c r="S310" s="798">
        <f t="shared" si="57"/>
        <v>0</v>
      </c>
    </row>
    <row r="311" spans="1:19">
      <c r="A311" s="964"/>
      <c r="B311" s="137"/>
      <c r="C311" s="53">
        <f t="shared" si="48"/>
        <v>1</v>
      </c>
      <c r="D311" s="962"/>
      <c r="E311" s="53">
        <f t="shared" si="49"/>
        <v>1</v>
      </c>
      <c r="F311" s="962"/>
      <c r="G311" s="53">
        <f t="shared" si="50"/>
        <v>1</v>
      </c>
      <c r="H311" s="962"/>
      <c r="I311" s="53">
        <f t="shared" si="51"/>
        <v>1</v>
      </c>
      <c r="J311" s="962"/>
      <c r="K311" s="53">
        <f t="shared" si="52"/>
        <v>1</v>
      </c>
      <c r="L311" s="962"/>
      <c r="M311" s="53">
        <f t="shared" si="53"/>
        <v>1</v>
      </c>
      <c r="N311" s="962"/>
      <c r="O311" s="53">
        <f t="shared" si="54"/>
        <v>1</v>
      </c>
      <c r="P311" s="962"/>
      <c r="Q311" s="53">
        <f t="shared" si="55"/>
        <v>1</v>
      </c>
      <c r="R311" s="489">
        <f t="shared" si="56"/>
        <v>0</v>
      </c>
      <c r="S311" s="798">
        <f t="shared" si="57"/>
        <v>0</v>
      </c>
    </row>
    <row r="312" spans="1:19">
      <c r="A312" s="964"/>
      <c r="B312" s="137"/>
      <c r="C312" s="53">
        <f t="shared" si="48"/>
        <v>1</v>
      </c>
      <c r="D312" s="962"/>
      <c r="E312" s="53">
        <f t="shared" si="49"/>
        <v>1</v>
      </c>
      <c r="F312" s="962"/>
      <c r="G312" s="53">
        <f t="shared" si="50"/>
        <v>1</v>
      </c>
      <c r="H312" s="962"/>
      <c r="I312" s="53">
        <f t="shared" si="51"/>
        <v>1</v>
      </c>
      <c r="J312" s="962"/>
      <c r="K312" s="53">
        <f t="shared" si="52"/>
        <v>1</v>
      </c>
      <c r="L312" s="962"/>
      <c r="M312" s="53">
        <f t="shared" si="53"/>
        <v>1</v>
      </c>
      <c r="N312" s="962"/>
      <c r="O312" s="53">
        <f t="shared" si="54"/>
        <v>1</v>
      </c>
      <c r="P312" s="962"/>
      <c r="Q312" s="53">
        <f t="shared" si="55"/>
        <v>1</v>
      </c>
      <c r="R312" s="489">
        <f t="shared" si="56"/>
        <v>0</v>
      </c>
      <c r="S312" s="798">
        <f t="shared" si="57"/>
        <v>0</v>
      </c>
    </row>
    <row r="313" spans="1:19">
      <c r="A313" s="964"/>
      <c r="B313" s="137"/>
      <c r="C313" s="53">
        <f t="shared" si="48"/>
        <v>1</v>
      </c>
      <c r="D313" s="962"/>
      <c r="E313" s="53">
        <f t="shared" si="49"/>
        <v>1</v>
      </c>
      <c r="F313" s="962"/>
      <c r="G313" s="53">
        <f t="shared" si="50"/>
        <v>1</v>
      </c>
      <c r="H313" s="962"/>
      <c r="I313" s="53">
        <f t="shared" si="51"/>
        <v>1</v>
      </c>
      <c r="J313" s="962"/>
      <c r="K313" s="53">
        <f t="shared" si="52"/>
        <v>1</v>
      </c>
      <c r="L313" s="962"/>
      <c r="M313" s="53">
        <f t="shared" si="53"/>
        <v>1</v>
      </c>
      <c r="N313" s="962"/>
      <c r="O313" s="53">
        <f t="shared" si="54"/>
        <v>1</v>
      </c>
      <c r="P313" s="962"/>
      <c r="Q313" s="53">
        <f t="shared" si="55"/>
        <v>1</v>
      </c>
      <c r="R313" s="489">
        <f t="shared" si="56"/>
        <v>0</v>
      </c>
      <c r="S313" s="798">
        <f t="shared" si="57"/>
        <v>0</v>
      </c>
    </row>
    <row r="314" spans="1:19">
      <c r="A314" s="964"/>
      <c r="B314" s="137"/>
      <c r="C314" s="53">
        <f t="shared" si="48"/>
        <v>1</v>
      </c>
      <c r="D314" s="962"/>
      <c r="E314" s="53">
        <f t="shared" si="49"/>
        <v>1</v>
      </c>
      <c r="F314" s="962"/>
      <c r="G314" s="53">
        <f t="shared" si="50"/>
        <v>1</v>
      </c>
      <c r="H314" s="962"/>
      <c r="I314" s="53">
        <f t="shared" si="51"/>
        <v>1</v>
      </c>
      <c r="J314" s="962"/>
      <c r="K314" s="53">
        <f t="shared" si="52"/>
        <v>1</v>
      </c>
      <c r="L314" s="962"/>
      <c r="M314" s="53">
        <f t="shared" si="53"/>
        <v>1</v>
      </c>
      <c r="N314" s="962"/>
      <c r="O314" s="53">
        <f t="shared" si="54"/>
        <v>1</v>
      </c>
      <c r="P314" s="962"/>
      <c r="Q314" s="53">
        <f t="shared" si="55"/>
        <v>1</v>
      </c>
      <c r="R314" s="489">
        <f t="shared" si="56"/>
        <v>0</v>
      </c>
      <c r="S314" s="798">
        <f t="shared" si="57"/>
        <v>0</v>
      </c>
    </row>
    <row r="315" spans="1:19">
      <c r="A315" s="964"/>
      <c r="B315" s="137"/>
      <c r="C315" s="53">
        <f t="shared" si="48"/>
        <v>1</v>
      </c>
      <c r="D315" s="962"/>
      <c r="E315" s="53">
        <f t="shared" si="49"/>
        <v>1</v>
      </c>
      <c r="F315" s="962"/>
      <c r="G315" s="53">
        <f t="shared" si="50"/>
        <v>1</v>
      </c>
      <c r="H315" s="962"/>
      <c r="I315" s="53">
        <f t="shared" si="51"/>
        <v>1</v>
      </c>
      <c r="J315" s="962"/>
      <c r="K315" s="53">
        <f t="shared" si="52"/>
        <v>1</v>
      </c>
      <c r="L315" s="962"/>
      <c r="M315" s="53">
        <f t="shared" si="53"/>
        <v>1</v>
      </c>
      <c r="N315" s="962"/>
      <c r="O315" s="53">
        <f t="shared" si="54"/>
        <v>1</v>
      </c>
      <c r="P315" s="962"/>
      <c r="Q315" s="53">
        <f t="shared" si="55"/>
        <v>1</v>
      </c>
      <c r="R315" s="489">
        <f t="shared" si="56"/>
        <v>0</v>
      </c>
      <c r="S315" s="798">
        <f t="shared" si="57"/>
        <v>0</v>
      </c>
    </row>
    <row r="316" spans="1:19">
      <c r="A316" s="964"/>
      <c r="B316" s="137"/>
      <c r="C316" s="53">
        <f t="shared" si="48"/>
        <v>1</v>
      </c>
      <c r="D316" s="962"/>
      <c r="E316" s="53">
        <f t="shared" si="49"/>
        <v>1</v>
      </c>
      <c r="F316" s="962"/>
      <c r="G316" s="53">
        <f t="shared" si="50"/>
        <v>1</v>
      </c>
      <c r="H316" s="962"/>
      <c r="I316" s="53">
        <f t="shared" si="51"/>
        <v>1</v>
      </c>
      <c r="J316" s="962"/>
      <c r="K316" s="53">
        <f t="shared" si="52"/>
        <v>1</v>
      </c>
      <c r="L316" s="962"/>
      <c r="M316" s="53">
        <f t="shared" si="53"/>
        <v>1</v>
      </c>
      <c r="N316" s="962"/>
      <c r="O316" s="53">
        <f t="shared" si="54"/>
        <v>1</v>
      </c>
      <c r="P316" s="962"/>
      <c r="Q316" s="53">
        <f t="shared" si="55"/>
        <v>1</v>
      </c>
      <c r="R316" s="489">
        <f t="shared" si="56"/>
        <v>0</v>
      </c>
      <c r="S316" s="798">
        <f t="shared" si="57"/>
        <v>0</v>
      </c>
    </row>
    <row r="317" spans="1:19">
      <c r="A317" s="964"/>
      <c r="B317" s="137"/>
      <c r="C317" s="53">
        <f t="shared" si="48"/>
        <v>1</v>
      </c>
      <c r="D317" s="962"/>
      <c r="E317" s="53">
        <f t="shared" si="49"/>
        <v>1</v>
      </c>
      <c r="F317" s="962"/>
      <c r="G317" s="53">
        <f t="shared" si="50"/>
        <v>1</v>
      </c>
      <c r="H317" s="962"/>
      <c r="I317" s="53">
        <f t="shared" si="51"/>
        <v>1</v>
      </c>
      <c r="J317" s="962"/>
      <c r="K317" s="53">
        <f t="shared" si="52"/>
        <v>1</v>
      </c>
      <c r="L317" s="962"/>
      <c r="M317" s="53">
        <f t="shared" si="53"/>
        <v>1</v>
      </c>
      <c r="N317" s="962"/>
      <c r="O317" s="53">
        <f t="shared" si="54"/>
        <v>1</v>
      </c>
      <c r="P317" s="962"/>
      <c r="Q317" s="53">
        <f t="shared" si="55"/>
        <v>1</v>
      </c>
      <c r="R317" s="489">
        <f t="shared" si="56"/>
        <v>0</v>
      </c>
      <c r="S317" s="798">
        <f t="shared" si="57"/>
        <v>0</v>
      </c>
    </row>
    <row r="318" spans="1:19">
      <c r="A318" s="964"/>
      <c r="B318" s="137"/>
      <c r="C318" s="53">
        <f t="shared" si="48"/>
        <v>1</v>
      </c>
      <c r="D318" s="962"/>
      <c r="E318" s="53">
        <f t="shared" si="49"/>
        <v>1</v>
      </c>
      <c r="F318" s="962"/>
      <c r="G318" s="53">
        <f t="shared" si="50"/>
        <v>1</v>
      </c>
      <c r="H318" s="962"/>
      <c r="I318" s="53">
        <f t="shared" si="51"/>
        <v>1</v>
      </c>
      <c r="J318" s="962"/>
      <c r="K318" s="53">
        <f t="shared" si="52"/>
        <v>1</v>
      </c>
      <c r="L318" s="962"/>
      <c r="M318" s="53">
        <f t="shared" si="53"/>
        <v>1</v>
      </c>
      <c r="N318" s="962"/>
      <c r="O318" s="53">
        <f t="shared" si="54"/>
        <v>1</v>
      </c>
      <c r="P318" s="962"/>
      <c r="Q318" s="53">
        <f t="shared" si="55"/>
        <v>1</v>
      </c>
      <c r="R318" s="489">
        <f t="shared" si="56"/>
        <v>0</v>
      </c>
      <c r="S318" s="798">
        <f t="shared" si="57"/>
        <v>0</v>
      </c>
    </row>
    <row r="319" spans="1:19">
      <c r="A319" s="964"/>
      <c r="B319" s="137"/>
      <c r="C319" s="53">
        <f t="shared" si="48"/>
        <v>1</v>
      </c>
      <c r="D319" s="962"/>
      <c r="E319" s="53">
        <f t="shared" si="49"/>
        <v>1</v>
      </c>
      <c r="F319" s="962"/>
      <c r="G319" s="53">
        <f t="shared" si="50"/>
        <v>1</v>
      </c>
      <c r="H319" s="962"/>
      <c r="I319" s="53">
        <f t="shared" si="51"/>
        <v>1</v>
      </c>
      <c r="J319" s="962"/>
      <c r="K319" s="53">
        <f t="shared" si="52"/>
        <v>1</v>
      </c>
      <c r="L319" s="962"/>
      <c r="M319" s="53">
        <f t="shared" si="53"/>
        <v>1</v>
      </c>
      <c r="N319" s="962"/>
      <c r="O319" s="53">
        <f t="shared" si="54"/>
        <v>1</v>
      </c>
      <c r="P319" s="962"/>
      <c r="Q319" s="53">
        <f t="shared" si="55"/>
        <v>1</v>
      </c>
      <c r="R319" s="489">
        <f t="shared" si="56"/>
        <v>0</v>
      </c>
      <c r="S319" s="798">
        <f t="shared" si="57"/>
        <v>0</v>
      </c>
    </row>
    <row r="320" spans="1:19">
      <c r="A320" s="964"/>
      <c r="B320" s="137"/>
      <c r="C320" s="53">
        <f t="shared" si="48"/>
        <v>1</v>
      </c>
      <c r="D320" s="962"/>
      <c r="E320" s="53">
        <f t="shared" si="49"/>
        <v>1</v>
      </c>
      <c r="F320" s="962"/>
      <c r="G320" s="53">
        <f t="shared" si="50"/>
        <v>1</v>
      </c>
      <c r="H320" s="962"/>
      <c r="I320" s="53">
        <f t="shared" si="51"/>
        <v>1</v>
      </c>
      <c r="J320" s="962"/>
      <c r="K320" s="53">
        <f t="shared" si="52"/>
        <v>1</v>
      </c>
      <c r="L320" s="962"/>
      <c r="M320" s="53">
        <f t="shared" si="53"/>
        <v>1</v>
      </c>
      <c r="N320" s="962"/>
      <c r="O320" s="53">
        <f t="shared" si="54"/>
        <v>1</v>
      </c>
      <c r="P320" s="962"/>
      <c r="Q320" s="53">
        <f t="shared" si="55"/>
        <v>1</v>
      </c>
      <c r="R320" s="489">
        <f t="shared" si="56"/>
        <v>0</v>
      </c>
      <c r="S320" s="798">
        <f t="shared" si="57"/>
        <v>0</v>
      </c>
    </row>
    <row r="321" spans="1:19">
      <c r="A321" s="964"/>
      <c r="B321" s="137"/>
      <c r="C321" s="53">
        <f t="shared" si="48"/>
        <v>1</v>
      </c>
      <c r="D321" s="962"/>
      <c r="E321" s="53">
        <f t="shared" si="49"/>
        <v>1</v>
      </c>
      <c r="F321" s="962"/>
      <c r="G321" s="53">
        <f t="shared" si="50"/>
        <v>1</v>
      </c>
      <c r="H321" s="962"/>
      <c r="I321" s="53">
        <f t="shared" si="51"/>
        <v>1</v>
      </c>
      <c r="J321" s="962"/>
      <c r="K321" s="53">
        <f t="shared" si="52"/>
        <v>1</v>
      </c>
      <c r="L321" s="962"/>
      <c r="M321" s="53">
        <f t="shared" si="53"/>
        <v>1</v>
      </c>
      <c r="N321" s="962"/>
      <c r="O321" s="53">
        <f t="shared" si="54"/>
        <v>1</v>
      </c>
      <c r="P321" s="962"/>
      <c r="Q321" s="53">
        <f t="shared" si="55"/>
        <v>1</v>
      </c>
      <c r="R321" s="489">
        <f t="shared" si="56"/>
        <v>0</v>
      </c>
      <c r="S321" s="798">
        <f t="shared" ref="S321:S384" si="58">ROUND(R321*B321/10000,0)</f>
        <v>0</v>
      </c>
    </row>
    <row r="322" spans="1:19">
      <c r="A322" s="964"/>
      <c r="B322" s="137"/>
      <c r="C322" s="53">
        <f t="shared" si="48"/>
        <v>1</v>
      </c>
      <c r="D322" s="962"/>
      <c r="E322" s="53">
        <f t="shared" si="49"/>
        <v>1</v>
      </c>
      <c r="F322" s="962"/>
      <c r="G322" s="53">
        <f t="shared" si="50"/>
        <v>1</v>
      </c>
      <c r="H322" s="962"/>
      <c r="I322" s="53">
        <f t="shared" si="51"/>
        <v>1</v>
      </c>
      <c r="J322" s="962"/>
      <c r="K322" s="53">
        <f t="shared" si="52"/>
        <v>1</v>
      </c>
      <c r="L322" s="962"/>
      <c r="M322" s="53">
        <f t="shared" si="53"/>
        <v>1</v>
      </c>
      <c r="N322" s="962"/>
      <c r="O322" s="53">
        <f t="shared" si="54"/>
        <v>1</v>
      </c>
      <c r="P322" s="962"/>
      <c r="Q322" s="53">
        <f t="shared" si="55"/>
        <v>1</v>
      </c>
      <c r="R322" s="489">
        <f t="shared" si="56"/>
        <v>0</v>
      </c>
      <c r="S322" s="798">
        <f t="shared" si="58"/>
        <v>0</v>
      </c>
    </row>
    <row r="323" spans="1:19">
      <c r="A323" s="964"/>
      <c r="B323" s="137"/>
      <c r="C323" s="53">
        <f t="shared" si="48"/>
        <v>1</v>
      </c>
      <c r="D323" s="962"/>
      <c r="E323" s="53">
        <f t="shared" si="49"/>
        <v>1</v>
      </c>
      <c r="F323" s="962"/>
      <c r="G323" s="53">
        <f t="shared" si="50"/>
        <v>1</v>
      </c>
      <c r="H323" s="962"/>
      <c r="I323" s="53">
        <f t="shared" si="51"/>
        <v>1</v>
      </c>
      <c r="J323" s="962"/>
      <c r="K323" s="53">
        <f t="shared" si="52"/>
        <v>1</v>
      </c>
      <c r="L323" s="962"/>
      <c r="M323" s="53">
        <f t="shared" si="53"/>
        <v>1</v>
      </c>
      <c r="N323" s="962"/>
      <c r="O323" s="53">
        <f t="shared" si="54"/>
        <v>1</v>
      </c>
      <c r="P323" s="962"/>
      <c r="Q323" s="53">
        <f t="shared" si="55"/>
        <v>1</v>
      </c>
      <c r="R323" s="489">
        <f t="shared" si="56"/>
        <v>0</v>
      </c>
      <c r="S323" s="798">
        <f t="shared" si="58"/>
        <v>0</v>
      </c>
    </row>
    <row r="324" spans="1:19">
      <c r="A324" s="964"/>
      <c r="B324" s="137"/>
      <c r="C324" s="53">
        <f t="shared" si="48"/>
        <v>1</v>
      </c>
      <c r="D324" s="962"/>
      <c r="E324" s="53">
        <f t="shared" si="49"/>
        <v>1</v>
      </c>
      <c r="F324" s="962"/>
      <c r="G324" s="53">
        <f t="shared" si="50"/>
        <v>1</v>
      </c>
      <c r="H324" s="962"/>
      <c r="I324" s="53">
        <f t="shared" si="51"/>
        <v>1</v>
      </c>
      <c r="J324" s="962"/>
      <c r="K324" s="53">
        <f t="shared" si="52"/>
        <v>1</v>
      </c>
      <c r="L324" s="962"/>
      <c r="M324" s="53">
        <f t="shared" si="53"/>
        <v>1</v>
      </c>
      <c r="N324" s="962"/>
      <c r="O324" s="53">
        <f t="shared" si="54"/>
        <v>1</v>
      </c>
      <c r="P324" s="962"/>
      <c r="Q324" s="53">
        <f t="shared" si="55"/>
        <v>1</v>
      </c>
      <c r="R324" s="489">
        <f t="shared" si="56"/>
        <v>0</v>
      </c>
      <c r="S324" s="798">
        <f t="shared" si="58"/>
        <v>0</v>
      </c>
    </row>
    <row r="325" spans="1:19">
      <c r="A325" s="964"/>
      <c r="B325" s="137"/>
      <c r="C325" s="53">
        <f t="shared" si="48"/>
        <v>1</v>
      </c>
      <c r="D325" s="962"/>
      <c r="E325" s="53">
        <f t="shared" si="49"/>
        <v>1</v>
      </c>
      <c r="F325" s="962"/>
      <c r="G325" s="53">
        <f t="shared" si="50"/>
        <v>1</v>
      </c>
      <c r="H325" s="962"/>
      <c r="I325" s="53">
        <f t="shared" si="51"/>
        <v>1</v>
      </c>
      <c r="J325" s="962"/>
      <c r="K325" s="53">
        <f t="shared" si="52"/>
        <v>1</v>
      </c>
      <c r="L325" s="962"/>
      <c r="M325" s="53">
        <f t="shared" si="53"/>
        <v>1</v>
      </c>
      <c r="N325" s="962"/>
      <c r="O325" s="53">
        <f t="shared" si="54"/>
        <v>1</v>
      </c>
      <c r="P325" s="962"/>
      <c r="Q325" s="53">
        <f t="shared" si="55"/>
        <v>1</v>
      </c>
      <c r="R325" s="489">
        <f t="shared" si="56"/>
        <v>0</v>
      </c>
      <c r="S325" s="798">
        <f t="shared" si="58"/>
        <v>0</v>
      </c>
    </row>
    <row r="326" spans="1:19">
      <c r="A326" s="964"/>
      <c r="B326" s="137"/>
      <c r="C326" s="53">
        <f t="shared" si="48"/>
        <v>1</v>
      </c>
      <c r="D326" s="962"/>
      <c r="E326" s="53">
        <f t="shared" si="49"/>
        <v>1</v>
      </c>
      <c r="F326" s="962"/>
      <c r="G326" s="53">
        <f t="shared" si="50"/>
        <v>1</v>
      </c>
      <c r="H326" s="962"/>
      <c r="I326" s="53">
        <f t="shared" si="51"/>
        <v>1</v>
      </c>
      <c r="J326" s="962"/>
      <c r="K326" s="53">
        <f t="shared" si="52"/>
        <v>1</v>
      </c>
      <c r="L326" s="962"/>
      <c r="M326" s="53">
        <f t="shared" si="53"/>
        <v>1</v>
      </c>
      <c r="N326" s="962"/>
      <c r="O326" s="53">
        <f t="shared" si="54"/>
        <v>1</v>
      </c>
      <c r="P326" s="962"/>
      <c r="Q326" s="53">
        <f t="shared" si="55"/>
        <v>1</v>
      </c>
      <c r="R326" s="489">
        <f t="shared" si="56"/>
        <v>0</v>
      </c>
      <c r="S326" s="798">
        <f t="shared" si="58"/>
        <v>0</v>
      </c>
    </row>
    <row r="327" spans="1:19">
      <c r="A327" s="964"/>
      <c r="B327" s="137"/>
      <c r="C327" s="53">
        <f t="shared" si="48"/>
        <v>1</v>
      </c>
      <c r="D327" s="962"/>
      <c r="E327" s="53">
        <f t="shared" si="49"/>
        <v>1</v>
      </c>
      <c r="F327" s="962"/>
      <c r="G327" s="53">
        <f t="shared" si="50"/>
        <v>1</v>
      </c>
      <c r="H327" s="962"/>
      <c r="I327" s="53">
        <f t="shared" si="51"/>
        <v>1</v>
      </c>
      <c r="J327" s="962"/>
      <c r="K327" s="53">
        <f t="shared" si="52"/>
        <v>1</v>
      </c>
      <c r="L327" s="962"/>
      <c r="M327" s="53">
        <f t="shared" si="53"/>
        <v>1</v>
      </c>
      <c r="N327" s="962"/>
      <c r="O327" s="53">
        <f t="shared" si="54"/>
        <v>1</v>
      </c>
      <c r="P327" s="962"/>
      <c r="Q327" s="53">
        <f t="shared" si="55"/>
        <v>1</v>
      </c>
      <c r="R327" s="489">
        <f t="shared" si="56"/>
        <v>0</v>
      </c>
      <c r="S327" s="798">
        <f t="shared" si="58"/>
        <v>0</v>
      </c>
    </row>
    <row r="328" spans="1:19">
      <c r="A328" s="964"/>
      <c r="B328" s="137"/>
      <c r="C328" s="53">
        <f t="shared" si="48"/>
        <v>1</v>
      </c>
      <c r="D328" s="962"/>
      <c r="E328" s="53">
        <f t="shared" si="49"/>
        <v>1</v>
      </c>
      <c r="F328" s="962"/>
      <c r="G328" s="53">
        <f t="shared" si="50"/>
        <v>1</v>
      </c>
      <c r="H328" s="962"/>
      <c r="I328" s="53">
        <f t="shared" si="51"/>
        <v>1</v>
      </c>
      <c r="J328" s="962"/>
      <c r="K328" s="53">
        <f t="shared" si="52"/>
        <v>1</v>
      </c>
      <c r="L328" s="962"/>
      <c r="M328" s="53">
        <f t="shared" si="53"/>
        <v>1</v>
      </c>
      <c r="N328" s="962"/>
      <c r="O328" s="53">
        <f t="shared" si="54"/>
        <v>1</v>
      </c>
      <c r="P328" s="962"/>
      <c r="Q328" s="53">
        <f t="shared" si="55"/>
        <v>1</v>
      </c>
      <c r="R328" s="489">
        <f t="shared" si="56"/>
        <v>0</v>
      </c>
      <c r="S328" s="798">
        <f t="shared" si="58"/>
        <v>0</v>
      </c>
    </row>
    <row r="329" spans="1:19">
      <c r="A329" s="964"/>
      <c r="B329" s="137"/>
      <c r="C329" s="53">
        <f t="shared" si="48"/>
        <v>1</v>
      </c>
      <c r="D329" s="962"/>
      <c r="E329" s="53">
        <f t="shared" si="49"/>
        <v>1</v>
      </c>
      <c r="F329" s="962"/>
      <c r="G329" s="53">
        <f t="shared" si="50"/>
        <v>1</v>
      </c>
      <c r="H329" s="962"/>
      <c r="I329" s="53">
        <f t="shared" si="51"/>
        <v>1</v>
      </c>
      <c r="J329" s="962"/>
      <c r="K329" s="53">
        <f t="shared" si="52"/>
        <v>1</v>
      </c>
      <c r="L329" s="962"/>
      <c r="M329" s="53">
        <f t="shared" si="53"/>
        <v>1</v>
      </c>
      <c r="N329" s="962"/>
      <c r="O329" s="53">
        <f t="shared" si="54"/>
        <v>1</v>
      </c>
      <c r="P329" s="962"/>
      <c r="Q329" s="53">
        <f t="shared" si="55"/>
        <v>1</v>
      </c>
      <c r="R329" s="489">
        <f t="shared" si="56"/>
        <v>0</v>
      </c>
      <c r="S329" s="798">
        <f t="shared" si="58"/>
        <v>0</v>
      </c>
    </row>
    <row r="330" spans="1:19">
      <c r="A330" s="964"/>
      <c r="B330" s="137"/>
      <c r="C330" s="53">
        <f t="shared" si="48"/>
        <v>1</v>
      </c>
      <c r="D330" s="962"/>
      <c r="E330" s="53">
        <f t="shared" si="49"/>
        <v>1</v>
      </c>
      <c r="F330" s="962"/>
      <c r="G330" s="53">
        <f t="shared" si="50"/>
        <v>1</v>
      </c>
      <c r="H330" s="962"/>
      <c r="I330" s="53">
        <f t="shared" si="51"/>
        <v>1</v>
      </c>
      <c r="J330" s="962"/>
      <c r="K330" s="53">
        <f t="shared" si="52"/>
        <v>1</v>
      </c>
      <c r="L330" s="962"/>
      <c r="M330" s="53">
        <f t="shared" si="53"/>
        <v>1</v>
      </c>
      <c r="N330" s="962"/>
      <c r="O330" s="53">
        <f t="shared" si="54"/>
        <v>1</v>
      </c>
      <c r="P330" s="962"/>
      <c r="Q330" s="53">
        <f t="shared" si="55"/>
        <v>1</v>
      </c>
      <c r="R330" s="489">
        <f t="shared" si="56"/>
        <v>0</v>
      </c>
      <c r="S330" s="798">
        <f t="shared" si="58"/>
        <v>0</v>
      </c>
    </row>
    <row r="331" spans="1:19">
      <c r="A331" s="964"/>
      <c r="B331" s="137"/>
      <c r="C331" s="53">
        <f t="shared" si="48"/>
        <v>1</v>
      </c>
      <c r="D331" s="962"/>
      <c r="E331" s="53">
        <f t="shared" si="49"/>
        <v>1</v>
      </c>
      <c r="F331" s="962"/>
      <c r="G331" s="53">
        <f t="shared" si="50"/>
        <v>1</v>
      </c>
      <c r="H331" s="962"/>
      <c r="I331" s="53">
        <f t="shared" si="51"/>
        <v>1</v>
      </c>
      <c r="J331" s="962"/>
      <c r="K331" s="53">
        <f t="shared" si="52"/>
        <v>1</v>
      </c>
      <c r="L331" s="962"/>
      <c r="M331" s="53">
        <f t="shared" si="53"/>
        <v>1</v>
      </c>
      <c r="N331" s="962"/>
      <c r="O331" s="53">
        <f t="shared" si="54"/>
        <v>1</v>
      </c>
      <c r="P331" s="962"/>
      <c r="Q331" s="53">
        <f t="shared" si="55"/>
        <v>1</v>
      </c>
      <c r="R331" s="489">
        <f t="shared" si="56"/>
        <v>0</v>
      </c>
      <c r="S331" s="798">
        <f t="shared" si="58"/>
        <v>0</v>
      </c>
    </row>
    <row r="332" spans="1:19">
      <c r="A332" s="964"/>
      <c r="B332" s="137"/>
      <c r="C332" s="53">
        <f t="shared" si="48"/>
        <v>1</v>
      </c>
      <c r="D332" s="962"/>
      <c r="E332" s="53">
        <f t="shared" si="49"/>
        <v>1</v>
      </c>
      <c r="F332" s="962"/>
      <c r="G332" s="53">
        <f t="shared" si="50"/>
        <v>1</v>
      </c>
      <c r="H332" s="962"/>
      <c r="I332" s="53">
        <f t="shared" si="51"/>
        <v>1</v>
      </c>
      <c r="J332" s="962"/>
      <c r="K332" s="53">
        <f t="shared" si="52"/>
        <v>1</v>
      </c>
      <c r="L332" s="962"/>
      <c r="M332" s="53">
        <f t="shared" si="53"/>
        <v>1</v>
      </c>
      <c r="N332" s="962"/>
      <c r="O332" s="53">
        <f t="shared" si="54"/>
        <v>1</v>
      </c>
      <c r="P332" s="962"/>
      <c r="Q332" s="53">
        <f t="shared" si="55"/>
        <v>1</v>
      </c>
      <c r="R332" s="489">
        <f t="shared" si="56"/>
        <v>0</v>
      </c>
      <c r="S332" s="798">
        <f t="shared" si="58"/>
        <v>0</v>
      </c>
    </row>
    <row r="333" spans="1:19">
      <c r="A333" s="964"/>
      <c r="B333" s="137"/>
      <c r="C333" s="53">
        <f t="shared" si="48"/>
        <v>1</v>
      </c>
      <c r="D333" s="962"/>
      <c r="E333" s="53">
        <f t="shared" si="49"/>
        <v>1</v>
      </c>
      <c r="F333" s="962"/>
      <c r="G333" s="53">
        <f t="shared" si="50"/>
        <v>1</v>
      </c>
      <c r="H333" s="962"/>
      <c r="I333" s="53">
        <f t="shared" si="51"/>
        <v>1</v>
      </c>
      <c r="J333" s="962"/>
      <c r="K333" s="53">
        <f t="shared" si="52"/>
        <v>1</v>
      </c>
      <c r="L333" s="962"/>
      <c r="M333" s="53">
        <f t="shared" si="53"/>
        <v>1</v>
      </c>
      <c r="N333" s="962"/>
      <c r="O333" s="53">
        <f t="shared" si="54"/>
        <v>1</v>
      </c>
      <c r="P333" s="962"/>
      <c r="Q333" s="53">
        <f t="shared" si="55"/>
        <v>1</v>
      </c>
      <c r="R333" s="489">
        <f t="shared" si="56"/>
        <v>0</v>
      </c>
      <c r="S333" s="798">
        <f t="shared" si="58"/>
        <v>0</v>
      </c>
    </row>
    <row r="334" spans="1:19">
      <c r="A334" s="964"/>
      <c r="B334" s="137"/>
      <c r="C334" s="53">
        <f t="shared" si="48"/>
        <v>1</v>
      </c>
      <c r="D334" s="962"/>
      <c r="E334" s="53">
        <f t="shared" si="49"/>
        <v>1</v>
      </c>
      <c r="F334" s="962"/>
      <c r="G334" s="53">
        <f t="shared" si="50"/>
        <v>1</v>
      </c>
      <c r="H334" s="962"/>
      <c r="I334" s="53">
        <f t="shared" si="51"/>
        <v>1</v>
      </c>
      <c r="J334" s="962"/>
      <c r="K334" s="53">
        <f t="shared" si="52"/>
        <v>1</v>
      </c>
      <c r="L334" s="962"/>
      <c r="M334" s="53">
        <f t="shared" si="53"/>
        <v>1</v>
      </c>
      <c r="N334" s="962"/>
      <c r="O334" s="53">
        <f t="shared" si="54"/>
        <v>1</v>
      </c>
      <c r="P334" s="962"/>
      <c r="Q334" s="53">
        <f t="shared" si="55"/>
        <v>1</v>
      </c>
      <c r="R334" s="489">
        <f t="shared" si="56"/>
        <v>0</v>
      </c>
      <c r="S334" s="798">
        <f t="shared" si="58"/>
        <v>0</v>
      </c>
    </row>
    <row r="335" spans="1:19">
      <c r="A335" s="964"/>
      <c r="B335" s="137"/>
      <c r="C335" s="53">
        <f t="shared" si="48"/>
        <v>1</v>
      </c>
      <c r="D335" s="962"/>
      <c r="E335" s="53">
        <f t="shared" si="49"/>
        <v>1</v>
      </c>
      <c r="F335" s="962"/>
      <c r="G335" s="53">
        <f t="shared" si="50"/>
        <v>1</v>
      </c>
      <c r="H335" s="962"/>
      <c r="I335" s="53">
        <f t="shared" si="51"/>
        <v>1</v>
      </c>
      <c r="J335" s="962"/>
      <c r="K335" s="53">
        <f t="shared" si="52"/>
        <v>1</v>
      </c>
      <c r="L335" s="962"/>
      <c r="M335" s="53">
        <f t="shared" si="53"/>
        <v>1</v>
      </c>
      <c r="N335" s="962"/>
      <c r="O335" s="53">
        <f t="shared" si="54"/>
        <v>1</v>
      </c>
      <c r="P335" s="962"/>
      <c r="Q335" s="53">
        <f t="shared" si="55"/>
        <v>1</v>
      </c>
      <c r="R335" s="489">
        <f t="shared" si="56"/>
        <v>0</v>
      </c>
      <c r="S335" s="798">
        <f t="shared" si="58"/>
        <v>0</v>
      </c>
    </row>
    <row r="336" spans="1:19">
      <c r="A336" s="964"/>
      <c r="B336" s="137"/>
      <c r="C336" s="53">
        <f t="shared" si="48"/>
        <v>1</v>
      </c>
      <c r="D336" s="962"/>
      <c r="E336" s="53">
        <f t="shared" si="49"/>
        <v>1</v>
      </c>
      <c r="F336" s="962"/>
      <c r="G336" s="53">
        <f t="shared" si="50"/>
        <v>1</v>
      </c>
      <c r="H336" s="962"/>
      <c r="I336" s="53">
        <f t="shared" si="51"/>
        <v>1</v>
      </c>
      <c r="J336" s="962"/>
      <c r="K336" s="53">
        <f t="shared" si="52"/>
        <v>1</v>
      </c>
      <c r="L336" s="962"/>
      <c r="M336" s="53">
        <f t="shared" si="53"/>
        <v>1</v>
      </c>
      <c r="N336" s="962"/>
      <c r="O336" s="53">
        <f t="shared" si="54"/>
        <v>1</v>
      </c>
      <c r="P336" s="962"/>
      <c r="Q336" s="53">
        <f t="shared" si="55"/>
        <v>1</v>
      </c>
      <c r="R336" s="489">
        <f t="shared" si="56"/>
        <v>0</v>
      </c>
      <c r="S336" s="798">
        <f t="shared" si="58"/>
        <v>0</v>
      </c>
    </row>
    <row r="337" spans="1:19">
      <c r="A337" s="964"/>
      <c r="B337" s="137"/>
      <c r="C337" s="53">
        <f t="shared" si="48"/>
        <v>1</v>
      </c>
      <c r="D337" s="962"/>
      <c r="E337" s="53">
        <f t="shared" si="49"/>
        <v>1</v>
      </c>
      <c r="F337" s="962"/>
      <c r="G337" s="53">
        <f t="shared" si="50"/>
        <v>1</v>
      </c>
      <c r="H337" s="962"/>
      <c r="I337" s="53">
        <f t="shared" si="51"/>
        <v>1</v>
      </c>
      <c r="J337" s="962"/>
      <c r="K337" s="53">
        <f t="shared" si="52"/>
        <v>1</v>
      </c>
      <c r="L337" s="962"/>
      <c r="M337" s="53">
        <f t="shared" si="53"/>
        <v>1</v>
      </c>
      <c r="N337" s="962"/>
      <c r="O337" s="53">
        <f t="shared" si="54"/>
        <v>1</v>
      </c>
      <c r="P337" s="962"/>
      <c r="Q337" s="53">
        <f t="shared" si="55"/>
        <v>1</v>
      </c>
      <c r="R337" s="489">
        <f t="shared" si="56"/>
        <v>0</v>
      </c>
      <c r="S337" s="798">
        <f t="shared" si="58"/>
        <v>0</v>
      </c>
    </row>
    <row r="338" spans="1:19">
      <c r="A338" s="964"/>
      <c r="B338" s="137"/>
      <c r="C338" s="53">
        <f t="shared" si="48"/>
        <v>1</v>
      </c>
      <c r="D338" s="962"/>
      <c r="E338" s="53">
        <f t="shared" si="49"/>
        <v>1</v>
      </c>
      <c r="F338" s="962"/>
      <c r="G338" s="53">
        <f t="shared" si="50"/>
        <v>1</v>
      </c>
      <c r="H338" s="962"/>
      <c r="I338" s="53">
        <f t="shared" si="51"/>
        <v>1</v>
      </c>
      <c r="J338" s="962"/>
      <c r="K338" s="53">
        <f t="shared" si="52"/>
        <v>1</v>
      </c>
      <c r="L338" s="962"/>
      <c r="M338" s="53">
        <f t="shared" si="53"/>
        <v>1</v>
      </c>
      <c r="N338" s="962"/>
      <c r="O338" s="53">
        <f t="shared" si="54"/>
        <v>1</v>
      </c>
      <c r="P338" s="962"/>
      <c r="Q338" s="53">
        <f t="shared" si="55"/>
        <v>1</v>
      </c>
      <c r="R338" s="489">
        <f t="shared" si="56"/>
        <v>0</v>
      </c>
      <c r="S338" s="798">
        <f t="shared" si="58"/>
        <v>0</v>
      </c>
    </row>
    <row r="339" spans="1:19">
      <c r="A339" s="964"/>
      <c r="B339" s="137"/>
      <c r="C339" s="53">
        <f t="shared" si="48"/>
        <v>1</v>
      </c>
      <c r="D339" s="962"/>
      <c r="E339" s="53">
        <f t="shared" si="49"/>
        <v>1</v>
      </c>
      <c r="F339" s="962"/>
      <c r="G339" s="53">
        <f t="shared" si="50"/>
        <v>1</v>
      </c>
      <c r="H339" s="962"/>
      <c r="I339" s="53">
        <f t="shared" si="51"/>
        <v>1</v>
      </c>
      <c r="J339" s="962"/>
      <c r="K339" s="53">
        <f t="shared" si="52"/>
        <v>1</v>
      </c>
      <c r="L339" s="962"/>
      <c r="M339" s="53">
        <f t="shared" si="53"/>
        <v>1</v>
      </c>
      <c r="N339" s="962"/>
      <c r="O339" s="53">
        <f t="shared" si="54"/>
        <v>1</v>
      </c>
      <c r="P339" s="962"/>
      <c r="Q339" s="53">
        <f t="shared" si="55"/>
        <v>1</v>
      </c>
      <c r="R339" s="489">
        <f t="shared" si="56"/>
        <v>0</v>
      </c>
      <c r="S339" s="798">
        <f t="shared" si="58"/>
        <v>0</v>
      </c>
    </row>
    <row r="340" spans="1:19">
      <c r="A340" s="964"/>
      <c r="B340" s="137"/>
      <c r="C340" s="53">
        <f t="shared" si="48"/>
        <v>1</v>
      </c>
      <c r="D340" s="962"/>
      <c r="E340" s="53">
        <f t="shared" si="49"/>
        <v>1</v>
      </c>
      <c r="F340" s="962"/>
      <c r="G340" s="53">
        <f t="shared" si="50"/>
        <v>1</v>
      </c>
      <c r="H340" s="962"/>
      <c r="I340" s="53">
        <f t="shared" si="51"/>
        <v>1</v>
      </c>
      <c r="J340" s="962"/>
      <c r="K340" s="53">
        <f t="shared" si="52"/>
        <v>1</v>
      </c>
      <c r="L340" s="962"/>
      <c r="M340" s="53">
        <f t="shared" si="53"/>
        <v>1</v>
      </c>
      <c r="N340" s="962"/>
      <c r="O340" s="53">
        <f t="shared" si="54"/>
        <v>1</v>
      </c>
      <c r="P340" s="962"/>
      <c r="Q340" s="53">
        <f t="shared" si="55"/>
        <v>1</v>
      </c>
      <c r="R340" s="489">
        <f t="shared" si="56"/>
        <v>0</v>
      </c>
      <c r="S340" s="798">
        <f t="shared" si="58"/>
        <v>0</v>
      </c>
    </row>
    <row r="341" spans="1:19">
      <c r="A341" s="964"/>
      <c r="B341" s="137"/>
      <c r="C341" s="53">
        <f t="shared" si="48"/>
        <v>1</v>
      </c>
      <c r="D341" s="962"/>
      <c r="E341" s="53">
        <f t="shared" si="49"/>
        <v>1</v>
      </c>
      <c r="F341" s="962"/>
      <c r="G341" s="53">
        <f t="shared" si="50"/>
        <v>1</v>
      </c>
      <c r="H341" s="962"/>
      <c r="I341" s="53">
        <f t="shared" si="51"/>
        <v>1</v>
      </c>
      <c r="J341" s="962"/>
      <c r="K341" s="53">
        <f t="shared" si="52"/>
        <v>1</v>
      </c>
      <c r="L341" s="962"/>
      <c r="M341" s="53">
        <f t="shared" si="53"/>
        <v>1</v>
      </c>
      <c r="N341" s="962"/>
      <c r="O341" s="53">
        <f t="shared" si="54"/>
        <v>1</v>
      </c>
      <c r="P341" s="962"/>
      <c r="Q341" s="53">
        <f t="shared" si="55"/>
        <v>1</v>
      </c>
      <c r="R341" s="489">
        <f t="shared" si="56"/>
        <v>0</v>
      </c>
      <c r="S341" s="798">
        <f t="shared" si="58"/>
        <v>0</v>
      </c>
    </row>
    <row r="342" spans="1:19">
      <c r="A342" s="964"/>
      <c r="B342" s="137"/>
      <c r="C342" s="53">
        <f t="shared" si="48"/>
        <v>1</v>
      </c>
      <c r="D342" s="962"/>
      <c r="E342" s="53">
        <f t="shared" si="49"/>
        <v>1</v>
      </c>
      <c r="F342" s="962"/>
      <c r="G342" s="53">
        <f t="shared" si="50"/>
        <v>1</v>
      </c>
      <c r="H342" s="962"/>
      <c r="I342" s="53">
        <f t="shared" si="51"/>
        <v>1</v>
      </c>
      <c r="J342" s="962"/>
      <c r="K342" s="53">
        <f t="shared" si="52"/>
        <v>1</v>
      </c>
      <c r="L342" s="962"/>
      <c r="M342" s="53">
        <f t="shared" si="53"/>
        <v>1</v>
      </c>
      <c r="N342" s="962"/>
      <c r="O342" s="53">
        <f t="shared" si="54"/>
        <v>1</v>
      </c>
      <c r="P342" s="962"/>
      <c r="Q342" s="53">
        <f t="shared" si="55"/>
        <v>1</v>
      </c>
      <c r="R342" s="489">
        <f t="shared" si="56"/>
        <v>0</v>
      </c>
      <c r="S342" s="798">
        <f t="shared" si="58"/>
        <v>0</v>
      </c>
    </row>
    <row r="343" spans="1:19">
      <c r="A343" s="964"/>
      <c r="B343" s="137"/>
      <c r="C343" s="53">
        <f t="shared" si="48"/>
        <v>1</v>
      </c>
      <c r="D343" s="962"/>
      <c r="E343" s="53">
        <f t="shared" si="49"/>
        <v>1</v>
      </c>
      <c r="F343" s="962"/>
      <c r="G343" s="53">
        <f t="shared" si="50"/>
        <v>1</v>
      </c>
      <c r="H343" s="962"/>
      <c r="I343" s="53">
        <f t="shared" si="51"/>
        <v>1</v>
      </c>
      <c r="J343" s="962"/>
      <c r="K343" s="53">
        <f t="shared" si="52"/>
        <v>1</v>
      </c>
      <c r="L343" s="962"/>
      <c r="M343" s="53">
        <f t="shared" si="53"/>
        <v>1</v>
      </c>
      <c r="N343" s="962"/>
      <c r="O343" s="53">
        <f t="shared" si="54"/>
        <v>1</v>
      </c>
      <c r="P343" s="962"/>
      <c r="Q343" s="53">
        <f t="shared" si="55"/>
        <v>1</v>
      </c>
      <c r="R343" s="489">
        <f t="shared" si="56"/>
        <v>0</v>
      </c>
      <c r="S343" s="798">
        <f t="shared" si="58"/>
        <v>0</v>
      </c>
    </row>
    <row r="344" spans="1:19">
      <c r="A344" s="964"/>
      <c r="B344" s="137"/>
      <c r="C344" s="53">
        <f t="shared" si="48"/>
        <v>1</v>
      </c>
      <c r="D344" s="962"/>
      <c r="E344" s="53">
        <f t="shared" si="49"/>
        <v>1</v>
      </c>
      <c r="F344" s="962"/>
      <c r="G344" s="53">
        <f t="shared" si="50"/>
        <v>1</v>
      </c>
      <c r="H344" s="962"/>
      <c r="I344" s="53">
        <f t="shared" si="51"/>
        <v>1</v>
      </c>
      <c r="J344" s="962"/>
      <c r="K344" s="53">
        <f t="shared" si="52"/>
        <v>1</v>
      </c>
      <c r="L344" s="962"/>
      <c r="M344" s="53">
        <f t="shared" si="53"/>
        <v>1</v>
      </c>
      <c r="N344" s="962"/>
      <c r="O344" s="53">
        <f t="shared" si="54"/>
        <v>1</v>
      </c>
      <c r="P344" s="962"/>
      <c r="Q344" s="53">
        <f t="shared" si="55"/>
        <v>1</v>
      </c>
      <c r="R344" s="489">
        <f t="shared" si="56"/>
        <v>0</v>
      </c>
      <c r="S344" s="798">
        <f t="shared" si="58"/>
        <v>0</v>
      </c>
    </row>
    <row r="345" spans="1:19">
      <c r="A345" s="964"/>
      <c r="B345" s="137"/>
      <c r="C345" s="53">
        <f t="shared" si="48"/>
        <v>1</v>
      </c>
      <c r="D345" s="962"/>
      <c r="E345" s="53">
        <f t="shared" si="49"/>
        <v>1</v>
      </c>
      <c r="F345" s="962"/>
      <c r="G345" s="53">
        <f t="shared" si="50"/>
        <v>1</v>
      </c>
      <c r="H345" s="962"/>
      <c r="I345" s="53">
        <f t="shared" si="51"/>
        <v>1</v>
      </c>
      <c r="J345" s="962"/>
      <c r="K345" s="53">
        <f t="shared" si="52"/>
        <v>1</v>
      </c>
      <c r="L345" s="962"/>
      <c r="M345" s="53">
        <f t="shared" si="53"/>
        <v>1</v>
      </c>
      <c r="N345" s="962"/>
      <c r="O345" s="53">
        <f t="shared" si="54"/>
        <v>1</v>
      </c>
      <c r="P345" s="962"/>
      <c r="Q345" s="53">
        <f t="shared" si="55"/>
        <v>1</v>
      </c>
      <c r="R345" s="489">
        <f t="shared" si="56"/>
        <v>0</v>
      </c>
      <c r="S345" s="798">
        <f t="shared" si="58"/>
        <v>0</v>
      </c>
    </row>
    <row r="346" spans="1:19">
      <c r="A346" s="964"/>
      <c r="B346" s="137"/>
      <c r="C346" s="53">
        <f t="shared" ref="C346:C409" si="59">IF(B346="",1,(LOOKUP(B346,$3:$3,$4:$4)-LOOKUP($B$24,$3:$3,$4:$4)+100)/100)</f>
        <v>1</v>
      </c>
      <c r="D346" s="962"/>
      <c r="E346" s="53">
        <f t="shared" ref="E346:E409" si="60">(SUMIF($5:$5,D346,$6:$6)-SUMIF($5:$5,$D$24,$6:$6)+100)/100</f>
        <v>1</v>
      </c>
      <c r="F346" s="962"/>
      <c r="G346" s="53">
        <f t="shared" ref="G346:G409" si="61">(SUMIF($7:$7,F346,$8:$8)-SUMIF($7:$7,$F$24,$8:$8)+100)/100</f>
        <v>1</v>
      </c>
      <c r="H346" s="962"/>
      <c r="I346" s="53">
        <f t="shared" ref="I346:I409" si="62">(SUMIF($9:$9,H346,$10:$10)-SUMIF($9:$9,$H$24,$10:$10)+100)/100</f>
        <v>1</v>
      </c>
      <c r="J346" s="962"/>
      <c r="K346" s="53">
        <f t="shared" ref="K346:K409" si="63">(SUMIF($11:$11,J346,$12:$12)-SUMIF($11:$11,$J$24,$12:$12)+100)/100</f>
        <v>1</v>
      </c>
      <c r="L346" s="962"/>
      <c r="M346" s="53">
        <f t="shared" ref="M346:M409" si="64">(SUMIF($13:$13,L346,$14:$14)-SUMIF($13:$13,$L$24,$14:$14)+100)/100</f>
        <v>1</v>
      </c>
      <c r="N346" s="962"/>
      <c r="O346" s="53">
        <f t="shared" ref="O346:O409" si="65">(SUMIF($15:$15,N346,$16:$16)-SUMIF($15:$15,$N$24,$16:$16)+100)/100</f>
        <v>1</v>
      </c>
      <c r="P346" s="962"/>
      <c r="Q346" s="53">
        <f t="shared" ref="Q346:Q409" si="66">(SUMIF($17:$17,P346,$18:$18)-SUMIF($17:$17,$P$24,$18:$18)+100)/100</f>
        <v>1</v>
      </c>
      <c r="R346" s="489">
        <f t="shared" ref="R346:R409" si="67">IF(B346="",0,ROUND($R$24*C346*E346*G346*I346*K346*M346*O346*Q346,0))</f>
        <v>0</v>
      </c>
      <c r="S346" s="798">
        <f t="shared" si="58"/>
        <v>0</v>
      </c>
    </row>
    <row r="347" spans="1:19">
      <c r="A347" s="964"/>
      <c r="B347" s="137"/>
      <c r="C347" s="53">
        <f t="shared" si="59"/>
        <v>1</v>
      </c>
      <c r="D347" s="962"/>
      <c r="E347" s="53">
        <f t="shared" si="60"/>
        <v>1</v>
      </c>
      <c r="F347" s="962"/>
      <c r="G347" s="53">
        <f t="shared" si="61"/>
        <v>1</v>
      </c>
      <c r="H347" s="962"/>
      <c r="I347" s="53">
        <f t="shared" si="62"/>
        <v>1</v>
      </c>
      <c r="J347" s="962"/>
      <c r="K347" s="53">
        <f t="shared" si="63"/>
        <v>1</v>
      </c>
      <c r="L347" s="962"/>
      <c r="M347" s="53">
        <f t="shared" si="64"/>
        <v>1</v>
      </c>
      <c r="N347" s="962"/>
      <c r="O347" s="53">
        <f t="shared" si="65"/>
        <v>1</v>
      </c>
      <c r="P347" s="962"/>
      <c r="Q347" s="53">
        <f t="shared" si="66"/>
        <v>1</v>
      </c>
      <c r="R347" s="489">
        <f t="shared" si="67"/>
        <v>0</v>
      </c>
      <c r="S347" s="798">
        <f t="shared" si="58"/>
        <v>0</v>
      </c>
    </row>
    <row r="348" spans="1:19">
      <c r="A348" s="964"/>
      <c r="B348" s="137"/>
      <c r="C348" s="53">
        <f t="shared" si="59"/>
        <v>1</v>
      </c>
      <c r="D348" s="962"/>
      <c r="E348" s="53">
        <f t="shared" si="60"/>
        <v>1</v>
      </c>
      <c r="F348" s="962"/>
      <c r="G348" s="53">
        <f t="shared" si="61"/>
        <v>1</v>
      </c>
      <c r="H348" s="962"/>
      <c r="I348" s="53">
        <f t="shared" si="62"/>
        <v>1</v>
      </c>
      <c r="J348" s="962"/>
      <c r="K348" s="53">
        <f t="shared" si="63"/>
        <v>1</v>
      </c>
      <c r="L348" s="962"/>
      <c r="M348" s="53">
        <f t="shared" si="64"/>
        <v>1</v>
      </c>
      <c r="N348" s="962"/>
      <c r="O348" s="53">
        <f t="shared" si="65"/>
        <v>1</v>
      </c>
      <c r="P348" s="962"/>
      <c r="Q348" s="53">
        <f t="shared" si="66"/>
        <v>1</v>
      </c>
      <c r="R348" s="489">
        <f t="shared" si="67"/>
        <v>0</v>
      </c>
      <c r="S348" s="798">
        <f t="shared" si="58"/>
        <v>0</v>
      </c>
    </row>
    <row r="349" spans="1:19">
      <c r="A349" s="964"/>
      <c r="B349" s="137"/>
      <c r="C349" s="53">
        <f t="shared" si="59"/>
        <v>1</v>
      </c>
      <c r="D349" s="962"/>
      <c r="E349" s="53">
        <f t="shared" si="60"/>
        <v>1</v>
      </c>
      <c r="F349" s="962"/>
      <c r="G349" s="53">
        <f t="shared" si="61"/>
        <v>1</v>
      </c>
      <c r="H349" s="962"/>
      <c r="I349" s="53">
        <f t="shared" si="62"/>
        <v>1</v>
      </c>
      <c r="J349" s="962"/>
      <c r="K349" s="53">
        <f t="shared" si="63"/>
        <v>1</v>
      </c>
      <c r="L349" s="962"/>
      <c r="M349" s="53">
        <f t="shared" si="64"/>
        <v>1</v>
      </c>
      <c r="N349" s="962"/>
      <c r="O349" s="53">
        <f t="shared" si="65"/>
        <v>1</v>
      </c>
      <c r="P349" s="962"/>
      <c r="Q349" s="53">
        <f t="shared" si="66"/>
        <v>1</v>
      </c>
      <c r="R349" s="489">
        <f t="shared" si="67"/>
        <v>0</v>
      </c>
      <c r="S349" s="798">
        <f t="shared" si="58"/>
        <v>0</v>
      </c>
    </row>
    <row r="350" spans="1:19">
      <c r="A350" s="964"/>
      <c r="B350" s="137"/>
      <c r="C350" s="53">
        <f t="shared" si="59"/>
        <v>1</v>
      </c>
      <c r="D350" s="962"/>
      <c r="E350" s="53">
        <f t="shared" si="60"/>
        <v>1</v>
      </c>
      <c r="F350" s="962"/>
      <c r="G350" s="53">
        <f t="shared" si="61"/>
        <v>1</v>
      </c>
      <c r="H350" s="962"/>
      <c r="I350" s="53">
        <f t="shared" si="62"/>
        <v>1</v>
      </c>
      <c r="J350" s="962"/>
      <c r="K350" s="53">
        <f t="shared" si="63"/>
        <v>1</v>
      </c>
      <c r="L350" s="962"/>
      <c r="M350" s="53">
        <f t="shared" si="64"/>
        <v>1</v>
      </c>
      <c r="N350" s="962"/>
      <c r="O350" s="53">
        <f t="shared" si="65"/>
        <v>1</v>
      </c>
      <c r="P350" s="962"/>
      <c r="Q350" s="53">
        <f t="shared" si="66"/>
        <v>1</v>
      </c>
      <c r="R350" s="489">
        <f t="shared" si="67"/>
        <v>0</v>
      </c>
      <c r="S350" s="798">
        <f t="shared" si="58"/>
        <v>0</v>
      </c>
    </row>
    <row r="351" spans="1:19">
      <c r="A351" s="964"/>
      <c r="B351" s="137"/>
      <c r="C351" s="53">
        <f t="shared" si="59"/>
        <v>1</v>
      </c>
      <c r="D351" s="962"/>
      <c r="E351" s="53">
        <f t="shared" si="60"/>
        <v>1</v>
      </c>
      <c r="F351" s="962"/>
      <c r="G351" s="53">
        <f t="shared" si="61"/>
        <v>1</v>
      </c>
      <c r="H351" s="962"/>
      <c r="I351" s="53">
        <f t="shared" si="62"/>
        <v>1</v>
      </c>
      <c r="J351" s="962"/>
      <c r="K351" s="53">
        <f t="shared" si="63"/>
        <v>1</v>
      </c>
      <c r="L351" s="962"/>
      <c r="M351" s="53">
        <f t="shared" si="64"/>
        <v>1</v>
      </c>
      <c r="N351" s="962"/>
      <c r="O351" s="53">
        <f t="shared" si="65"/>
        <v>1</v>
      </c>
      <c r="P351" s="962"/>
      <c r="Q351" s="53">
        <f t="shared" si="66"/>
        <v>1</v>
      </c>
      <c r="R351" s="489">
        <f t="shared" si="67"/>
        <v>0</v>
      </c>
      <c r="S351" s="798">
        <f t="shared" si="58"/>
        <v>0</v>
      </c>
    </row>
    <row r="352" spans="1:19">
      <c r="A352" s="964"/>
      <c r="B352" s="137"/>
      <c r="C352" s="53">
        <f t="shared" si="59"/>
        <v>1</v>
      </c>
      <c r="D352" s="962"/>
      <c r="E352" s="53">
        <f t="shared" si="60"/>
        <v>1</v>
      </c>
      <c r="F352" s="962"/>
      <c r="G352" s="53">
        <f t="shared" si="61"/>
        <v>1</v>
      </c>
      <c r="H352" s="962"/>
      <c r="I352" s="53">
        <f t="shared" si="62"/>
        <v>1</v>
      </c>
      <c r="J352" s="962"/>
      <c r="K352" s="53">
        <f t="shared" si="63"/>
        <v>1</v>
      </c>
      <c r="L352" s="962"/>
      <c r="M352" s="53">
        <f t="shared" si="64"/>
        <v>1</v>
      </c>
      <c r="N352" s="962"/>
      <c r="O352" s="53">
        <f t="shared" si="65"/>
        <v>1</v>
      </c>
      <c r="P352" s="962"/>
      <c r="Q352" s="53">
        <f t="shared" si="66"/>
        <v>1</v>
      </c>
      <c r="R352" s="489">
        <f t="shared" si="67"/>
        <v>0</v>
      </c>
      <c r="S352" s="798">
        <f t="shared" si="58"/>
        <v>0</v>
      </c>
    </row>
    <row r="353" spans="1:19">
      <c r="A353" s="964"/>
      <c r="B353" s="137"/>
      <c r="C353" s="53">
        <f t="shared" si="59"/>
        <v>1</v>
      </c>
      <c r="D353" s="962"/>
      <c r="E353" s="53">
        <f t="shared" si="60"/>
        <v>1</v>
      </c>
      <c r="F353" s="962"/>
      <c r="G353" s="53">
        <f t="shared" si="61"/>
        <v>1</v>
      </c>
      <c r="H353" s="962"/>
      <c r="I353" s="53">
        <f t="shared" si="62"/>
        <v>1</v>
      </c>
      <c r="J353" s="962"/>
      <c r="K353" s="53">
        <f t="shared" si="63"/>
        <v>1</v>
      </c>
      <c r="L353" s="962"/>
      <c r="M353" s="53">
        <f t="shared" si="64"/>
        <v>1</v>
      </c>
      <c r="N353" s="962"/>
      <c r="O353" s="53">
        <f t="shared" si="65"/>
        <v>1</v>
      </c>
      <c r="P353" s="962"/>
      <c r="Q353" s="53">
        <f t="shared" si="66"/>
        <v>1</v>
      </c>
      <c r="R353" s="489">
        <f t="shared" si="67"/>
        <v>0</v>
      </c>
      <c r="S353" s="798">
        <f t="shared" si="58"/>
        <v>0</v>
      </c>
    </row>
    <row r="354" spans="1:19">
      <c r="A354" s="964"/>
      <c r="B354" s="137"/>
      <c r="C354" s="53">
        <f t="shared" si="59"/>
        <v>1</v>
      </c>
      <c r="D354" s="962"/>
      <c r="E354" s="53">
        <f t="shared" si="60"/>
        <v>1</v>
      </c>
      <c r="F354" s="962"/>
      <c r="G354" s="53">
        <f t="shared" si="61"/>
        <v>1</v>
      </c>
      <c r="H354" s="962"/>
      <c r="I354" s="53">
        <f t="shared" si="62"/>
        <v>1</v>
      </c>
      <c r="J354" s="962"/>
      <c r="K354" s="53">
        <f t="shared" si="63"/>
        <v>1</v>
      </c>
      <c r="L354" s="962"/>
      <c r="M354" s="53">
        <f t="shared" si="64"/>
        <v>1</v>
      </c>
      <c r="N354" s="962"/>
      <c r="O354" s="53">
        <f t="shared" si="65"/>
        <v>1</v>
      </c>
      <c r="P354" s="962"/>
      <c r="Q354" s="53">
        <f t="shared" si="66"/>
        <v>1</v>
      </c>
      <c r="R354" s="489">
        <f t="shared" si="67"/>
        <v>0</v>
      </c>
      <c r="S354" s="798">
        <f t="shared" si="58"/>
        <v>0</v>
      </c>
    </row>
    <row r="355" spans="1:19">
      <c r="A355" s="964"/>
      <c r="B355" s="137"/>
      <c r="C355" s="53">
        <f t="shared" si="59"/>
        <v>1</v>
      </c>
      <c r="D355" s="962"/>
      <c r="E355" s="53">
        <f t="shared" si="60"/>
        <v>1</v>
      </c>
      <c r="F355" s="962"/>
      <c r="G355" s="53">
        <f t="shared" si="61"/>
        <v>1</v>
      </c>
      <c r="H355" s="962"/>
      <c r="I355" s="53">
        <f t="shared" si="62"/>
        <v>1</v>
      </c>
      <c r="J355" s="962"/>
      <c r="K355" s="53">
        <f t="shared" si="63"/>
        <v>1</v>
      </c>
      <c r="L355" s="962"/>
      <c r="M355" s="53">
        <f t="shared" si="64"/>
        <v>1</v>
      </c>
      <c r="N355" s="962"/>
      <c r="O355" s="53">
        <f t="shared" si="65"/>
        <v>1</v>
      </c>
      <c r="P355" s="962"/>
      <c r="Q355" s="53">
        <f t="shared" si="66"/>
        <v>1</v>
      </c>
      <c r="R355" s="489">
        <f t="shared" si="67"/>
        <v>0</v>
      </c>
      <c r="S355" s="798">
        <f t="shared" si="58"/>
        <v>0</v>
      </c>
    </row>
    <row r="356" spans="1:19">
      <c r="A356" s="964"/>
      <c r="B356" s="137"/>
      <c r="C356" s="53">
        <f t="shared" si="59"/>
        <v>1</v>
      </c>
      <c r="D356" s="962"/>
      <c r="E356" s="53">
        <f t="shared" si="60"/>
        <v>1</v>
      </c>
      <c r="F356" s="962"/>
      <c r="G356" s="53">
        <f t="shared" si="61"/>
        <v>1</v>
      </c>
      <c r="H356" s="962"/>
      <c r="I356" s="53">
        <f t="shared" si="62"/>
        <v>1</v>
      </c>
      <c r="J356" s="962"/>
      <c r="K356" s="53">
        <f t="shared" si="63"/>
        <v>1</v>
      </c>
      <c r="L356" s="962"/>
      <c r="M356" s="53">
        <f t="shared" si="64"/>
        <v>1</v>
      </c>
      <c r="N356" s="962"/>
      <c r="O356" s="53">
        <f t="shared" si="65"/>
        <v>1</v>
      </c>
      <c r="P356" s="962"/>
      <c r="Q356" s="53">
        <f t="shared" si="66"/>
        <v>1</v>
      </c>
      <c r="R356" s="489">
        <f t="shared" si="67"/>
        <v>0</v>
      </c>
      <c r="S356" s="798">
        <f t="shared" si="58"/>
        <v>0</v>
      </c>
    </row>
    <row r="357" spans="1:19">
      <c r="A357" s="964"/>
      <c r="B357" s="137"/>
      <c r="C357" s="53">
        <f t="shared" si="59"/>
        <v>1</v>
      </c>
      <c r="D357" s="962"/>
      <c r="E357" s="53">
        <f t="shared" si="60"/>
        <v>1</v>
      </c>
      <c r="F357" s="962"/>
      <c r="G357" s="53">
        <f t="shared" si="61"/>
        <v>1</v>
      </c>
      <c r="H357" s="962"/>
      <c r="I357" s="53">
        <f t="shared" si="62"/>
        <v>1</v>
      </c>
      <c r="J357" s="962"/>
      <c r="K357" s="53">
        <f t="shared" si="63"/>
        <v>1</v>
      </c>
      <c r="L357" s="962"/>
      <c r="M357" s="53">
        <f t="shared" si="64"/>
        <v>1</v>
      </c>
      <c r="N357" s="962"/>
      <c r="O357" s="53">
        <f t="shared" si="65"/>
        <v>1</v>
      </c>
      <c r="P357" s="962"/>
      <c r="Q357" s="53">
        <f t="shared" si="66"/>
        <v>1</v>
      </c>
      <c r="R357" s="489">
        <f t="shared" si="67"/>
        <v>0</v>
      </c>
      <c r="S357" s="798">
        <f t="shared" si="58"/>
        <v>0</v>
      </c>
    </row>
    <row r="358" spans="1:19">
      <c r="A358" s="964"/>
      <c r="B358" s="137"/>
      <c r="C358" s="53">
        <f t="shared" si="59"/>
        <v>1</v>
      </c>
      <c r="D358" s="962"/>
      <c r="E358" s="53">
        <f t="shared" si="60"/>
        <v>1</v>
      </c>
      <c r="F358" s="962"/>
      <c r="G358" s="53">
        <f t="shared" si="61"/>
        <v>1</v>
      </c>
      <c r="H358" s="962"/>
      <c r="I358" s="53">
        <f t="shared" si="62"/>
        <v>1</v>
      </c>
      <c r="J358" s="962"/>
      <c r="K358" s="53">
        <f t="shared" si="63"/>
        <v>1</v>
      </c>
      <c r="L358" s="962"/>
      <c r="M358" s="53">
        <f t="shared" si="64"/>
        <v>1</v>
      </c>
      <c r="N358" s="962"/>
      <c r="O358" s="53">
        <f t="shared" si="65"/>
        <v>1</v>
      </c>
      <c r="P358" s="962"/>
      <c r="Q358" s="53">
        <f t="shared" si="66"/>
        <v>1</v>
      </c>
      <c r="R358" s="489">
        <f t="shared" si="67"/>
        <v>0</v>
      </c>
      <c r="S358" s="798">
        <f t="shared" si="58"/>
        <v>0</v>
      </c>
    </row>
    <row r="359" spans="1:19">
      <c r="A359" s="964"/>
      <c r="B359" s="137"/>
      <c r="C359" s="53">
        <f t="shared" si="59"/>
        <v>1</v>
      </c>
      <c r="D359" s="962"/>
      <c r="E359" s="53">
        <f t="shared" si="60"/>
        <v>1</v>
      </c>
      <c r="F359" s="962"/>
      <c r="G359" s="53">
        <f t="shared" si="61"/>
        <v>1</v>
      </c>
      <c r="H359" s="962"/>
      <c r="I359" s="53">
        <f t="shared" si="62"/>
        <v>1</v>
      </c>
      <c r="J359" s="962"/>
      <c r="K359" s="53">
        <f t="shared" si="63"/>
        <v>1</v>
      </c>
      <c r="L359" s="962"/>
      <c r="M359" s="53">
        <f t="shared" si="64"/>
        <v>1</v>
      </c>
      <c r="N359" s="962"/>
      <c r="O359" s="53">
        <f t="shared" si="65"/>
        <v>1</v>
      </c>
      <c r="P359" s="962"/>
      <c r="Q359" s="53">
        <f t="shared" si="66"/>
        <v>1</v>
      </c>
      <c r="R359" s="489">
        <f t="shared" si="67"/>
        <v>0</v>
      </c>
      <c r="S359" s="798">
        <f t="shared" si="58"/>
        <v>0</v>
      </c>
    </row>
    <row r="360" spans="1:19">
      <c r="A360" s="964"/>
      <c r="B360" s="137"/>
      <c r="C360" s="53">
        <f t="shared" si="59"/>
        <v>1</v>
      </c>
      <c r="D360" s="962"/>
      <c r="E360" s="53">
        <f t="shared" si="60"/>
        <v>1</v>
      </c>
      <c r="F360" s="962"/>
      <c r="G360" s="53">
        <f t="shared" si="61"/>
        <v>1</v>
      </c>
      <c r="H360" s="962"/>
      <c r="I360" s="53">
        <f t="shared" si="62"/>
        <v>1</v>
      </c>
      <c r="J360" s="962"/>
      <c r="K360" s="53">
        <f t="shared" si="63"/>
        <v>1</v>
      </c>
      <c r="L360" s="962"/>
      <c r="M360" s="53">
        <f t="shared" si="64"/>
        <v>1</v>
      </c>
      <c r="N360" s="962"/>
      <c r="O360" s="53">
        <f t="shared" si="65"/>
        <v>1</v>
      </c>
      <c r="P360" s="962"/>
      <c r="Q360" s="53">
        <f t="shared" si="66"/>
        <v>1</v>
      </c>
      <c r="R360" s="489">
        <f t="shared" si="67"/>
        <v>0</v>
      </c>
      <c r="S360" s="798">
        <f t="shared" si="58"/>
        <v>0</v>
      </c>
    </row>
    <row r="361" spans="1:19">
      <c r="A361" s="964"/>
      <c r="B361" s="137"/>
      <c r="C361" s="53">
        <f t="shared" si="59"/>
        <v>1</v>
      </c>
      <c r="D361" s="962"/>
      <c r="E361" s="53">
        <f t="shared" si="60"/>
        <v>1</v>
      </c>
      <c r="F361" s="962"/>
      <c r="G361" s="53">
        <f t="shared" si="61"/>
        <v>1</v>
      </c>
      <c r="H361" s="962"/>
      <c r="I361" s="53">
        <f t="shared" si="62"/>
        <v>1</v>
      </c>
      <c r="J361" s="962"/>
      <c r="K361" s="53">
        <f t="shared" si="63"/>
        <v>1</v>
      </c>
      <c r="L361" s="962"/>
      <c r="M361" s="53">
        <f t="shared" si="64"/>
        <v>1</v>
      </c>
      <c r="N361" s="962"/>
      <c r="O361" s="53">
        <f t="shared" si="65"/>
        <v>1</v>
      </c>
      <c r="P361" s="962"/>
      <c r="Q361" s="53">
        <f t="shared" si="66"/>
        <v>1</v>
      </c>
      <c r="R361" s="489">
        <f t="shared" si="67"/>
        <v>0</v>
      </c>
      <c r="S361" s="798">
        <f t="shared" si="58"/>
        <v>0</v>
      </c>
    </row>
    <row r="362" spans="1:19">
      <c r="A362" s="964"/>
      <c r="B362" s="137"/>
      <c r="C362" s="53">
        <f t="shared" si="59"/>
        <v>1</v>
      </c>
      <c r="D362" s="962"/>
      <c r="E362" s="53">
        <f t="shared" si="60"/>
        <v>1</v>
      </c>
      <c r="F362" s="962"/>
      <c r="G362" s="53">
        <f t="shared" si="61"/>
        <v>1</v>
      </c>
      <c r="H362" s="962"/>
      <c r="I362" s="53">
        <f t="shared" si="62"/>
        <v>1</v>
      </c>
      <c r="J362" s="962"/>
      <c r="K362" s="53">
        <f t="shared" si="63"/>
        <v>1</v>
      </c>
      <c r="L362" s="962"/>
      <c r="M362" s="53">
        <f t="shared" si="64"/>
        <v>1</v>
      </c>
      <c r="N362" s="962"/>
      <c r="O362" s="53">
        <f t="shared" si="65"/>
        <v>1</v>
      </c>
      <c r="P362" s="962"/>
      <c r="Q362" s="53">
        <f t="shared" si="66"/>
        <v>1</v>
      </c>
      <c r="R362" s="489">
        <f t="shared" si="67"/>
        <v>0</v>
      </c>
      <c r="S362" s="798">
        <f t="shared" si="58"/>
        <v>0</v>
      </c>
    </row>
    <row r="363" spans="1:19">
      <c r="A363" s="964"/>
      <c r="B363" s="137"/>
      <c r="C363" s="53">
        <f t="shared" si="59"/>
        <v>1</v>
      </c>
      <c r="D363" s="962"/>
      <c r="E363" s="53">
        <f t="shared" si="60"/>
        <v>1</v>
      </c>
      <c r="F363" s="962"/>
      <c r="G363" s="53">
        <f t="shared" si="61"/>
        <v>1</v>
      </c>
      <c r="H363" s="962"/>
      <c r="I363" s="53">
        <f t="shared" si="62"/>
        <v>1</v>
      </c>
      <c r="J363" s="962"/>
      <c r="K363" s="53">
        <f t="shared" si="63"/>
        <v>1</v>
      </c>
      <c r="L363" s="962"/>
      <c r="M363" s="53">
        <f t="shared" si="64"/>
        <v>1</v>
      </c>
      <c r="N363" s="962"/>
      <c r="O363" s="53">
        <f t="shared" si="65"/>
        <v>1</v>
      </c>
      <c r="P363" s="962"/>
      <c r="Q363" s="53">
        <f t="shared" si="66"/>
        <v>1</v>
      </c>
      <c r="R363" s="489">
        <f t="shared" si="67"/>
        <v>0</v>
      </c>
      <c r="S363" s="798">
        <f t="shared" si="58"/>
        <v>0</v>
      </c>
    </row>
    <row r="364" spans="1:19">
      <c r="A364" s="964"/>
      <c r="B364" s="137"/>
      <c r="C364" s="53">
        <f t="shared" si="59"/>
        <v>1</v>
      </c>
      <c r="D364" s="962"/>
      <c r="E364" s="53">
        <f t="shared" si="60"/>
        <v>1</v>
      </c>
      <c r="F364" s="962"/>
      <c r="G364" s="53">
        <f t="shared" si="61"/>
        <v>1</v>
      </c>
      <c r="H364" s="962"/>
      <c r="I364" s="53">
        <f t="shared" si="62"/>
        <v>1</v>
      </c>
      <c r="J364" s="962"/>
      <c r="K364" s="53">
        <f t="shared" si="63"/>
        <v>1</v>
      </c>
      <c r="L364" s="962"/>
      <c r="M364" s="53">
        <f t="shared" si="64"/>
        <v>1</v>
      </c>
      <c r="N364" s="962"/>
      <c r="O364" s="53">
        <f t="shared" si="65"/>
        <v>1</v>
      </c>
      <c r="P364" s="962"/>
      <c r="Q364" s="53">
        <f t="shared" si="66"/>
        <v>1</v>
      </c>
      <c r="R364" s="489">
        <f t="shared" si="67"/>
        <v>0</v>
      </c>
      <c r="S364" s="798">
        <f t="shared" si="58"/>
        <v>0</v>
      </c>
    </row>
    <row r="365" spans="1:19">
      <c r="A365" s="964"/>
      <c r="B365" s="137"/>
      <c r="C365" s="53">
        <f t="shared" si="59"/>
        <v>1</v>
      </c>
      <c r="D365" s="962"/>
      <c r="E365" s="53">
        <f t="shared" si="60"/>
        <v>1</v>
      </c>
      <c r="F365" s="962"/>
      <c r="G365" s="53">
        <f t="shared" si="61"/>
        <v>1</v>
      </c>
      <c r="H365" s="962"/>
      <c r="I365" s="53">
        <f t="shared" si="62"/>
        <v>1</v>
      </c>
      <c r="J365" s="962"/>
      <c r="K365" s="53">
        <f t="shared" si="63"/>
        <v>1</v>
      </c>
      <c r="L365" s="962"/>
      <c r="M365" s="53">
        <f t="shared" si="64"/>
        <v>1</v>
      </c>
      <c r="N365" s="962"/>
      <c r="O365" s="53">
        <f t="shared" si="65"/>
        <v>1</v>
      </c>
      <c r="P365" s="962"/>
      <c r="Q365" s="53">
        <f t="shared" si="66"/>
        <v>1</v>
      </c>
      <c r="R365" s="489">
        <f t="shared" si="67"/>
        <v>0</v>
      </c>
      <c r="S365" s="798">
        <f t="shared" si="58"/>
        <v>0</v>
      </c>
    </row>
    <row r="366" spans="1:19">
      <c r="A366" s="964"/>
      <c r="B366" s="137"/>
      <c r="C366" s="53">
        <f t="shared" si="59"/>
        <v>1</v>
      </c>
      <c r="D366" s="962"/>
      <c r="E366" s="53">
        <f t="shared" si="60"/>
        <v>1</v>
      </c>
      <c r="F366" s="962"/>
      <c r="G366" s="53">
        <f t="shared" si="61"/>
        <v>1</v>
      </c>
      <c r="H366" s="962"/>
      <c r="I366" s="53">
        <f t="shared" si="62"/>
        <v>1</v>
      </c>
      <c r="J366" s="962"/>
      <c r="K366" s="53">
        <f t="shared" si="63"/>
        <v>1</v>
      </c>
      <c r="L366" s="962"/>
      <c r="M366" s="53">
        <f t="shared" si="64"/>
        <v>1</v>
      </c>
      <c r="N366" s="962"/>
      <c r="O366" s="53">
        <f t="shared" si="65"/>
        <v>1</v>
      </c>
      <c r="P366" s="962"/>
      <c r="Q366" s="53">
        <f t="shared" si="66"/>
        <v>1</v>
      </c>
      <c r="R366" s="489">
        <f t="shared" si="67"/>
        <v>0</v>
      </c>
      <c r="S366" s="798">
        <f t="shared" si="58"/>
        <v>0</v>
      </c>
    </row>
    <row r="367" spans="1:19">
      <c r="A367" s="964"/>
      <c r="B367" s="137"/>
      <c r="C367" s="53">
        <f t="shared" si="59"/>
        <v>1</v>
      </c>
      <c r="D367" s="962"/>
      <c r="E367" s="53">
        <f t="shared" si="60"/>
        <v>1</v>
      </c>
      <c r="F367" s="962"/>
      <c r="G367" s="53">
        <f t="shared" si="61"/>
        <v>1</v>
      </c>
      <c r="H367" s="962"/>
      <c r="I367" s="53">
        <f t="shared" si="62"/>
        <v>1</v>
      </c>
      <c r="J367" s="962"/>
      <c r="K367" s="53">
        <f t="shared" si="63"/>
        <v>1</v>
      </c>
      <c r="L367" s="962"/>
      <c r="M367" s="53">
        <f t="shared" si="64"/>
        <v>1</v>
      </c>
      <c r="N367" s="962"/>
      <c r="O367" s="53">
        <f t="shared" si="65"/>
        <v>1</v>
      </c>
      <c r="P367" s="962"/>
      <c r="Q367" s="53">
        <f t="shared" si="66"/>
        <v>1</v>
      </c>
      <c r="R367" s="489">
        <f t="shared" si="67"/>
        <v>0</v>
      </c>
      <c r="S367" s="798">
        <f t="shared" si="58"/>
        <v>0</v>
      </c>
    </row>
    <row r="368" spans="1:19">
      <c r="A368" s="964"/>
      <c r="B368" s="137"/>
      <c r="C368" s="53">
        <f t="shared" si="59"/>
        <v>1</v>
      </c>
      <c r="D368" s="962"/>
      <c r="E368" s="53">
        <f t="shared" si="60"/>
        <v>1</v>
      </c>
      <c r="F368" s="962"/>
      <c r="G368" s="53">
        <f t="shared" si="61"/>
        <v>1</v>
      </c>
      <c r="H368" s="962"/>
      <c r="I368" s="53">
        <f t="shared" si="62"/>
        <v>1</v>
      </c>
      <c r="J368" s="962"/>
      <c r="K368" s="53">
        <f t="shared" si="63"/>
        <v>1</v>
      </c>
      <c r="L368" s="962"/>
      <c r="M368" s="53">
        <f t="shared" si="64"/>
        <v>1</v>
      </c>
      <c r="N368" s="962"/>
      <c r="O368" s="53">
        <f t="shared" si="65"/>
        <v>1</v>
      </c>
      <c r="P368" s="962"/>
      <c r="Q368" s="53">
        <f t="shared" si="66"/>
        <v>1</v>
      </c>
      <c r="R368" s="489">
        <f t="shared" si="67"/>
        <v>0</v>
      </c>
      <c r="S368" s="798">
        <f t="shared" si="58"/>
        <v>0</v>
      </c>
    </row>
    <row r="369" spans="1:19">
      <c r="A369" s="964"/>
      <c r="B369" s="137"/>
      <c r="C369" s="53">
        <f t="shared" si="59"/>
        <v>1</v>
      </c>
      <c r="D369" s="962"/>
      <c r="E369" s="53">
        <f t="shared" si="60"/>
        <v>1</v>
      </c>
      <c r="F369" s="962"/>
      <c r="G369" s="53">
        <f t="shared" si="61"/>
        <v>1</v>
      </c>
      <c r="H369" s="962"/>
      <c r="I369" s="53">
        <f t="shared" si="62"/>
        <v>1</v>
      </c>
      <c r="J369" s="962"/>
      <c r="K369" s="53">
        <f t="shared" si="63"/>
        <v>1</v>
      </c>
      <c r="L369" s="962"/>
      <c r="M369" s="53">
        <f t="shared" si="64"/>
        <v>1</v>
      </c>
      <c r="N369" s="962"/>
      <c r="O369" s="53">
        <f t="shared" si="65"/>
        <v>1</v>
      </c>
      <c r="P369" s="962"/>
      <c r="Q369" s="53">
        <f t="shared" si="66"/>
        <v>1</v>
      </c>
      <c r="R369" s="489">
        <f t="shared" si="67"/>
        <v>0</v>
      </c>
      <c r="S369" s="798">
        <f t="shared" si="58"/>
        <v>0</v>
      </c>
    </row>
    <row r="370" spans="1:19">
      <c r="A370" s="964"/>
      <c r="B370" s="137"/>
      <c r="C370" s="53">
        <f t="shared" si="59"/>
        <v>1</v>
      </c>
      <c r="D370" s="962"/>
      <c r="E370" s="53">
        <f t="shared" si="60"/>
        <v>1</v>
      </c>
      <c r="F370" s="962"/>
      <c r="G370" s="53">
        <f t="shared" si="61"/>
        <v>1</v>
      </c>
      <c r="H370" s="962"/>
      <c r="I370" s="53">
        <f t="shared" si="62"/>
        <v>1</v>
      </c>
      <c r="J370" s="962"/>
      <c r="K370" s="53">
        <f t="shared" si="63"/>
        <v>1</v>
      </c>
      <c r="L370" s="962"/>
      <c r="M370" s="53">
        <f t="shared" si="64"/>
        <v>1</v>
      </c>
      <c r="N370" s="962"/>
      <c r="O370" s="53">
        <f t="shared" si="65"/>
        <v>1</v>
      </c>
      <c r="P370" s="962"/>
      <c r="Q370" s="53">
        <f t="shared" si="66"/>
        <v>1</v>
      </c>
      <c r="R370" s="489">
        <f t="shared" si="67"/>
        <v>0</v>
      </c>
      <c r="S370" s="798">
        <f t="shared" si="58"/>
        <v>0</v>
      </c>
    </row>
    <row r="371" spans="1:19">
      <c r="A371" s="964"/>
      <c r="B371" s="137"/>
      <c r="C371" s="53">
        <f t="shared" si="59"/>
        <v>1</v>
      </c>
      <c r="D371" s="962"/>
      <c r="E371" s="53">
        <f t="shared" si="60"/>
        <v>1</v>
      </c>
      <c r="F371" s="962"/>
      <c r="G371" s="53">
        <f t="shared" si="61"/>
        <v>1</v>
      </c>
      <c r="H371" s="962"/>
      <c r="I371" s="53">
        <f t="shared" si="62"/>
        <v>1</v>
      </c>
      <c r="J371" s="962"/>
      <c r="K371" s="53">
        <f t="shared" si="63"/>
        <v>1</v>
      </c>
      <c r="L371" s="962"/>
      <c r="M371" s="53">
        <f t="shared" si="64"/>
        <v>1</v>
      </c>
      <c r="N371" s="962"/>
      <c r="O371" s="53">
        <f t="shared" si="65"/>
        <v>1</v>
      </c>
      <c r="P371" s="962"/>
      <c r="Q371" s="53">
        <f t="shared" si="66"/>
        <v>1</v>
      </c>
      <c r="R371" s="489">
        <f t="shared" si="67"/>
        <v>0</v>
      </c>
      <c r="S371" s="798">
        <f t="shared" si="58"/>
        <v>0</v>
      </c>
    </row>
    <row r="372" spans="1:19">
      <c r="A372" s="964"/>
      <c r="B372" s="137"/>
      <c r="C372" s="53">
        <f t="shared" si="59"/>
        <v>1</v>
      </c>
      <c r="D372" s="962"/>
      <c r="E372" s="53">
        <f t="shared" si="60"/>
        <v>1</v>
      </c>
      <c r="F372" s="962"/>
      <c r="G372" s="53">
        <f t="shared" si="61"/>
        <v>1</v>
      </c>
      <c r="H372" s="962"/>
      <c r="I372" s="53">
        <f t="shared" si="62"/>
        <v>1</v>
      </c>
      <c r="J372" s="962"/>
      <c r="K372" s="53">
        <f t="shared" si="63"/>
        <v>1</v>
      </c>
      <c r="L372" s="962"/>
      <c r="M372" s="53">
        <f t="shared" si="64"/>
        <v>1</v>
      </c>
      <c r="N372" s="962"/>
      <c r="O372" s="53">
        <f t="shared" si="65"/>
        <v>1</v>
      </c>
      <c r="P372" s="962"/>
      <c r="Q372" s="53">
        <f t="shared" si="66"/>
        <v>1</v>
      </c>
      <c r="R372" s="489">
        <f t="shared" si="67"/>
        <v>0</v>
      </c>
      <c r="S372" s="798">
        <f t="shared" si="58"/>
        <v>0</v>
      </c>
    </row>
    <row r="373" spans="1:19">
      <c r="A373" s="964"/>
      <c r="B373" s="137"/>
      <c r="C373" s="53">
        <f t="shared" si="59"/>
        <v>1</v>
      </c>
      <c r="D373" s="962"/>
      <c r="E373" s="53">
        <f t="shared" si="60"/>
        <v>1</v>
      </c>
      <c r="F373" s="962"/>
      <c r="G373" s="53">
        <f t="shared" si="61"/>
        <v>1</v>
      </c>
      <c r="H373" s="962"/>
      <c r="I373" s="53">
        <f t="shared" si="62"/>
        <v>1</v>
      </c>
      <c r="J373" s="962"/>
      <c r="K373" s="53">
        <f t="shared" si="63"/>
        <v>1</v>
      </c>
      <c r="L373" s="962"/>
      <c r="M373" s="53">
        <f t="shared" si="64"/>
        <v>1</v>
      </c>
      <c r="N373" s="962"/>
      <c r="O373" s="53">
        <f t="shared" si="65"/>
        <v>1</v>
      </c>
      <c r="P373" s="962"/>
      <c r="Q373" s="53">
        <f t="shared" si="66"/>
        <v>1</v>
      </c>
      <c r="R373" s="489">
        <f t="shared" si="67"/>
        <v>0</v>
      </c>
      <c r="S373" s="798">
        <f t="shared" si="58"/>
        <v>0</v>
      </c>
    </row>
    <row r="374" spans="1:19">
      <c r="A374" s="964"/>
      <c r="B374" s="137"/>
      <c r="C374" s="53">
        <f t="shared" si="59"/>
        <v>1</v>
      </c>
      <c r="D374" s="962"/>
      <c r="E374" s="53">
        <f t="shared" si="60"/>
        <v>1</v>
      </c>
      <c r="F374" s="962"/>
      <c r="G374" s="53">
        <f t="shared" si="61"/>
        <v>1</v>
      </c>
      <c r="H374" s="962"/>
      <c r="I374" s="53">
        <f t="shared" si="62"/>
        <v>1</v>
      </c>
      <c r="J374" s="962"/>
      <c r="K374" s="53">
        <f t="shared" si="63"/>
        <v>1</v>
      </c>
      <c r="L374" s="962"/>
      <c r="M374" s="53">
        <f t="shared" si="64"/>
        <v>1</v>
      </c>
      <c r="N374" s="962"/>
      <c r="O374" s="53">
        <f t="shared" si="65"/>
        <v>1</v>
      </c>
      <c r="P374" s="962"/>
      <c r="Q374" s="53">
        <f t="shared" si="66"/>
        <v>1</v>
      </c>
      <c r="R374" s="489">
        <f t="shared" si="67"/>
        <v>0</v>
      </c>
      <c r="S374" s="798">
        <f t="shared" si="58"/>
        <v>0</v>
      </c>
    </row>
    <row r="375" spans="1:19">
      <c r="A375" s="964"/>
      <c r="B375" s="137"/>
      <c r="C375" s="53">
        <f t="shared" si="59"/>
        <v>1</v>
      </c>
      <c r="D375" s="962"/>
      <c r="E375" s="53">
        <f t="shared" si="60"/>
        <v>1</v>
      </c>
      <c r="F375" s="962"/>
      <c r="G375" s="53">
        <f t="shared" si="61"/>
        <v>1</v>
      </c>
      <c r="H375" s="962"/>
      <c r="I375" s="53">
        <f t="shared" si="62"/>
        <v>1</v>
      </c>
      <c r="J375" s="962"/>
      <c r="K375" s="53">
        <f t="shared" si="63"/>
        <v>1</v>
      </c>
      <c r="L375" s="962"/>
      <c r="M375" s="53">
        <f t="shared" si="64"/>
        <v>1</v>
      </c>
      <c r="N375" s="962"/>
      <c r="O375" s="53">
        <f t="shared" si="65"/>
        <v>1</v>
      </c>
      <c r="P375" s="962"/>
      <c r="Q375" s="53">
        <f t="shared" si="66"/>
        <v>1</v>
      </c>
      <c r="R375" s="489">
        <f t="shared" si="67"/>
        <v>0</v>
      </c>
      <c r="S375" s="798">
        <f t="shared" si="58"/>
        <v>0</v>
      </c>
    </row>
    <row r="376" spans="1:19">
      <c r="A376" s="964"/>
      <c r="B376" s="137"/>
      <c r="C376" s="53">
        <f t="shared" si="59"/>
        <v>1</v>
      </c>
      <c r="D376" s="962"/>
      <c r="E376" s="53">
        <f t="shared" si="60"/>
        <v>1</v>
      </c>
      <c r="F376" s="962"/>
      <c r="G376" s="53">
        <f t="shared" si="61"/>
        <v>1</v>
      </c>
      <c r="H376" s="962"/>
      <c r="I376" s="53">
        <f t="shared" si="62"/>
        <v>1</v>
      </c>
      <c r="J376" s="962"/>
      <c r="K376" s="53">
        <f t="shared" si="63"/>
        <v>1</v>
      </c>
      <c r="L376" s="962"/>
      <c r="M376" s="53">
        <f t="shared" si="64"/>
        <v>1</v>
      </c>
      <c r="N376" s="962"/>
      <c r="O376" s="53">
        <f t="shared" si="65"/>
        <v>1</v>
      </c>
      <c r="P376" s="962"/>
      <c r="Q376" s="53">
        <f t="shared" si="66"/>
        <v>1</v>
      </c>
      <c r="R376" s="489">
        <f t="shared" si="67"/>
        <v>0</v>
      </c>
      <c r="S376" s="798">
        <f t="shared" si="58"/>
        <v>0</v>
      </c>
    </row>
    <row r="377" spans="1:19">
      <c r="A377" s="964"/>
      <c r="B377" s="137"/>
      <c r="C377" s="53">
        <f t="shared" si="59"/>
        <v>1</v>
      </c>
      <c r="D377" s="962"/>
      <c r="E377" s="53">
        <f t="shared" si="60"/>
        <v>1</v>
      </c>
      <c r="F377" s="962"/>
      <c r="G377" s="53">
        <f t="shared" si="61"/>
        <v>1</v>
      </c>
      <c r="H377" s="962"/>
      <c r="I377" s="53">
        <f t="shared" si="62"/>
        <v>1</v>
      </c>
      <c r="J377" s="962"/>
      <c r="K377" s="53">
        <f t="shared" si="63"/>
        <v>1</v>
      </c>
      <c r="L377" s="962"/>
      <c r="M377" s="53">
        <f t="shared" si="64"/>
        <v>1</v>
      </c>
      <c r="N377" s="962"/>
      <c r="O377" s="53">
        <f t="shared" si="65"/>
        <v>1</v>
      </c>
      <c r="P377" s="962"/>
      <c r="Q377" s="53">
        <f t="shared" si="66"/>
        <v>1</v>
      </c>
      <c r="R377" s="489">
        <f t="shared" si="67"/>
        <v>0</v>
      </c>
      <c r="S377" s="798">
        <f t="shared" si="58"/>
        <v>0</v>
      </c>
    </row>
    <row r="378" spans="1:19">
      <c r="A378" s="964"/>
      <c r="B378" s="137"/>
      <c r="C378" s="53">
        <f t="shared" si="59"/>
        <v>1</v>
      </c>
      <c r="D378" s="962"/>
      <c r="E378" s="53">
        <f t="shared" si="60"/>
        <v>1</v>
      </c>
      <c r="F378" s="962"/>
      <c r="G378" s="53">
        <f t="shared" si="61"/>
        <v>1</v>
      </c>
      <c r="H378" s="962"/>
      <c r="I378" s="53">
        <f t="shared" si="62"/>
        <v>1</v>
      </c>
      <c r="J378" s="962"/>
      <c r="K378" s="53">
        <f t="shared" si="63"/>
        <v>1</v>
      </c>
      <c r="L378" s="962"/>
      <c r="M378" s="53">
        <f t="shared" si="64"/>
        <v>1</v>
      </c>
      <c r="N378" s="962"/>
      <c r="O378" s="53">
        <f t="shared" si="65"/>
        <v>1</v>
      </c>
      <c r="P378" s="962"/>
      <c r="Q378" s="53">
        <f t="shared" si="66"/>
        <v>1</v>
      </c>
      <c r="R378" s="489">
        <f t="shared" si="67"/>
        <v>0</v>
      </c>
      <c r="S378" s="798">
        <f t="shared" si="58"/>
        <v>0</v>
      </c>
    </row>
    <row r="379" spans="1:19">
      <c r="A379" s="964"/>
      <c r="B379" s="137"/>
      <c r="C379" s="53">
        <f t="shared" si="59"/>
        <v>1</v>
      </c>
      <c r="D379" s="962"/>
      <c r="E379" s="53">
        <f t="shared" si="60"/>
        <v>1</v>
      </c>
      <c r="F379" s="962"/>
      <c r="G379" s="53">
        <f t="shared" si="61"/>
        <v>1</v>
      </c>
      <c r="H379" s="962"/>
      <c r="I379" s="53">
        <f t="shared" si="62"/>
        <v>1</v>
      </c>
      <c r="J379" s="962"/>
      <c r="K379" s="53">
        <f t="shared" si="63"/>
        <v>1</v>
      </c>
      <c r="L379" s="962"/>
      <c r="M379" s="53">
        <f t="shared" si="64"/>
        <v>1</v>
      </c>
      <c r="N379" s="962"/>
      <c r="O379" s="53">
        <f t="shared" si="65"/>
        <v>1</v>
      </c>
      <c r="P379" s="962"/>
      <c r="Q379" s="53">
        <f t="shared" si="66"/>
        <v>1</v>
      </c>
      <c r="R379" s="489">
        <f t="shared" si="67"/>
        <v>0</v>
      </c>
      <c r="S379" s="798">
        <f t="shared" si="58"/>
        <v>0</v>
      </c>
    </row>
    <row r="380" spans="1:19">
      <c r="A380" s="964"/>
      <c r="B380" s="137"/>
      <c r="C380" s="53">
        <f t="shared" si="59"/>
        <v>1</v>
      </c>
      <c r="D380" s="962"/>
      <c r="E380" s="53">
        <f t="shared" si="60"/>
        <v>1</v>
      </c>
      <c r="F380" s="962"/>
      <c r="G380" s="53">
        <f t="shared" si="61"/>
        <v>1</v>
      </c>
      <c r="H380" s="962"/>
      <c r="I380" s="53">
        <f t="shared" si="62"/>
        <v>1</v>
      </c>
      <c r="J380" s="962"/>
      <c r="K380" s="53">
        <f t="shared" si="63"/>
        <v>1</v>
      </c>
      <c r="L380" s="962"/>
      <c r="M380" s="53">
        <f t="shared" si="64"/>
        <v>1</v>
      </c>
      <c r="N380" s="962"/>
      <c r="O380" s="53">
        <f t="shared" si="65"/>
        <v>1</v>
      </c>
      <c r="P380" s="962"/>
      <c r="Q380" s="53">
        <f t="shared" si="66"/>
        <v>1</v>
      </c>
      <c r="R380" s="489">
        <f t="shared" si="67"/>
        <v>0</v>
      </c>
      <c r="S380" s="798">
        <f t="shared" si="58"/>
        <v>0</v>
      </c>
    </row>
    <row r="381" spans="1:19">
      <c r="A381" s="964"/>
      <c r="B381" s="137"/>
      <c r="C381" s="53">
        <f t="shared" si="59"/>
        <v>1</v>
      </c>
      <c r="D381" s="962"/>
      <c r="E381" s="53">
        <f t="shared" si="60"/>
        <v>1</v>
      </c>
      <c r="F381" s="962"/>
      <c r="G381" s="53">
        <f t="shared" si="61"/>
        <v>1</v>
      </c>
      <c r="H381" s="962"/>
      <c r="I381" s="53">
        <f t="shared" si="62"/>
        <v>1</v>
      </c>
      <c r="J381" s="962"/>
      <c r="K381" s="53">
        <f t="shared" si="63"/>
        <v>1</v>
      </c>
      <c r="L381" s="962"/>
      <c r="M381" s="53">
        <f t="shared" si="64"/>
        <v>1</v>
      </c>
      <c r="N381" s="962"/>
      <c r="O381" s="53">
        <f t="shared" si="65"/>
        <v>1</v>
      </c>
      <c r="P381" s="962"/>
      <c r="Q381" s="53">
        <f t="shared" si="66"/>
        <v>1</v>
      </c>
      <c r="R381" s="489">
        <f t="shared" si="67"/>
        <v>0</v>
      </c>
      <c r="S381" s="798">
        <f t="shared" si="58"/>
        <v>0</v>
      </c>
    </row>
    <row r="382" spans="1:19">
      <c r="A382" s="964"/>
      <c r="B382" s="137"/>
      <c r="C382" s="53">
        <f t="shared" si="59"/>
        <v>1</v>
      </c>
      <c r="D382" s="962"/>
      <c r="E382" s="53">
        <f t="shared" si="60"/>
        <v>1</v>
      </c>
      <c r="F382" s="962"/>
      <c r="G382" s="53">
        <f t="shared" si="61"/>
        <v>1</v>
      </c>
      <c r="H382" s="962"/>
      <c r="I382" s="53">
        <f t="shared" si="62"/>
        <v>1</v>
      </c>
      <c r="J382" s="962"/>
      <c r="K382" s="53">
        <f t="shared" si="63"/>
        <v>1</v>
      </c>
      <c r="L382" s="962"/>
      <c r="M382" s="53">
        <f t="shared" si="64"/>
        <v>1</v>
      </c>
      <c r="N382" s="962"/>
      <c r="O382" s="53">
        <f t="shared" si="65"/>
        <v>1</v>
      </c>
      <c r="P382" s="962"/>
      <c r="Q382" s="53">
        <f t="shared" si="66"/>
        <v>1</v>
      </c>
      <c r="R382" s="489">
        <f t="shared" si="67"/>
        <v>0</v>
      </c>
      <c r="S382" s="798">
        <f t="shared" si="58"/>
        <v>0</v>
      </c>
    </row>
    <row r="383" spans="1:19">
      <c r="A383" s="964"/>
      <c r="B383" s="137"/>
      <c r="C383" s="53">
        <f t="shared" si="59"/>
        <v>1</v>
      </c>
      <c r="D383" s="962"/>
      <c r="E383" s="53">
        <f t="shared" si="60"/>
        <v>1</v>
      </c>
      <c r="F383" s="962"/>
      <c r="G383" s="53">
        <f t="shared" si="61"/>
        <v>1</v>
      </c>
      <c r="H383" s="962"/>
      <c r="I383" s="53">
        <f t="shared" si="62"/>
        <v>1</v>
      </c>
      <c r="J383" s="962"/>
      <c r="K383" s="53">
        <f t="shared" si="63"/>
        <v>1</v>
      </c>
      <c r="L383" s="962"/>
      <c r="M383" s="53">
        <f t="shared" si="64"/>
        <v>1</v>
      </c>
      <c r="N383" s="962"/>
      <c r="O383" s="53">
        <f t="shared" si="65"/>
        <v>1</v>
      </c>
      <c r="P383" s="962"/>
      <c r="Q383" s="53">
        <f t="shared" si="66"/>
        <v>1</v>
      </c>
      <c r="R383" s="489">
        <f t="shared" si="67"/>
        <v>0</v>
      </c>
      <c r="S383" s="798">
        <f t="shared" si="58"/>
        <v>0</v>
      </c>
    </row>
    <row r="384" spans="1:19">
      <c r="A384" s="964"/>
      <c r="B384" s="137"/>
      <c r="C384" s="53">
        <f t="shared" si="59"/>
        <v>1</v>
      </c>
      <c r="D384" s="962"/>
      <c r="E384" s="53">
        <f t="shared" si="60"/>
        <v>1</v>
      </c>
      <c r="F384" s="962"/>
      <c r="G384" s="53">
        <f t="shared" si="61"/>
        <v>1</v>
      </c>
      <c r="H384" s="962"/>
      <c r="I384" s="53">
        <f t="shared" si="62"/>
        <v>1</v>
      </c>
      <c r="J384" s="962"/>
      <c r="K384" s="53">
        <f t="shared" si="63"/>
        <v>1</v>
      </c>
      <c r="L384" s="962"/>
      <c r="M384" s="53">
        <f t="shared" si="64"/>
        <v>1</v>
      </c>
      <c r="N384" s="962"/>
      <c r="O384" s="53">
        <f t="shared" si="65"/>
        <v>1</v>
      </c>
      <c r="P384" s="962"/>
      <c r="Q384" s="53">
        <f t="shared" si="66"/>
        <v>1</v>
      </c>
      <c r="R384" s="489">
        <f t="shared" si="67"/>
        <v>0</v>
      </c>
      <c r="S384" s="798">
        <f t="shared" si="58"/>
        <v>0</v>
      </c>
    </row>
    <row r="385" spans="1:19">
      <c r="A385" s="964"/>
      <c r="B385" s="137"/>
      <c r="C385" s="53">
        <f t="shared" si="59"/>
        <v>1</v>
      </c>
      <c r="D385" s="962"/>
      <c r="E385" s="53">
        <f t="shared" si="60"/>
        <v>1</v>
      </c>
      <c r="F385" s="962"/>
      <c r="G385" s="53">
        <f t="shared" si="61"/>
        <v>1</v>
      </c>
      <c r="H385" s="962"/>
      <c r="I385" s="53">
        <f t="shared" si="62"/>
        <v>1</v>
      </c>
      <c r="J385" s="962"/>
      <c r="K385" s="53">
        <f t="shared" si="63"/>
        <v>1</v>
      </c>
      <c r="L385" s="962"/>
      <c r="M385" s="53">
        <f t="shared" si="64"/>
        <v>1</v>
      </c>
      <c r="N385" s="962"/>
      <c r="O385" s="53">
        <f t="shared" si="65"/>
        <v>1</v>
      </c>
      <c r="P385" s="962"/>
      <c r="Q385" s="53">
        <f t="shared" si="66"/>
        <v>1</v>
      </c>
      <c r="R385" s="489">
        <f t="shared" si="67"/>
        <v>0</v>
      </c>
      <c r="S385" s="798">
        <f t="shared" ref="S385:S422" si="68">ROUND(R385*B385/10000,0)</f>
        <v>0</v>
      </c>
    </row>
    <row r="386" spans="1:19">
      <c r="A386" s="964"/>
      <c r="B386" s="137"/>
      <c r="C386" s="53">
        <f t="shared" si="59"/>
        <v>1</v>
      </c>
      <c r="D386" s="962"/>
      <c r="E386" s="53">
        <f t="shared" si="60"/>
        <v>1</v>
      </c>
      <c r="F386" s="962"/>
      <c r="G386" s="53">
        <f t="shared" si="61"/>
        <v>1</v>
      </c>
      <c r="H386" s="962"/>
      <c r="I386" s="53">
        <f t="shared" si="62"/>
        <v>1</v>
      </c>
      <c r="J386" s="962"/>
      <c r="K386" s="53">
        <f t="shared" si="63"/>
        <v>1</v>
      </c>
      <c r="L386" s="962"/>
      <c r="M386" s="53">
        <f t="shared" si="64"/>
        <v>1</v>
      </c>
      <c r="N386" s="962"/>
      <c r="O386" s="53">
        <f t="shared" si="65"/>
        <v>1</v>
      </c>
      <c r="P386" s="962"/>
      <c r="Q386" s="53">
        <f t="shared" si="66"/>
        <v>1</v>
      </c>
      <c r="R386" s="489">
        <f t="shared" si="67"/>
        <v>0</v>
      </c>
      <c r="S386" s="798">
        <f t="shared" si="68"/>
        <v>0</v>
      </c>
    </row>
    <row r="387" spans="1:19">
      <c r="A387" s="964"/>
      <c r="B387" s="137"/>
      <c r="C387" s="53">
        <f t="shared" si="59"/>
        <v>1</v>
      </c>
      <c r="D387" s="962"/>
      <c r="E387" s="53">
        <f t="shared" si="60"/>
        <v>1</v>
      </c>
      <c r="F387" s="962"/>
      <c r="G387" s="53">
        <f t="shared" si="61"/>
        <v>1</v>
      </c>
      <c r="H387" s="962"/>
      <c r="I387" s="53">
        <f t="shared" si="62"/>
        <v>1</v>
      </c>
      <c r="J387" s="962"/>
      <c r="K387" s="53">
        <f t="shared" si="63"/>
        <v>1</v>
      </c>
      <c r="L387" s="962"/>
      <c r="M387" s="53">
        <f t="shared" si="64"/>
        <v>1</v>
      </c>
      <c r="N387" s="962"/>
      <c r="O387" s="53">
        <f t="shared" si="65"/>
        <v>1</v>
      </c>
      <c r="P387" s="962"/>
      <c r="Q387" s="53">
        <f t="shared" si="66"/>
        <v>1</v>
      </c>
      <c r="R387" s="489">
        <f t="shared" si="67"/>
        <v>0</v>
      </c>
      <c r="S387" s="798">
        <f t="shared" si="68"/>
        <v>0</v>
      </c>
    </row>
    <row r="388" spans="1:19">
      <c r="A388" s="964"/>
      <c r="B388" s="137"/>
      <c r="C388" s="53">
        <f t="shared" si="59"/>
        <v>1</v>
      </c>
      <c r="D388" s="962"/>
      <c r="E388" s="53">
        <f t="shared" si="60"/>
        <v>1</v>
      </c>
      <c r="F388" s="962"/>
      <c r="G388" s="53">
        <f t="shared" si="61"/>
        <v>1</v>
      </c>
      <c r="H388" s="962"/>
      <c r="I388" s="53">
        <f t="shared" si="62"/>
        <v>1</v>
      </c>
      <c r="J388" s="962"/>
      <c r="K388" s="53">
        <f t="shared" si="63"/>
        <v>1</v>
      </c>
      <c r="L388" s="962"/>
      <c r="M388" s="53">
        <f t="shared" si="64"/>
        <v>1</v>
      </c>
      <c r="N388" s="962"/>
      <c r="O388" s="53">
        <f t="shared" si="65"/>
        <v>1</v>
      </c>
      <c r="P388" s="962"/>
      <c r="Q388" s="53">
        <f t="shared" si="66"/>
        <v>1</v>
      </c>
      <c r="R388" s="489">
        <f t="shared" si="67"/>
        <v>0</v>
      </c>
      <c r="S388" s="798">
        <f t="shared" si="68"/>
        <v>0</v>
      </c>
    </row>
    <row r="389" spans="1:19">
      <c r="A389" s="964"/>
      <c r="B389" s="137"/>
      <c r="C389" s="53">
        <f t="shared" si="59"/>
        <v>1</v>
      </c>
      <c r="D389" s="962"/>
      <c r="E389" s="53">
        <f t="shared" si="60"/>
        <v>1</v>
      </c>
      <c r="F389" s="962"/>
      <c r="G389" s="53">
        <f t="shared" si="61"/>
        <v>1</v>
      </c>
      <c r="H389" s="962"/>
      <c r="I389" s="53">
        <f t="shared" si="62"/>
        <v>1</v>
      </c>
      <c r="J389" s="962"/>
      <c r="K389" s="53">
        <f t="shared" si="63"/>
        <v>1</v>
      </c>
      <c r="L389" s="962"/>
      <c r="M389" s="53">
        <f t="shared" si="64"/>
        <v>1</v>
      </c>
      <c r="N389" s="962"/>
      <c r="O389" s="53">
        <f t="shared" si="65"/>
        <v>1</v>
      </c>
      <c r="P389" s="962"/>
      <c r="Q389" s="53">
        <f t="shared" si="66"/>
        <v>1</v>
      </c>
      <c r="R389" s="489">
        <f t="shared" si="67"/>
        <v>0</v>
      </c>
      <c r="S389" s="798">
        <f t="shared" si="68"/>
        <v>0</v>
      </c>
    </row>
    <row r="390" spans="1:19">
      <c r="A390" s="964"/>
      <c r="B390" s="137"/>
      <c r="C390" s="53">
        <f t="shared" si="59"/>
        <v>1</v>
      </c>
      <c r="D390" s="962"/>
      <c r="E390" s="53">
        <f t="shared" si="60"/>
        <v>1</v>
      </c>
      <c r="F390" s="962"/>
      <c r="G390" s="53">
        <f t="shared" si="61"/>
        <v>1</v>
      </c>
      <c r="H390" s="962"/>
      <c r="I390" s="53">
        <f t="shared" si="62"/>
        <v>1</v>
      </c>
      <c r="J390" s="962"/>
      <c r="K390" s="53">
        <f t="shared" si="63"/>
        <v>1</v>
      </c>
      <c r="L390" s="962"/>
      <c r="M390" s="53">
        <f t="shared" si="64"/>
        <v>1</v>
      </c>
      <c r="N390" s="962"/>
      <c r="O390" s="53">
        <f t="shared" si="65"/>
        <v>1</v>
      </c>
      <c r="P390" s="962"/>
      <c r="Q390" s="53">
        <f t="shared" si="66"/>
        <v>1</v>
      </c>
      <c r="R390" s="489">
        <f t="shared" si="67"/>
        <v>0</v>
      </c>
      <c r="S390" s="798">
        <f t="shared" si="68"/>
        <v>0</v>
      </c>
    </row>
    <row r="391" spans="1:19">
      <c r="A391" s="964"/>
      <c r="B391" s="137"/>
      <c r="C391" s="53">
        <f t="shared" si="59"/>
        <v>1</v>
      </c>
      <c r="D391" s="962"/>
      <c r="E391" s="53">
        <f t="shared" si="60"/>
        <v>1</v>
      </c>
      <c r="F391" s="962"/>
      <c r="G391" s="53">
        <f t="shared" si="61"/>
        <v>1</v>
      </c>
      <c r="H391" s="962"/>
      <c r="I391" s="53">
        <f t="shared" si="62"/>
        <v>1</v>
      </c>
      <c r="J391" s="962"/>
      <c r="K391" s="53">
        <f t="shared" si="63"/>
        <v>1</v>
      </c>
      <c r="L391" s="962"/>
      <c r="M391" s="53">
        <f t="shared" si="64"/>
        <v>1</v>
      </c>
      <c r="N391" s="962"/>
      <c r="O391" s="53">
        <f t="shared" si="65"/>
        <v>1</v>
      </c>
      <c r="P391" s="962"/>
      <c r="Q391" s="53">
        <f t="shared" si="66"/>
        <v>1</v>
      </c>
      <c r="R391" s="489">
        <f t="shared" si="67"/>
        <v>0</v>
      </c>
      <c r="S391" s="798">
        <f t="shared" si="68"/>
        <v>0</v>
      </c>
    </row>
    <row r="392" spans="1:19">
      <c r="A392" s="964"/>
      <c r="B392" s="137"/>
      <c r="C392" s="53">
        <f t="shared" si="59"/>
        <v>1</v>
      </c>
      <c r="D392" s="962"/>
      <c r="E392" s="53">
        <f t="shared" si="60"/>
        <v>1</v>
      </c>
      <c r="F392" s="962"/>
      <c r="G392" s="53">
        <f t="shared" si="61"/>
        <v>1</v>
      </c>
      <c r="H392" s="962"/>
      <c r="I392" s="53">
        <f t="shared" si="62"/>
        <v>1</v>
      </c>
      <c r="J392" s="962"/>
      <c r="K392" s="53">
        <f t="shared" si="63"/>
        <v>1</v>
      </c>
      <c r="L392" s="962"/>
      <c r="M392" s="53">
        <f t="shared" si="64"/>
        <v>1</v>
      </c>
      <c r="N392" s="962"/>
      <c r="O392" s="53">
        <f t="shared" si="65"/>
        <v>1</v>
      </c>
      <c r="P392" s="962"/>
      <c r="Q392" s="53">
        <f t="shared" si="66"/>
        <v>1</v>
      </c>
      <c r="R392" s="489">
        <f t="shared" si="67"/>
        <v>0</v>
      </c>
      <c r="S392" s="798">
        <f t="shared" si="68"/>
        <v>0</v>
      </c>
    </row>
    <row r="393" spans="1:19">
      <c r="A393" s="964"/>
      <c r="B393" s="137"/>
      <c r="C393" s="53">
        <f t="shared" si="59"/>
        <v>1</v>
      </c>
      <c r="D393" s="962"/>
      <c r="E393" s="53">
        <f t="shared" si="60"/>
        <v>1</v>
      </c>
      <c r="F393" s="962"/>
      <c r="G393" s="53">
        <f t="shared" si="61"/>
        <v>1</v>
      </c>
      <c r="H393" s="962"/>
      <c r="I393" s="53">
        <f t="shared" si="62"/>
        <v>1</v>
      </c>
      <c r="J393" s="962"/>
      <c r="K393" s="53">
        <f t="shared" si="63"/>
        <v>1</v>
      </c>
      <c r="L393" s="962"/>
      <c r="M393" s="53">
        <f t="shared" si="64"/>
        <v>1</v>
      </c>
      <c r="N393" s="962"/>
      <c r="O393" s="53">
        <f t="shared" si="65"/>
        <v>1</v>
      </c>
      <c r="P393" s="962"/>
      <c r="Q393" s="53">
        <f t="shared" si="66"/>
        <v>1</v>
      </c>
      <c r="R393" s="489">
        <f t="shared" si="67"/>
        <v>0</v>
      </c>
      <c r="S393" s="798">
        <f t="shared" si="68"/>
        <v>0</v>
      </c>
    </row>
    <row r="394" spans="1:19">
      <c r="A394" s="964"/>
      <c r="B394" s="137"/>
      <c r="C394" s="53">
        <f t="shared" si="59"/>
        <v>1</v>
      </c>
      <c r="D394" s="962"/>
      <c r="E394" s="53">
        <f t="shared" si="60"/>
        <v>1</v>
      </c>
      <c r="F394" s="962"/>
      <c r="G394" s="53">
        <f t="shared" si="61"/>
        <v>1</v>
      </c>
      <c r="H394" s="962"/>
      <c r="I394" s="53">
        <f t="shared" si="62"/>
        <v>1</v>
      </c>
      <c r="J394" s="962"/>
      <c r="K394" s="53">
        <f t="shared" si="63"/>
        <v>1</v>
      </c>
      <c r="L394" s="962"/>
      <c r="M394" s="53">
        <f t="shared" si="64"/>
        <v>1</v>
      </c>
      <c r="N394" s="962"/>
      <c r="O394" s="53">
        <f t="shared" si="65"/>
        <v>1</v>
      </c>
      <c r="P394" s="962"/>
      <c r="Q394" s="53">
        <f t="shared" si="66"/>
        <v>1</v>
      </c>
      <c r="R394" s="489">
        <f t="shared" si="67"/>
        <v>0</v>
      </c>
      <c r="S394" s="798">
        <f t="shared" si="68"/>
        <v>0</v>
      </c>
    </row>
    <row r="395" spans="1:19">
      <c r="A395" s="964"/>
      <c r="B395" s="137"/>
      <c r="C395" s="53">
        <f t="shared" si="59"/>
        <v>1</v>
      </c>
      <c r="D395" s="962"/>
      <c r="E395" s="53">
        <f t="shared" si="60"/>
        <v>1</v>
      </c>
      <c r="F395" s="962"/>
      <c r="G395" s="53">
        <f t="shared" si="61"/>
        <v>1</v>
      </c>
      <c r="H395" s="962"/>
      <c r="I395" s="53">
        <f t="shared" si="62"/>
        <v>1</v>
      </c>
      <c r="J395" s="962"/>
      <c r="K395" s="53">
        <f t="shared" si="63"/>
        <v>1</v>
      </c>
      <c r="L395" s="962"/>
      <c r="M395" s="53">
        <f t="shared" si="64"/>
        <v>1</v>
      </c>
      <c r="N395" s="962"/>
      <c r="O395" s="53">
        <f t="shared" si="65"/>
        <v>1</v>
      </c>
      <c r="P395" s="962"/>
      <c r="Q395" s="53">
        <f t="shared" si="66"/>
        <v>1</v>
      </c>
      <c r="R395" s="489">
        <f t="shared" si="67"/>
        <v>0</v>
      </c>
      <c r="S395" s="798">
        <f t="shared" si="68"/>
        <v>0</v>
      </c>
    </row>
    <row r="396" spans="1:19">
      <c r="A396" s="964"/>
      <c r="B396" s="137"/>
      <c r="C396" s="53">
        <f t="shared" si="59"/>
        <v>1</v>
      </c>
      <c r="D396" s="962"/>
      <c r="E396" s="53">
        <f t="shared" si="60"/>
        <v>1</v>
      </c>
      <c r="F396" s="962"/>
      <c r="G396" s="53">
        <f t="shared" si="61"/>
        <v>1</v>
      </c>
      <c r="H396" s="962"/>
      <c r="I396" s="53">
        <f t="shared" si="62"/>
        <v>1</v>
      </c>
      <c r="J396" s="962"/>
      <c r="K396" s="53">
        <f t="shared" si="63"/>
        <v>1</v>
      </c>
      <c r="L396" s="962"/>
      <c r="M396" s="53">
        <f t="shared" si="64"/>
        <v>1</v>
      </c>
      <c r="N396" s="962"/>
      <c r="O396" s="53">
        <f t="shared" si="65"/>
        <v>1</v>
      </c>
      <c r="P396" s="962"/>
      <c r="Q396" s="53">
        <f t="shared" si="66"/>
        <v>1</v>
      </c>
      <c r="R396" s="489">
        <f t="shared" si="67"/>
        <v>0</v>
      </c>
      <c r="S396" s="798">
        <f t="shared" si="68"/>
        <v>0</v>
      </c>
    </row>
    <row r="397" spans="1:19">
      <c r="A397" s="964"/>
      <c r="B397" s="137"/>
      <c r="C397" s="53">
        <f t="shared" si="59"/>
        <v>1</v>
      </c>
      <c r="D397" s="962"/>
      <c r="E397" s="53">
        <f t="shared" si="60"/>
        <v>1</v>
      </c>
      <c r="F397" s="962"/>
      <c r="G397" s="53">
        <f t="shared" si="61"/>
        <v>1</v>
      </c>
      <c r="H397" s="962"/>
      <c r="I397" s="53">
        <f t="shared" si="62"/>
        <v>1</v>
      </c>
      <c r="J397" s="962"/>
      <c r="K397" s="53">
        <f t="shared" si="63"/>
        <v>1</v>
      </c>
      <c r="L397" s="962"/>
      <c r="M397" s="53">
        <f t="shared" si="64"/>
        <v>1</v>
      </c>
      <c r="N397" s="962"/>
      <c r="O397" s="53">
        <f t="shared" si="65"/>
        <v>1</v>
      </c>
      <c r="P397" s="962"/>
      <c r="Q397" s="53">
        <f t="shared" si="66"/>
        <v>1</v>
      </c>
      <c r="R397" s="489">
        <f t="shared" si="67"/>
        <v>0</v>
      </c>
      <c r="S397" s="798">
        <f t="shared" si="68"/>
        <v>0</v>
      </c>
    </row>
    <row r="398" spans="1:19">
      <c r="A398" s="964"/>
      <c r="B398" s="137"/>
      <c r="C398" s="53">
        <f t="shared" si="59"/>
        <v>1</v>
      </c>
      <c r="D398" s="962"/>
      <c r="E398" s="53">
        <f t="shared" si="60"/>
        <v>1</v>
      </c>
      <c r="F398" s="962"/>
      <c r="G398" s="53">
        <f t="shared" si="61"/>
        <v>1</v>
      </c>
      <c r="H398" s="962"/>
      <c r="I398" s="53">
        <f t="shared" si="62"/>
        <v>1</v>
      </c>
      <c r="J398" s="962"/>
      <c r="K398" s="53">
        <f t="shared" si="63"/>
        <v>1</v>
      </c>
      <c r="L398" s="962"/>
      <c r="M398" s="53">
        <f t="shared" si="64"/>
        <v>1</v>
      </c>
      <c r="N398" s="962"/>
      <c r="O398" s="53">
        <f t="shared" si="65"/>
        <v>1</v>
      </c>
      <c r="P398" s="962"/>
      <c r="Q398" s="53">
        <f t="shared" si="66"/>
        <v>1</v>
      </c>
      <c r="R398" s="489">
        <f t="shared" si="67"/>
        <v>0</v>
      </c>
      <c r="S398" s="798">
        <f t="shared" si="68"/>
        <v>0</v>
      </c>
    </row>
    <row r="399" spans="1:19">
      <c r="A399" s="964"/>
      <c r="B399" s="137"/>
      <c r="C399" s="53">
        <f t="shared" si="59"/>
        <v>1</v>
      </c>
      <c r="D399" s="962"/>
      <c r="E399" s="53">
        <f t="shared" si="60"/>
        <v>1</v>
      </c>
      <c r="F399" s="962"/>
      <c r="G399" s="53">
        <f t="shared" si="61"/>
        <v>1</v>
      </c>
      <c r="H399" s="962"/>
      <c r="I399" s="53">
        <f t="shared" si="62"/>
        <v>1</v>
      </c>
      <c r="J399" s="962"/>
      <c r="K399" s="53">
        <f t="shared" si="63"/>
        <v>1</v>
      </c>
      <c r="L399" s="962"/>
      <c r="M399" s="53">
        <f t="shared" si="64"/>
        <v>1</v>
      </c>
      <c r="N399" s="962"/>
      <c r="O399" s="53">
        <f t="shared" si="65"/>
        <v>1</v>
      </c>
      <c r="P399" s="962"/>
      <c r="Q399" s="53">
        <f t="shared" si="66"/>
        <v>1</v>
      </c>
      <c r="R399" s="489">
        <f t="shared" si="67"/>
        <v>0</v>
      </c>
      <c r="S399" s="798">
        <f t="shared" si="68"/>
        <v>0</v>
      </c>
    </row>
    <row r="400" spans="1:19">
      <c r="A400" s="964"/>
      <c r="B400" s="137"/>
      <c r="C400" s="53">
        <f t="shared" si="59"/>
        <v>1</v>
      </c>
      <c r="D400" s="962"/>
      <c r="E400" s="53">
        <f t="shared" si="60"/>
        <v>1</v>
      </c>
      <c r="F400" s="962"/>
      <c r="G400" s="53">
        <f t="shared" si="61"/>
        <v>1</v>
      </c>
      <c r="H400" s="962"/>
      <c r="I400" s="53">
        <f t="shared" si="62"/>
        <v>1</v>
      </c>
      <c r="J400" s="962"/>
      <c r="K400" s="53">
        <f t="shared" si="63"/>
        <v>1</v>
      </c>
      <c r="L400" s="962"/>
      <c r="M400" s="53">
        <f t="shared" si="64"/>
        <v>1</v>
      </c>
      <c r="N400" s="962"/>
      <c r="O400" s="53">
        <f t="shared" si="65"/>
        <v>1</v>
      </c>
      <c r="P400" s="962"/>
      <c r="Q400" s="53">
        <f t="shared" si="66"/>
        <v>1</v>
      </c>
      <c r="R400" s="489">
        <f t="shared" si="67"/>
        <v>0</v>
      </c>
      <c r="S400" s="798">
        <f t="shared" si="68"/>
        <v>0</v>
      </c>
    </row>
    <row r="401" spans="1:19">
      <c r="A401" s="964"/>
      <c r="B401" s="137"/>
      <c r="C401" s="53">
        <f t="shared" si="59"/>
        <v>1</v>
      </c>
      <c r="D401" s="962"/>
      <c r="E401" s="53">
        <f t="shared" si="60"/>
        <v>1</v>
      </c>
      <c r="F401" s="962"/>
      <c r="G401" s="53">
        <f t="shared" si="61"/>
        <v>1</v>
      </c>
      <c r="H401" s="962"/>
      <c r="I401" s="53">
        <f t="shared" si="62"/>
        <v>1</v>
      </c>
      <c r="J401" s="962"/>
      <c r="K401" s="53">
        <f t="shared" si="63"/>
        <v>1</v>
      </c>
      <c r="L401" s="962"/>
      <c r="M401" s="53">
        <f t="shared" si="64"/>
        <v>1</v>
      </c>
      <c r="N401" s="962"/>
      <c r="O401" s="53">
        <f t="shared" si="65"/>
        <v>1</v>
      </c>
      <c r="P401" s="962"/>
      <c r="Q401" s="53">
        <f t="shared" si="66"/>
        <v>1</v>
      </c>
      <c r="R401" s="489">
        <f t="shared" si="67"/>
        <v>0</v>
      </c>
      <c r="S401" s="798">
        <f t="shared" si="68"/>
        <v>0</v>
      </c>
    </row>
    <row r="402" spans="1:19">
      <c r="A402" s="964"/>
      <c r="B402" s="137"/>
      <c r="C402" s="53">
        <f t="shared" si="59"/>
        <v>1</v>
      </c>
      <c r="D402" s="962"/>
      <c r="E402" s="53">
        <f t="shared" si="60"/>
        <v>1</v>
      </c>
      <c r="F402" s="962"/>
      <c r="G402" s="53">
        <f t="shared" si="61"/>
        <v>1</v>
      </c>
      <c r="H402" s="962"/>
      <c r="I402" s="53">
        <f t="shared" si="62"/>
        <v>1</v>
      </c>
      <c r="J402" s="962"/>
      <c r="K402" s="53">
        <f t="shared" si="63"/>
        <v>1</v>
      </c>
      <c r="L402" s="962"/>
      <c r="M402" s="53">
        <f t="shared" si="64"/>
        <v>1</v>
      </c>
      <c r="N402" s="962"/>
      <c r="O402" s="53">
        <f t="shared" si="65"/>
        <v>1</v>
      </c>
      <c r="P402" s="962"/>
      <c r="Q402" s="53">
        <f t="shared" si="66"/>
        <v>1</v>
      </c>
      <c r="R402" s="489">
        <f t="shared" si="67"/>
        <v>0</v>
      </c>
      <c r="S402" s="798">
        <f t="shared" si="68"/>
        <v>0</v>
      </c>
    </row>
    <row r="403" spans="1:19">
      <c r="A403" s="964"/>
      <c r="B403" s="137"/>
      <c r="C403" s="53">
        <f t="shared" si="59"/>
        <v>1</v>
      </c>
      <c r="D403" s="962"/>
      <c r="E403" s="53">
        <f t="shared" si="60"/>
        <v>1</v>
      </c>
      <c r="F403" s="962"/>
      <c r="G403" s="53">
        <f t="shared" si="61"/>
        <v>1</v>
      </c>
      <c r="H403" s="962"/>
      <c r="I403" s="53">
        <f t="shared" si="62"/>
        <v>1</v>
      </c>
      <c r="J403" s="962"/>
      <c r="K403" s="53">
        <f t="shared" si="63"/>
        <v>1</v>
      </c>
      <c r="L403" s="962"/>
      <c r="M403" s="53">
        <f t="shared" si="64"/>
        <v>1</v>
      </c>
      <c r="N403" s="962"/>
      <c r="O403" s="53">
        <f t="shared" si="65"/>
        <v>1</v>
      </c>
      <c r="P403" s="962"/>
      <c r="Q403" s="53">
        <f t="shared" si="66"/>
        <v>1</v>
      </c>
      <c r="R403" s="489">
        <f t="shared" si="67"/>
        <v>0</v>
      </c>
      <c r="S403" s="798">
        <f t="shared" si="68"/>
        <v>0</v>
      </c>
    </row>
    <row r="404" spans="1:19">
      <c r="A404" s="964"/>
      <c r="B404" s="137"/>
      <c r="C404" s="53">
        <f t="shared" si="59"/>
        <v>1</v>
      </c>
      <c r="D404" s="962"/>
      <c r="E404" s="53">
        <f t="shared" si="60"/>
        <v>1</v>
      </c>
      <c r="F404" s="962"/>
      <c r="G404" s="53">
        <f t="shared" si="61"/>
        <v>1</v>
      </c>
      <c r="H404" s="962"/>
      <c r="I404" s="53">
        <f t="shared" si="62"/>
        <v>1</v>
      </c>
      <c r="J404" s="962"/>
      <c r="K404" s="53">
        <f t="shared" si="63"/>
        <v>1</v>
      </c>
      <c r="L404" s="962"/>
      <c r="M404" s="53">
        <f t="shared" si="64"/>
        <v>1</v>
      </c>
      <c r="N404" s="962"/>
      <c r="O404" s="53">
        <f t="shared" si="65"/>
        <v>1</v>
      </c>
      <c r="P404" s="962"/>
      <c r="Q404" s="53">
        <f t="shared" si="66"/>
        <v>1</v>
      </c>
      <c r="R404" s="489">
        <f t="shared" si="67"/>
        <v>0</v>
      </c>
      <c r="S404" s="798">
        <f t="shared" si="68"/>
        <v>0</v>
      </c>
    </row>
    <row r="405" spans="1:19">
      <c r="A405" s="964"/>
      <c r="B405" s="137"/>
      <c r="C405" s="53">
        <f t="shared" si="59"/>
        <v>1</v>
      </c>
      <c r="D405" s="962"/>
      <c r="E405" s="53">
        <f t="shared" si="60"/>
        <v>1</v>
      </c>
      <c r="F405" s="962"/>
      <c r="G405" s="53">
        <f t="shared" si="61"/>
        <v>1</v>
      </c>
      <c r="H405" s="962"/>
      <c r="I405" s="53">
        <f t="shared" si="62"/>
        <v>1</v>
      </c>
      <c r="J405" s="962"/>
      <c r="K405" s="53">
        <f t="shared" si="63"/>
        <v>1</v>
      </c>
      <c r="L405" s="962"/>
      <c r="M405" s="53">
        <f t="shared" si="64"/>
        <v>1</v>
      </c>
      <c r="N405" s="962"/>
      <c r="O405" s="53">
        <f t="shared" si="65"/>
        <v>1</v>
      </c>
      <c r="P405" s="962"/>
      <c r="Q405" s="53">
        <f t="shared" si="66"/>
        <v>1</v>
      </c>
      <c r="R405" s="489">
        <f t="shared" si="67"/>
        <v>0</v>
      </c>
      <c r="S405" s="798">
        <f t="shared" si="68"/>
        <v>0</v>
      </c>
    </row>
    <row r="406" spans="1:19">
      <c r="A406" s="964"/>
      <c r="B406" s="137"/>
      <c r="C406" s="53">
        <f t="shared" si="59"/>
        <v>1</v>
      </c>
      <c r="D406" s="962"/>
      <c r="E406" s="53">
        <f t="shared" si="60"/>
        <v>1</v>
      </c>
      <c r="F406" s="962"/>
      <c r="G406" s="53">
        <f t="shared" si="61"/>
        <v>1</v>
      </c>
      <c r="H406" s="962"/>
      <c r="I406" s="53">
        <f t="shared" si="62"/>
        <v>1</v>
      </c>
      <c r="J406" s="962"/>
      <c r="K406" s="53">
        <f t="shared" si="63"/>
        <v>1</v>
      </c>
      <c r="L406" s="962"/>
      <c r="M406" s="53">
        <f t="shared" si="64"/>
        <v>1</v>
      </c>
      <c r="N406" s="962"/>
      <c r="O406" s="53">
        <f t="shared" si="65"/>
        <v>1</v>
      </c>
      <c r="P406" s="962"/>
      <c r="Q406" s="53">
        <f t="shared" si="66"/>
        <v>1</v>
      </c>
      <c r="R406" s="489">
        <f t="shared" si="67"/>
        <v>0</v>
      </c>
      <c r="S406" s="798">
        <f t="shared" si="68"/>
        <v>0</v>
      </c>
    </row>
    <row r="407" spans="1:19">
      <c r="A407" s="964"/>
      <c r="B407" s="137"/>
      <c r="C407" s="53">
        <f t="shared" si="59"/>
        <v>1</v>
      </c>
      <c r="D407" s="962"/>
      <c r="E407" s="53">
        <f t="shared" si="60"/>
        <v>1</v>
      </c>
      <c r="F407" s="962"/>
      <c r="G407" s="53">
        <f t="shared" si="61"/>
        <v>1</v>
      </c>
      <c r="H407" s="962"/>
      <c r="I407" s="53">
        <f t="shared" si="62"/>
        <v>1</v>
      </c>
      <c r="J407" s="962"/>
      <c r="K407" s="53">
        <f t="shared" si="63"/>
        <v>1</v>
      </c>
      <c r="L407" s="962"/>
      <c r="M407" s="53">
        <f t="shared" si="64"/>
        <v>1</v>
      </c>
      <c r="N407" s="962"/>
      <c r="O407" s="53">
        <f t="shared" si="65"/>
        <v>1</v>
      </c>
      <c r="P407" s="962"/>
      <c r="Q407" s="53">
        <f t="shared" si="66"/>
        <v>1</v>
      </c>
      <c r="R407" s="489">
        <f t="shared" si="67"/>
        <v>0</v>
      </c>
      <c r="S407" s="798">
        <f t="shared" si="68"/>
        <v>0</v>
      </c>
    </row>
    <row r="408" spans="1:19">
      <c r="A408" s="964"/>
      <c r="B408" s="137"/>
      <c r="C408" s="53">
        <f t="shared" si="59"/>
        <v>1</v>
      </c>
      <c r="D408" s="962"/>
      <c r="E408" s="53">
        <f t="shared" si="60"/>
        <v>1</v>
      </c>
      <c r="F408" s="962"/>
      <c r="G408" s="53">
        <f t="shared" si="61"/>
        <v>1</v>
      </c>
      <c r="H408" s="962"/>
      <c r="I408" s="53">
        <f t="shared" si="62"/>
        <v>1</v>
      </c>
      <c r="J408" s="962"/>
      <c r="K408" s="53">
        <f t="shared" si="63"/>
        <v>1</v>
      </c>
      <c r="L408" s="962"/>
      <c r="M408" s="53">
        <f t="shared" si="64"/>
        <v>1</v>
      </c>
      <c r="N408" s="962"/>
      <c r="O408" s="53">
        <f t="shared" si="65"/>
        <v>1</v>
      </c>
      <c r="P408" s="962"/>
      <c r="Q408" s="53">
        <f t="shared" si="66"/>
        <v>1</v>
      </c>
      <c r="R408" s="489">
        <f t="shared" si="67"/>
        <v>0</v>
      </c>
      <c r="S408" s="798">
        <f t="shared" si="68"/>
        <v>0</v>
      </c>
    </row>
    <row r="409" spans="1:19">
      <c r="A409" s="964"/>
      <c r="B409" s="137"/>
      <c r="C409" s="53">
        <f t="shared" si="59"/>
        <v>1</v>
      </c>
      <c r="D409" s="962"/>
      <c r="E409" s="53">
        <f t="shared" si="60"/>
        <v>1</v>
      </c>
      <c r="F409" s="962"/>
      <c r="G409" s="53">
        <f t="shared" si="61"/>
        <v>1</v>
      </c>
      <c r="H409" s="962"/>
      <c r="I409" s="53">
        <f t="shared" si="62"/>
        <v>1</v>
      </c>
      <c r="J409" s="962"/>
      <c r="K409" s="53">
        <f t="shared" si="63"/>
        <v>1</v>
      </c>
      <c r="L409" s="962"/>
      <c r="M409" s="53">
        <f t="shared" si="64"/>
        <v>1</v>
      </c>
      <c r="N409" s="962"/>
      <c r="O409" s="53">
        <f t="shared" si="65"/>
        <v>1</v>
      </c>
      <c r="P409" s="962"/>
      <c r="Q409" s="53">
        <f t="shared" si="66"/>
        <v>1</v>
      </c>
      <c r="R409" s="489">
        <f t="shared" si="67"/>
        <v>0</v>
      </c>
      <c r="S409" s="798">
        <f t="shared" si="68"/>
        <v>0</v>
      </c>
    </row>
    <row r="410" spans="1:19">
      <c r="A410" s="964"/>
      <c r="B410" s="137"/>
      <c r="C410" s="53">
        <f t="shared" ref="C410:C473" si="69">IF(B410="",1,(LOOKUP(B410,$3:$3,$4:$4)-LOOKUP($B$24,$3:$3,$4:$4)+100)/100)</f>
        <v>1</v>
      </c>
      <c r="D410" s="962"/>
      <c r="E410" s="53">
        <f t="shared" ref="E410:E473" si="70">(SUMIF($5:$5,D410,$6:$6)-SUMIF($5:$5,$D$24,$6:$6)+100)/100</f>
        <v>1</v>
      </c>
      <c r="F410" s="962"/>
      <c r="G410" s="53">
        <f t="shared" ref="G410:G473" si="71">(SUMIF($7:$7,F410,$8:$8)-SUMIF($7:$7,$F$24,$8:$8)+100)/100</f>
        <v>1</v>
      </c>
      <c r="H410" s="962"/>
      <c r="I410" s="53">
        <f t="shared" ref="I410:I473" si="72">(SUMIF($9:$9,H410,$10:$10)-SUMIF($9:$9,$H$24,$10:$10)+100)/100</f>
        <v>1</v>
      </c>
      <c r="J410" s="962"/>
      <c r="K410" s="53">
        <f t="shared" ref="K410:K473" si="73">(SUMIF($11:$11,J410,$12:$12)-SUMIF($11:$11,$J$24,$12:$12)+100)/100</f>
        <v>1</v>
      </c>
      <c r="L410" s="962"/>
      <c r="M410" s="53">
        <f t="shared" ref="M410:M473" si="74">(SUMIF($13:$13,L410,$14:$14)-SUMIF($13:$13,$L$24,$14:$14)+100)/100</f>
        <v>1</v>
      </c>
      <c r="N410" s="962"/>
      <c r="O410" s="53">
        <f t="shared" ref="O410:O473" si="75">(SUMIF($15:$15,N410,$16:$16)-SUMIF($15:$15,$N$24,$16:$16)+100)/100</f>
        <v>1</v>
      </c>
      <c r="P410" s="962"/>
      <c r="Q410" s="53">
        <f t="shared" ref="Q410:Q473" si="76">(SUMIF($17:$17,P410,$18:$18)-SUMIF($17:$17,$P$24,$18:$18)+100)/100</f>
        <v>1</v>
      </c>
      <c r="R410" s="489">
        <f t="shared" ref="R410:R473" si="77">IF(B410="",0,ROUND($R$24*C410*E410*G410*I410*K410*M410*O410*Q410,0))</f>
        <v>0</v>
      </c>
      <c r="S410" s="798">
        <f t="shared" si="68"/>
        <v>0</v>
      </c>
    </row>
    <row r="411" spans="1:19">
      <c r="A411" s="964"/>
      <c r="B411" s="137"/>
      <c r="C411" s="53">
        <f t="shared" si="69"/>
        <v>1</v>
      </c>
      <c r="D411" s="962"/>
      <c r="E411" s="53">
        <f t="shared" si="70"/>
        <v>1</v>
      </c>
      <c r="F411" s="962"/>
      <c r="G411" s="53">
        <f t="shared" si="71"/>
        <v>1</v>
      </c>
      <c r="H411" s="962"/>
      <c r="I411" s="53">
        <f t="shared" si="72"/>
        <v>1</v>
      </c>
      <c r="J411" s="962"/>
      <c r="K411" s="53">
        <f t="shared" si="73"/>
        <v>1</v>
      </c>
      <c r="L411" s="962"/>
      <c r="M411" s="53">
        <f t="shared" si="74"/>
        <v>1</v>
      </c>
      <c r="N411" s="962"/>
      <c r="O411" s="53">
        <f t="shared" si="75"/>
        <v>1</v>
      </c>
      <c r="P411" s="962"/>
      <c r="Q411" s="53">
        <f t="shared" si="76"/>
        <v>1</v>
      </c>
      <c r="R411" s="489">
        <f t="shared" si="77"/>
        <v>0</v>
      </c>
      <c r="S411" s="798">
        <f t="shared" si="68"/>
        <v>0</v>
      </c>
    </row>
    <row r="412" spans="1:19">
      <c r="A412" s="964"/>
      <c r="B412" s="137"/>
      <c r="C412" s="53">
        <f t="shared" si="69"/>
        <v>1</v>
      </c>
      <c r="D412" s="962"/>
      <c r="E412" s="53">
        <f t="shared" si="70"/>
        <v>1</v>
      </c>
      <c r="F412" s="962"/>
      <c r="G412" s="53">
        <f t="shared" si="71"/>
        <v>1</v>
      </c>
      <c r="H412" s="962"/>
      <c r="I412" s="53">
        <f t="shared" si="72"/>
        <v>1</v>
      </c>
      <c r="J412" s="962"/>
      <c r="K412" s="53">
        <f t="shared" si="73"/>
        <v>1</v>
      </c>
      <c r="L412" s="962"/>
      <c r="M412" s="53">
        <f t="shared" si="74"/>
        <v>1</v>
      </c>
      <c r="N412" s="962"/>
      <c r="O412" s="53">
        <f t="shared" si="75"/>
        <v>1</v>
      </c>
      <c r="P412" s="962"/>
      <c r="Q412" s="53">
        <f t="shared" si="76"/>
        <v>1</v>
      </c>
      <c r="R412" s="489">
        <f t="shared" si="77"/>
        <v>0</v>
      </c>
      <c r="S412" s="798">
        <f t="shared" si="68"/>
        <v>0</v>
      </c>
    </row>
    <row r="413" spans="1:19">
      <c r="A413" s="964"/>
      <c r="B413" s="137"/>
      <c r="C413" s="53">
        <f t="shared" si="69"/>
        <v>1</v>
      </c>
      <c r="D413" s="962"/>
      <c r="E413" s="53">
        <f t="shared" si="70"/>
        <v>1</v>
      </c>
      <c r="F413" s="962"/>
      <c r="G413" s="53">
        <f t="shared" si="71"/>
        <v>1</v>
      </c>
      <c r="H413" s="962"/>
      <c r="I413" s="53">
        <f t="shared" si="72"/>
        <v>1</v>
      </c>
      <c r="J413" s="962"/>
      <c r="K413" s="53">
        <f t="shared" si="73"/>
        <v>1</v>
      </c>
      <c r="L413" s="962"/>
      <c r="M413" s="53">
        <f t="shared" si="74"/>
        <v>1</v>
      </c>
      <c r="N413" s="962"/>
      <c r="O413" s="53">
        <f t="shared" si="75"/>
        <v>1</v>
      </c>
      <c r="P413" s="962"/>
      <c r="Q413" s="53">
        <f t="shared" si="76"/>
        <v>1</v>
      </c>
      <c r="R413" s="489">
        <f t="shared" si="77"/>
        <v>0</v>
      </c>
      <c r="S413" s="798">
        <f t="shared" si="68"/>
        <v>0</v>
      </c>
    </row>
    <row r="414" spans="1:19">
      <c r="A414" s="964"/>
      <c r="B414" s="137"/>
      <c r="C414" s="53">
        <f t="shared" si="69"/>
        <v>1</v>
      </c>
      <c r="D414" s="962"/>
      <c r="E414" s="53">
        <f t="shared" si="70"/>
        <v>1</v>
      </c>
      <c r="F414" s="962"/>
      <c r="G414" s="53">
        <f t="shared" si="71"/>
        <v>1</v>
      </c>
      <c r="H414" s="962"/>
      <c r="I414" s="53">
        <f t="shared" si="72"/>
        <v>1</v>
      </c>
      <c r="J414" s="962"/>
      <c r="K414" s="53">
        <f t="shared" si="73"/>
        <v>1</v>
      </c>
      <c r="L414" s="962"/>
      <c r="M414" s="53">
        <f t="shared" si="74"/>
        <v>1</v>
      </c>
      <c r="N414" s="962"/>
      <c r="O414" s="53">
        <f t="shared" si="75"/>
        <v>1</v>
      </c>
      <c r="P414" s="962"/>
      <c r="Q414" s="53">
        <f t="shared" si="76"/>
        <v>1</v>
      </c>
      <c r="R414" s="489">
        <f t="shared" si="77"/>
        <v>0</v>
      </c>
      <c r="S414" s="798">
        <f t="shared" si="68"/>
        <v>0</v>
      </c>
    </row>
    <row r="415" spans="1:19">
      <c r="A415" s="964"/>
      <c r="B415" s="137"/>
      <c r="C415" s="53">
        <f t="shared" si="69"/>
        <v>1</v>
      </c>
      <c r="D415" s="962"/>
      <c r="E415" s="53">
        <f t="shared" si="70"/>
        <v>1</v>
      </c>
      <c r="F415" s="962"/>
      <c r="G415" s="53">
        <f t="shared" si="71"/>
        <v>1</v>
      </c>
      <c r="H415" s="962"/>
      <c r="I415" s="53">
        <f t="shared" si="72"/>
        <v>1</v>
      </c>
      <c r="J415" s="962"/>
      <c r="K415" s="53">
        <f t="shared" si="73"/>
        <v>1</v>
      </c>
      <c r="L415" s="962"/>
      <c r="M415" s="53">
        <f t="shared" si="74"/>
        <v>1</v>
      </c>
      <c r="N415" s="962"/>
      <c r="O415" s="53">
        <f t="shared" si="75"/>
        <v>1</v>
      </c>
      <c r="P415" s="962"/>
      <c r="Q415" s="53">
        <f t="shared" si="76"/>
        <v>1</v>
      </c>
      <c r="R415" s="489">
        <f t="shared" si="77"/>
        <v>0</v>
      </c>
      <c r="S415" s="798">
        <f t="shared" si="68"/>
        <v>0</v>
      </c>
    </row>
    <row r="416" spans="1:19">
      <c r="A416" s="964"/>
      <c r="B416" s="137"/>
      <c r="C416" s="53">
        <f t="shared" si="69"/>
        <v>1</v>
      </c>
      <c r="D416" s="962"/>
      <c r="E416" s="53">
        <f t="shared" si="70"/>
        <v>1</v>
      </c>
      <c r="F416" s="962"/>
      <c r="G416" s="53">
        <f t="shared" si="71"/>
        <v>1</v>
      </c>
      <c r="H416" s="962"/>
      <c r="I416" s="53">
        <f t="shared" si="72"/>
        <v>1</v>
      </c>
      <c r="J416" s="962"/>
      <c r="K416" s="53">
        <f t="shared" si="73"/>
        <v>1</v>
      </c>
      <c r="L416" s="962"/>
      <c r="M416" s="53">
        <f t="shared" si="74"/>
        <v>1</v>
      </c>
      <c r="N416" s="962"/>
      <c r="O416" s="53">
        <f t="shared" si="75"/>
        <v>1</v>
      </c>
      <c r="P416" s="962"/>
      <c r="Q416" s="53">
        <f t="shared" si="76"/>
        <v>1</v>
      </c>
      <c r="R416" s="489">
        <f t="shared" si="77"/>
        <v>0</v>
      </c>
      <c r="S416" s="798">
        <f t="shared" si="68"/>
        <v>0</v>
      </c>
    </row>
    <row r="417" spans="1:19">
      <c r="A417" s="964"/>
      <c r="B417" s="137"/>
      <c r="C417" s="53">
        <f t="shared" si="69"/>
        <v>1</v>
      </c>
      <c r="D417" s="962"/>
      <c r="E417" s="53">
        <f t="shared" si="70"/>
        <v>1</v>
      </c>
      <c r="F417" s="962"/>
      <c r="G417" s="53">
        <f t="shared" si="71"/>
        <v>1</v>
      </c>
      <c r="H417" s="962"/>
      <c r="I417" s="53">
        <f t="shared" si="72"/>
        <v>1</v>
      </c>
      <c r="J417" s="962"/>
      <c r="K417" s="53">
        <f t="shared" si="73"/>
        <v>1</v>
      </c>
      <c r="L417" s="962"/>
      <c r="M417" s="53">
        <f t="shared" si="74"/>
        <v>1</v>
      </c>
      <c r="N417" s="962"/>
      <c r="O417" s="53">
        <f t="shared" si="75"/>
        <v>1</v>
      </c>
      <c r="P417" s="962"/>
      <c r="Q417" s="53">
        <f t="shared" si="76"/>
        <v>1</v>
      </c>
      <c r="R417" s="489">
        <f t="shared" si="77"/>
        <v>0</v>
      </c>
      <c r="S417" s="798">
        <f t="shared" si="68"/>
        <v>0</v>
      </c>
    </row>
    <row r="418" spans="1:19">
      <c r="A418" s="964"/>
      <c r="B418" s="137"/>
      <c r="C418" s="53">
        <f t="shared" si="69"/>
        <v>1</v>
      </c>
      <c r="D418" s="962"/>
      <c r="E418" s="53">
        <f t="shared" si="70"/>
        <v>1</v>
      </c>
      <c r="F418" s="962"/>
      <c r="G418" s="53">
        <f t="shared" si="71"/>
        <v>1</v>
      </c>
      <c r="H418" s="962"/>
      <c r="I418" s="53">
        <f t="shared" si="72"/>
        <v>1</v>
      </c>
      <c r="J418" s="962"/>
      <c r="K418" s="53">
        <f t="shared" si="73"/>
        <v>1</v>
      </c>
      <c r="L418" s="962"/>
      <c r="M418" s="53">
        <f t="shared" si="74"/>
        <v>1</v>
      </c>
      <c r="N418" s="962"/>
      <c r="O418" s="53">
        <f t="shared" si="75"/>
        <v>1</v>
      </c>
      <c r="P418" s="962"/>
      <c r="Q418" s="53">
        <f t="shared" si="76"/>
        <v>1</v>
      </c>
      <c r="R418" s="489">
        <f t="shared" si="77"/>
        <v>0</v>
      </c>
      <c r="S418" s="798">
        <f t="shared" si="68"/>
        <v>0</v>
      </c>
    </row>
    <row r="419" spans="1:19">
      <c r="A419" s="964"/>
      <c r="B419" s="137"/>
      <c r="C419" s="53">
        <f t="shared" si="69"/>
        <v>1</v>
      </c>
      <c r="D419" s="962"/>
      <c r="E419" s="53">
        <f t="shared" si="70"/>
        <v>1</v>
      </c>
      <c r="F419" s="962"/>
      <c r="G419" s="53">
        <f t="shared" si="71"/>
        <v>1</v>
      </c>
      <c r="H419" s="962"/>
      <c r="I419" s="53">
        <f t="shared" si="72"/>
        <v>1</v>
      </c>
      <c r="J419" s="962"/>
      <c r="K419" s="53">
        <f t="shared" si="73"/>
        <v>1</v>
      </c>
      <c r="L419" s="962"/>
      <c r="M419" s="53">
        <f t="shared" si="74"/>
        <v>1</v>
      </c>
      <c r="N419" s="962"/>
      <c r="O419" s="53">
        <f t="shared" si="75"/>
        <v>1</v>
      </c>
      <c r="P419" s="962"/>
      <c r="Q419" s="53">
        <f t="shared" si="76"/>
        <v>1</v>
      </c>
      <c r="R419" s="489">
        <f t="shared" si="77"/>
        <v>0</v>
      </c>
      <c r="S419" s="798">
        <f t="shared" si="68"/>
        <v>0</v>
      </c>
    </row>
    <row r="420" spans="1:19">
      <c r="A420" s="964"/>
      <c r="B420" s="137"/>
      <c r="C420" s="53">
        <f t="shared" si="69"/>
        <v>1</v>
      </c>
      <c r="D420" s="962"/>
      <c r="E420" s="53">
        <f t="shared" si="70"/>
        <v>1</v>
      </c>
      <c r="F420" s="962"/>
      <c r="G420" s="53">
        <f t="shared" si="71"/>
        <v>1</v>
      </c>
      <c r="H420" s="962"/>
      <c r="I420" s="53">
        <f t="shared" si="72"/>
        <v>1</v>
      </c>
      <c r="J420" s="962"/>
      <c r="K420" s="53">
        <f t="shared" si="73"/>
        <v>1</v>
      </c>
      <c r="L420" s="962"/>
      <c r="M420" s="53">
        <f t="shared" si="74"/>
        <v>1</v>
      </c>
      <c r="N420" s="962"/>
      <c r="O420" s="53">
        <f t="shared" si="75"/>
        <v>1</v>
      </c>
      <c r="P420" s="962"/>
      <c r="Q420" s="53">
        <f t="shared" si="76"/>
        <v>1</v>
      </c>
      <c r="R420" s="489">
        <f t="shared" si="77"/>
        <v>0</v>
      </c>
      <c r="S420" s="798">
        <f t="shared" si="68"/>
        <v>0</v>
      </c>
    </row>
    <row r="421" spans="1:19">
      <c r="A421" s="964"/>
      <c r="B421" s="137"/>
      <c r="C421" s="53">
        <f t="shared" si="69"/>
        <v>1</v>
      </c>
      <c r="D421" s="962"/>
      <c r="E421" s="53">
        <f t="shared" si="70"/>
        <v>1</v>
      </c>
      <c r="F421" s="962"/>
      <c r="G421" s="53">
        <f t="shared" si="71"/>
        <v>1</v>
      </c>
      <c r="H421" s="962"/>
      <c r="I421" s="53">
        <f t="shared" si="72"/>
        <v>1</v>
      </c>
      <c r="J421" s="962"/>
      <c r="K421" s="53">
        <f t="shared" si="73"/>
        <v>1</v>
      </c>
      <c r="L421" s="962"/>
      <c r="M421" s="53">
        <f t="shared" si="74"/>
        <v>1</v>
      </c>
      <c r="N421" s="962"/>
      <c r="O421" s="53">
        <f t="shared" si="75"/>
        <v>1</v>
      </c>
      <c r="P421" s="962"/>
      <c r="Q421" s="53">
        <f t="shared" si="76"/>
        <v>1</v>
      </c>
      <c r="R421" s="489">
        <f t="shared" si="77"/>
        <v>0</v>
      </c>
      <c r="S421" s="798">
        <f t="shared" si="68"/>
        <v>0</v>
      </c>
    </row>
    <row r="422" spans="1:19">
      <c r="A422" s="964"/>
      <c r="B422" s="137"/>
      <c r="C422" s="53">
        <f t="shared" si="69"/>
        <v>1</v>
      </c>
      <c r="D422" s="962"/>
      <c r="E422" s="53">
        <f t="shared" si="70"/>
        <v>1</v>
      </c>
      <c r="F422" s="962"/>
      <c r="G422" s="53">
        <f t="shared" si="71"/>
        <v>1</v>
      </c>
      <c r="H422" s="962"/>
      <c r="I422" s="53">
        <f t="shared" si="72"/>
        <v>1</v>
      </c>
      <c r="J422" s="962"/>
      <c r="K422" s="53">
        <f t="shared" si="73"/>
        <v>1</v>
      </c>
      <c r="L422" s="962"/>
      <c r="M422" s="53">
        <f t="shared" si="74"/>
        <v>1</v>
      </c>
      <c r="N422" s="962"/>
      <c r="O422" s="53">
        <f t="shared" si="75"/>
        <v>1</v>
      </c>
      <c r="P422" s="962"/>
      <c r="Q422" s="53">
        <f t="shared" si="76"/>
        <v>1</v>
      </c>
      <c r="R422" s="489">
        <f t="shared" si="77"/>
        <v>0</v>
      </c>
      <c r="S422" s="798">
        <f t="shared" si="68"/>
        <v>0</v>
      </c>
    </row>
    <row r="423" spans="1:19">
      <c r="A423" s="964"/>
      <c r="B423" s="137"/>
      <c r="C423" s="53">
        <f t="shared" si="69"/>
        <v>1</v>
      </c>
      <c r="D423" s="962"/>
      <c r="E423" s="53">
        <f t="shared" si="70"/>
        <v>1</v>
      </c>
      <c r="F423" s="962"/>
      <c r="G423" s="53">
        <f t="shared" si="71"/>
        <v>1</v>
      </c>
      <c r="H423" s="962"/>
      <c r="I423" s="53">
        <f t="shared" si="72"/>
        <v>1</v>
      </c>
      <c r="J423" s="962"/>
      <c r="K423" s="53">
        <f t="shared" si="73"/>
        <v>1</v>
      </c>
      <c r="L423" s="962"/>
      <c r="M423" s="53">
        <f t="shared" si="74"/>
        <v>1</v>
      </c>
      <c r="N423" s="962"/>
      <c r="O423" s="53">
        <f t="shared" si="75"/>
        <v>1</v>
      </c>
      <c r="P423" s="962"/>
      <c r="Q423" s="53">
        <f t="shared" si="76"/>
        <v>1</v>
      </c>
      <c r="R423" s="489">
        <f t="shared" si="77"/>
        <v>0</v>
      </c>
      <c r="S423" s="798">
        <f t="shared" ref="S423:S467" si="78">ROUND(R423*B423/10000,0)</f>
        <v>0</v>
      </c>
    </row>
    <row r="424" spans="1:19">
      <c r="A424" s="964"/>
      <c r="B424" s="137"/>
      <c r="C424" s="53">
        <f t="shared" si="69"/>
        <v>1</v>
      </c>
      <c r="D424" s="962"/>
      <c r="E424" s="53">
        <f t="shared" si="70"/>
        <v>1</v>
      </c>
      <c r="F424" s="962"/>
      <c r="G424" s="53">
        <f t="shared" si="71"/>
        <v>1</v>
      </c>
      <c r="H424" s="962"/>
      <c r="I424" s="53">
        <f t="shared" si="72"/>
        <v>1</v>
      </c>
      <c r="J424" s="962"/>
      <c r="K424" s="53">
        <f t="shared" si="73"/>
        <v>1</v>
      </c>
      <c r="L424" s="962"/>
      <c r="M424" s="53">
        <f t="shared" si="74"/>
        <v>1</v>
      </c>
      <c r="N424" s="962"/>
      <c r="O424" s="53">
        <f t="shared" si="75"/>
        <v>1</v>
      </c>
      <c r="P424" s="962"/>
      <c r="Q424" s="53">
        <f t="shared" si="76"/>
        <v>1</v>
      </c>
      <c r="R424" s="489">
        <f t="shared" si="77"/>
        <v>0</v>
      </c>
      <c r="S424" s="798">
        <f t="shared" si="78"/>
        <v>0</v>
      </c>
    </row>
    <row r="425" spans="1:19">
      <c r="A425" s="964"/>
      <c r="B425" s="137"/>
      <c r="C425" s="53">
        <f t="shared" si="69"/>
        <v>1</v>
      </c>
      <c r="D425" s="962"/>
      <c r="E425" s="53">
        <f t="shared" si="70"/>
        <v>1</v>
      </c>
      <c r="F425" s="962"/>
      <c r="G425" s="53">
        <f t="shared" si="71"/>
        <v>1</v>
      </c>
      <c r="H425" s="962"/>
      <c r="I425" s="53">
        <f t="shared" si="72"/>
        <v>1</v>
      </c>
      <c r="J425" s="962"/>
      <c r="K425" s="53">
        <f t="shared" si="73"/>
        <v>1</v>
      </c>
      <c r="L425" s="962"/>
      <c r="M425" s="53">
        <f t="shared" si="74"/>
        <v>1</v>
      </c>
      <c r="N425" s="962"/>
      <c r="O425" s="53">
        <f t="shared" si="75"/>
        <v>1</v>
      </c>
      <c r="P425" s="962"/>
      <c r="Q425" s="53">
        <f t="shared" si="76"/>
        <v>1</v>
      </c>
      <c r="R425" s="489">
        <f t="shared" si="77"/>
        <v>0</v>
      </c>
      <c r="S425" s="798">
        <f t="shared" si="78"/>
        <v>0</v>
      </c>
    </row>
    <row r="426" spans="1:19">
      <c r="A426" s="964"/>
      <c r="B426" s="137"/>
      <c r="C426" s="53">
        <f t="shared" si="69"/>
        <v>1</v>
      </c>
      <c r="D426" s="962"/>
      <c r="E426" s="53">
        <f t="shared" si="70"/>
        <v>1</v>
      </c>
      <c r="F426" s="962"/>
      <c r="G426" s="53">
        <f t="shared" si="71"/>
        <v>1</v>
      </c>
      <c r="H426" s="962"/>
      <c r="I426" s="53">
        <f t="shared" si="72"/>
        <v>1</v>
      </c>
      <c r="J426" s="962"/>
      <c r="K426" s="53">
        <f t="shared" si="73"/>
        <v>1</v>
      </c>
      <c r="L426" s="962"/>
      <c r="M426" s="53">
        <f t="shared" si="74"/>
        <v>1</v>
      </c>
      <c r="N426" s="962"/>
      <c r="O426" s="53">
        <f t="shared" si="75"/>
        <v>1</v>
      </c>
      <c r="P426" s="962"/>
      <c r="Q426" s="53">
        <f t="shared" si="76"/>
        <v>1</v>
      </c>
      <c r="R426" s="489">
        <f t="shared" si="77"/>
        <v>0</v>
      </c>
      <c r="S426" s="798">
        <f t="shared" si="78"/>
        <v>0</v>
      </c>
    </row>
    <row r="427" spans="1:19">
      <c r="A427" s="964"/>
      <c r="B427" s="137"/>
      <c r="C427" s="53">
        <f t="shared" si="69"/>
        <v>1</v>
      </c>
      <c r="D427" s="962"/>
      <c r="E427" s="53">
        <f t="shared" si="70"/>
        <v>1</v>
      </c>
      <c r="F427" s="962"/>
      <c r="G427" s="53">
        <f t="shared" si="71"/>
        <v>1</v>
      </c>
      <c r="H427" s="962"/>
      <c r="I427" s="53">
        <f t="shared" si="72"/>
        <v>1</v>
      </c>
      <c r="J427" s="962"/>
      <c r="K427" s="53">
        <f t="shared" si="73"/>
        <v>1</v>
      </c>
      <c r="L427" s="962"/>
      <c r="M427" s="53">
        <f t="shared" si="74"/>
        <v>1</v>
      </c>
      <c r="N427" s="962"/>
      <c r="O427" s="53">
        <f t="shared" si="75"/>
        <v>1</v>
      </c>
      <c r="P427" s="962"/>
      <c r="Q427" s="53">
        <f t="shared" si="76"/>
        <v>1</v>
      </c>
      <c r="R427" s="489">
        <f t="shared" si="77"/>
        <v>0</v>
      </c>
      <c r="S427" s="798">
        <f t="shared" si="78"/>
        <v>0</v>
      </c>
    </row>
    <row r="428" spans="1:19">
      <c r="A428" s="964"/>
      <c r="B428" s="137"/>
      <c r="C428" s="53">
        <f t="shared" si="69"/>
        <v>1</v>
      </c>
      <c r="D428" s="962"/>
      <c r="E428" s="53">
        <f t="shared" si="70"/>
        <v>1</v>
      </c>
      <c r="F428" s="962"/>
      <c r="G428" s="53">
        <f t="shared" si="71"/>
        <v>1</v>
      </c>
      <c r="H428" s="962"/>
      <c r="I428" s="53">
        <f t="shared" si="72"/>
        <v>1</v>
      </c>
      <c r="J428" s="962"/>
      <c r="K428" s="53">
        <f t="shared" si="73"/>
        <v>1</v>
      </c>
      <c r="L428" s="962"/>
      <c r="M428" s="53">
        <f t="shared" si="74"/>
        <v>1</v>
      </c>
      <c r="N428" s="962"/>
      <c r="O428" s="53">
        <f t="shared" si="75"/>
        <v>1</v>
      </c>
      <c r="P428" s="962"/>
      <c r="Q428" s="53">
        <f t="shared" si="76"/>
        <v>1</v>
      </c>
      <c r="R428" s="489">
        <f t="shared" si="77"/>
        <v>0</v>
      </c>
      <c r="S428" s="798">
        <f t="shared" si="78"/>
        <v>0</v>
      </c>
    </row>
    <row r="429" spans="1:19">
      <c r="A429" s="964"/>
      <c r="B429" s="137"/>
      <c r="C429" s="53">
        <f t="shared" si="69"/>
        <v>1</v>
      </c>
      <c r="D429" s="962"/>
      <c r="E429" s="53">
        <f t="shared" si="70"/>
        <v>1</v>
      </c>
      <c r="F429" s="962"/>
      <c r="G429" s="53">
        <f t="shared" si="71"/>
        <v>1</v>
      </c>
      <c r="H429" s="962"/>
      <c r="I429" s="53">
        <f t="shared" si="72"/>
        <v>1</v>
      </c>
      <c r="J429" s="962"/>
      <c r="K429" s="53">
        <f t="shared" si="73"/>
        <v>1</v>
      </c>
      <c r="L429" s="962"/>
      <c r="M429" s="53">
        <f t="shared" si="74"/>
        <v>1</v>
      </c>
      <c r="N429" s="962"/>
      <c r="O429" s="53">
        <f t="shared" si="75"/>
        <v>1</v>
      </c>
      <c r="P429" s="962"/>
      <c r="Q429" s="53">
        <f t="shared" si="76"/>
        <v>1</v>
      </c>
      <c r="R429" s="489">
        <f t="shared" si="77"/>
        <v>0</v>
      </c>
      <c r="S429" s="798">
        <f t="shared" si="78"/>
        <v>0</v>
      </c>
    </row>
    <row r="430" spans="1:19">
      <c r="A430" s="964"/>
      <c r="B430" s="137"/>
      <c r="C430" s="53">
        <f t="shared" si="69"/>
        <v>1</v>
      </c>
      <c r="D430" s="962"/>
      <c r="E430" s="53">
        <f t="shared" si="70"/>
        <v>1</v>
      </c>
      <c r="F430" s="962"/>
      <c r="G430" s="53">
        <f t="shared" si="71"/>
        <v>1</v>
      </c>
      <c r="H430" s="962"/>
      <c r="I430" s="53">
        <f t="shared" si="72"/>
        <v>1</v>
      </c>
      <c r="J430" s="962"/>
      <c r="K430" s="53">
        <f t="shared" si="73"/>
        <v>1</v>
      </c>
      <c r="L430" s="962"/>
      <c r="M430" s="53">
        <f t="shared" si="74"/>
        <v>1</v>
      </c>
      <c r="N430" s="962"/>
      <c r="O430" s="53">
        <f t="shared" si="75"/>
        <v>1</v>
      </c>
      <c r="P430" s="962"/>
      <c r="Q430" s="53">
        <f t="shared" si="76"/>
        <v>1</v>
      </c>
      <c r="R430" s="489">
        <f t="shared" si="77"/>
        <v>0</v>
      </c>
      <c r="S430" s="798">
        <f t="shared" si="78"/>
        <v>0</v>
      </c>
    </row>
    <row r="431" spans="1:19">
      <c r="A431" s="964"/>
      <c r="B431" s="137"/>
      <c r="C431" s="53">
        <f t="shared" si="69"/>
        <v>1</v>
      </c>
      <c r="D431" s="962"/>
      <c r="E431" s="53">
        <f t="shared" si="70"/>
        <v>1</v>
      </c>
      <c r="F431" s="962"/>
      <c r="G431" s="53">
        <f t="shared" si="71"/>
        <v>1</v>
      </c>
      <c r="H431" s="962"/>
      <c r="I431" s="53">
        <f t="shared" si="72"/>
        <v>1</v>
      </c>
      <c r="J431" s="962"/>
      <c r="K431" s="53">
        <f t="shared" si="73"/>
        <v>1</v>
      </c>
      <c r="L431" s="962"/>
      <c r="M431" s="53">
        <f t="shared" si="74"/>
        <v>1</v>
      </c>
      <c r="N431" s="962"/>
      <c r="O431" s="53">
        <f t="shared" si="75"/>
        <v>1</v>
      </c>
      <c r="P431" s="962"/>
      <c r="Q431" s="53">
        <f t="shared" si="76"/>
        <v>1</v>
      </c>
      <c r="R431" s="489">
        <f t="shared" si="77"/>
        <v>0</v>
      </c>
      <c r="S431" s="798">
        <f t="shared" si="78"/>
        <v>0</v>
      </c>
    </row>
    <row r="432" spans="1:19">
      <c r="A432" s="964"/>
      <c r="B432" s="137"/>
      <c r="C432" s="53">
        <f t="shared" si="69"/>
        <v>1</v>
      </c>
      <c r="D432" s="962"/>
      <c r="E432" s="53">
        <f t="shared" si="70"/>
        <v>1</v>
      </c>
      <c r="F432" s="962"/>
      <c r="G432" s="53">
        <f t="shared" si="71"/>
        <v>1</v>
      </c>
      <c r="H432" s="962"/>
      <c r="I432" s="53">
        <f t="shared" si="72"/>
        <v>1</v>
      </c>
      <c r="J432" s="962"/>
      <c r="K432" s="53">
        <f t="shared" si="73"/>
        <v>1</v>
      </c>
      <c r="L432" s="962"/>
      <c r="M432" s="53">
        <f t="shared" si="74"/>
        <v>1</v>
      </c>
      <c r="N432" s="962"/>
      <c r="O432" s="53">
        <f t="shared" si="75"/>
        <v>1</v>
      </c>
      <c r="P432" s="962"/>
      <c r="Q432" s="53">
        <f t="shared" si="76"/>
        <v>1</v>
      </c>
      <c r="R432" s="489">
        <f t="shared" si="77"/>
        <v>0</v>
      </c>
      <c r="S432" s="798">
        <f t="shared" si="78"/>
        <v>0</v>
      </c>
    </row>
    <row r="433" spans="1:19">
      <c r="A433" s="964"/>
      <c r="B433" s="137"/>
      <c r="C433" s="53">
        <f t="shared" si="69"/>
        <v>1</v>
      </c>
      <c r="D433" s="962"/>
      <c r="E433" s="53">
        <f t="shared" si="70"/>
        <v>1</v>
      </c>
      <c r="F433" s="962"/>
      <c r="G433" s="53">
        <f t="shared" si="71"/>
        <v>1</v>
      </c>
      <c r="H433" s="962"/>
      <c r="I433" s="53">
        <f t="shared" si="72"/>
        <v>1</v>
      </c>
      <c r="J433" s="962"/>
      <c r="K433" s="53">
        <f t="shared" si="73"/>
        <v>1</v>
      </c>
      <c r="L433" s="962"/>
      <c r="M433" s="53">
        <f t="shared" si="74"/>
        <v>1</v>
      </c>
      <c r="N433" s="962"/>
      <c r="O433" s="53">
        <f t="shared" si="75"/>
        <v>1</v>
      </c>
      <c r="P433" s="962"/>
      <c r="Q433" s="53">
        <f t="shared" si="76"/>
        <v>1</v>
      </c>
      <c r="R433" s="489">
        <f t="shared" si="77"/>
        <v>0</v>
      </c>
      <c r="S433" s="798">
        <f t="shared" si="78"/>
        <v>0</v>
      </c>
    </row>
    <row r="434" spans="1:19">
      <c r="A434" s="964"/>
      <c r="B434" s="137"/>
      <c r="C434" s="53">
        <f t="shared" si="69"/>
        <v>1</v>
      </c>
      <c r="D434" s="962"/>
      <c r="E434" s="53">
        <f t="shared" si="70"/>
        <v>1</v>
      </c>
      <c r="F434" s="962"/>
      <c r="G434" s="53">
        <f t="shared" si="71"/>
        <v>1</v>
      </c>
      <c r="H434" s="962"/>
      <c r="I434" s="53">
        <f t="shared" si="72"/>
        <v>1</v>
      </c>
      <c r="J434" s="962"/>
      <c r="K434" s="53">
        <f t="shared" si="73"/>
        <v>1</v>
      </c>
      <c r="L434" s="962"/>
      <c r="M434" s="53">
        <f t="shared" si="74"/>
        <v>1</v>
      </c>
      <c r="N434" s="962"/>
      <c r="O434" s="53">
        <f t="shared" si="75"/>
        <v>1</v>
      </c>
      <c r="P434" s="962"/>
      <c r="Q434" s="53">
        <f t="shared" si="76"/>
        <v>1</v>
      </c>
      <c r="R434" s="489">
        <f t="shared" si="77"/>
        <v>0</v>
      </c>
      <c r="S434" s="798">
        <f t="shared" si="78"/>
        <v>0</v>
      </c>
    </row>
    <row r="435" spans="1:19">
      <c r="A435" s="964"/>
      <c r="B435" s="137"/>
      <c r="C435" s="53">
        <f t="shared" si="69"/>
        <v>1</v>
      </c>
      <c r="D435" s="962"/>
      <c r="E435" s="53">
        <f t="shared" si="70"/>
        <v>1</v>
      </c>
      <c r="F435" s="962"/>
      <c r="G435" s="53">
        <f t="shared" si="71"/>
        <v>1</v>
      </c>
      <c r="H435" s="962"/>
      <c r="I435" s="53">
        <f t="shared" si="72"/>
        <v>1</v>
      </c>
      <c r="J435" s="962"/>
      <c r="K435" s="53">
        <f t="shared" si="73"/>
        <v>1</v>
      </c>
      <c r="L435" s="962"/>
      <c r="M435" s="53">
        <f t="shared" si="74"/>
        <v>1</v>
      </c>
      <c r="N435" s="962"/>
      <c r="O435" s="53">
        <f t="shared" si="75"/>
        <v>1</v>
      </c>
      <c r="P435" s="962"/>
      <c r="Q435" s="53">
        <f t="shared" si="76"/>
        <v>1</v>
      </c>
      <c r="R435" s="489">
        <f t="shared" si="77"/>
        <v>0</v>
      </c>
      <c r="S435" s="798">
        <f t="shared" si="78"/>
        <v>0</v>
      </c>
    </row>
    <row r="436" spans="1:19">
      <c r="A436" s="964"/>
      <c r="B436" s="137"/>
      <c r="C436" s="53">
        <f t="shared" si="69"/>
        <v>1</v>
      </c>
      <c r="D436" s="962"/>
      <c r="E436" s="53">
        <f t="shared" si="70"/>
        <v>1</v>
      </c>
      <c r="F436" s="962"/>
      <c r="G436" s="53">
        <f t="shared" si="71"/>
        <v>1</v>
      </c>
      <c r="H436" s="962"/>
      <c r="I436" s="53">
        <f t="shared" si="72"/>
        <v>1</v>
      </c>
      <c r="J436" s="962"/>
      <c r="K436" s="53">
        <f t="shared" si="73"/>
        <v>1</v>
      </c>
      <c r="L436" s="962"/>
      <c r="M436" s="53">
        <f t="shared" si="74"/>
        <v>1</v>
      </c>
      <c r="N436" s="962"/>
      <c r="O436" s="53">
        <f t="shared" si="75"/>
        <v>1</v>
      </c>
      <c r="P436" s="962"/>
      <c r="Q436" s="53">
        <f t="shared" si="76"/>
        <v>1</v>
      </c>
      <c r="R436" s="489">
        <f t="shared" si="77"/>
        <v>0</v>
      </c>
      <c r="S436" s="798">
        <f t="shared" si="78"/>
        <v>0</v>
      </c>
    </row>
    <row r="437" spans="1:19">
      <c r="A437" s="964"/>
      <c r="B437" s="137"/>
      <c r="C437" s="53">
        <f t="shared" si="69"/>
        <v>1</v>
      </c>
      <c r="D437" s="962"/>
      <c r="E437" s="53">
        <f t="shared" si="70"/>
        <v>1</v>
      </c>
      <c r="F437" s="962"/>
      <c r="G437" s="53">
        <f t="shared" si="71"/>
        <v>1</v>
      </c>
      <c r="H437" s="962"/>
      <c r="I437" s="53">
        <f t="shared" si="72"/>
        <v>1</v>
      </c>
      <c r="J437" s="962"/>
      <c r="K437" s="53">
        <f t="shared" si="73"/>
        <v>1</v>
      </c>
      <c r="L437" s="962"/>
      <c r="M437" s="53">
        <f t="shared" si="74"/>
        <v>1</v>
      </c>
      <c r="N437" s="962"/>
      <c r="O437" s="53">
        <f t="shared" si="75"/>
        <v>1</v>
      </c>
      <c r="P437" s="962"/>
      <c r="Q437" s="53">
        <f t="shared" si="76"/>
        <v>1</v>
      </c>
      <c r="R437" s="489">
        <f t="shared" si="77"/>
        <v>0</v>
      </c>
      <c r="S437" s="798">
        <f t="shared" si="78"/>
        <v>0</v>
      </c>
    </row>
    <row r="438" spans="1:19">
      <c r="A438" s="964"/>
      <c r="B438" s="137"/>
      <c r="C438" s="53">
        <f t="shared" si="69"/>
        <v>1</v>
      </c>
      <c r="D438" s="962"/>
      <c r="E438" s="53">
        <f t="shared" si="70"/>
        <v>1</v>
      </c>
      <c r="F438" s="962"/>
      <c r="G438" s="53">
        <f t="shared" si="71"/>
        <v>1</v>
      </c>
      <c r="H438" s="962"/>
      <c r="I438" s="53">
        <f t="shared" si="72"/>
        <v>1</v>
      </c>
      <c r="J438" s="962"/>
      <c r="K438" s="53">
        <f t="shared" si="73"/>
        <v>1</v>
      </c>
      <c r="L438" s="962"/>
      <c r="M438" s="53">
        <f t="shared" si="74"/>
        <v>1</v>
      </c>
      <c r="N438" s="962"/>
      <c r="O438" s="53">
        <f t="shared" si="75"/>
        <v>1</v>
      </c>
      <c r="P438" s="962"/>
      <c r="Q438" s="53">
        <f t="shared" si="76"/>
        <v>1</v>
      </c>
      <c r="R438" s="489">
        <f t="shared" si="77"/>
        <v>0</v>
      </c>
      <c r="S438" s="798">
        <f t="shared" si="78"/>
        <v>0</v>
      </c>
    </row>
    <row r="439" spans="1:19">
      <c r="A439" s="964"/>
      <c r="B439" s="137"/>
      <c r="C439" s="53">
        <f t="shared" si="69"/>
        <v>1</v>
      </c>
      <c r="D439" s="962"/>
      <c r="E439" s="53">
        <f t="shared" si="70"/>
        <v>1</v>
      </c>
      <c r="F439" s="962"/>
      <c r="G439" s="53">
        <f t="shared" si="71"/>
        <v>1</v>
      </c>
      <c r="H439" s="962"/>
      <c r="I439" s="53">
        <f t="shared" si="72"/>
        <v>1</v>
      </c>
      <c r="J439" s="962"/>
      <c r="K439" s="53">
        <f t="shared" si="73"/>
        <v>1</v>
      </c>
      <c r="L439" s="962"/>
      <c r="M439" s="53">
        <f t="shared" si="74"/>
        <v>1</v>
      </c>
      <c r="N439" s="962"/>
      <c r="O439" s="53">
        <f t="shared" si="75"/>
        <v>1</v>
      </c>
      <c r="P439" s="962"/>
      <c r="Q439" s="53">
        <f t="shared" si="76"/>
        <v>1</v>
      </c>
      <c r="R439" s="489">
        <f t="shared" si="77"/>
        <v>0</v>
      </c>
      <c r="S439" s="798">
        <f t="shared" si="78"/>
        <v>0</v>
      </c>
    </row>
    <row r="440" spans="1:19">
      <c r="A440" s="964"/>
      <c r="B440" s="137"/>
      <c r="C440" s="53">
        <f t="shared" si="69"/>
        <v>1</v>
      </c>
      <c r="D440" s="962"/>
      <c r="E440" s="53">
        <f t="shared" si="70"/>
        <v>1</v>
      </c>
      <c r="F440" s="962"/>
      <c r="G440" s="53">
        <f t="shared" si="71"/>
        <v>1</v>
      </c>
      <c r="H440" s="962"/>
      <c r="I440" s="53">
        <f t="shared" si="72"/>
        <v>1</v>
      </c>
      <c r="J440" s="962"/>
      <c r="K440" s="53">
        <f t="shared" si="73"/>
        <v>1</v>
      </c>
      <c r="L440" s="962"/>
      <c r="M440" s="53">
        <f t="shared" si="74"/>
        <v>1</v>
      </c>
      <c r="N440" s="962"/>
      <c r="O440" s="53">
        <f t="shared" si="75"/>
        <v>1</v>
      </c>
      <c r="P440" s="962"/>
      <c r="Q440" s="53">
        <f t="shared" si="76"/>
        <v>1</v>
      </c>
      <c r="R440" s="489">
        <f t="shared" si="77"/>
        <v>0</v>
      </c>
      <c r="S440" s="798">
        <f t="shared" si="78"/>
        <v>0</v>
      </c>
    </row>
    <row r="441" spans="1:19">
      <c r="A441" s="964"/>
      <c r="B441" s="137"/>
      <c r="C441" s="53">
        <f t="shared" si="69"/>
        <v>1</v>
      </c>
      <c r="D441" s="962"/>
      <c r="E441" s="53">
        <f t="shared" si="70"/>
        <v>1</v>
      </c>
      <c r="F441" s="962"/>
      <c r="G441" s="53">
        <f t="shared" si="71"/>
        <v>1</v>
      </c>
      <c r="H441" s="962"/>
      <c r="I441" s="53">
        <f t="shared" si="72"/>
        <v>1</v>
      </c>
      <c r="J441" s="962"/>
      <c r="K441" s="53">
        <f t="shared" si="73"/>
        <v>1</v>
      </c>
      <c r="L441" s="962"/>
      <c r="M441" s="53">
        <f t="shared" si="74"/>
        <v>1</v>
      </c>
      <c r="N441" s="962"/>
      <c r="O441" s="53">
        <f t="shared" si="75"/>
        <v>1</v>
      </c>
      <c r="P441" s="962"/>
      <c r="Q441" s="53">
        <f t="shared" si="76"/>
        <v>1</v>
      </c>
      <c r="R441" s="489">
        <f t="shared" si="77"/>
        <v>0</v>
      </c>
      <c r="S441" s="798">
        <f t="shared" si="78"/>
        <v>0</v>
      </c>
    </row>
    <row r="442" spans="1:19">
      <c r="A442" s="964"/>
      <c r="B442" s="137"/>
      <c r="C442" s="53">
        <f t="shared" si="69"/>
        <v>1</v>
      </c>
      <c r="D442" s="962"/>
      <c r="E442" s="53">
        <f t="shared" si="70"/>
        <v>1</v>
      </c>
      <c r="F442" s="962"/>
      <c r="G442" s="53">
        <f t="shared" si="71"/>
        <v>1</v>
      </c>
      <c r="H442" s="962"/>
      <c r="I442" s="53">
        <f t="shared" si="72"/>
        <v>1</v>
      </c>
      <c r="J442" s="962"/>
      <c r="K442" s="53">
        <f t="shared" si="73"/>
        <v>1</v>
      </c>
      <c r="L442" s="962"/>
      <c r="M442" s="53">
        <f t="shared" si="74"/>
        <v>1</v>
      </c>
      <c r="N442" s="962"/>
      <c r="O442" s="53">
        <f t="shared" si="75"/>
        <v>1</v>
      </c>
      <c r="P442" s="962"/>
      <c r="Q442" s="53">
        <f t="shared" si="76"/>
        <v>1</v>
      </c>
      <c r="R442" s="489">
        <f t="shared" si="77"/>
        <v>0</v>
      </c>
      <c r="S442" s="798">
        <f t="shared" si="78"/>
        <v>0</v>
      </c>
    </row>
    <row r="443" spans="1:19">
      <c r="A443" s="964"/>
      <c r="B443" s="137"/>
      <c r="C443" s="53">
        <f t="shared" si="69"/>
        <v>1</v>
      </c>
      <c r="D443" s="962"/>
      <c r="E443" s="53">
        <f t="shared" si="70"/>
        <v>1</v>
      </c>
      <c r="F443" s="962"/>
      <c r="G443" s="53">
        <f t="shared" si="71"/>
        <v>1</v>
      </c>
      <c r="H443" s="962"/>
      <c r="I443" s="53">
        <f t="shared" si="72"/>
        <v>1</v>
      </c>
      <c r="J443" s="962"/>
      <c r="K443" s="53">
        <f t="shared" si="73"/>
        <v>1</v>
      </c>
      <c r="L443" s="962"/>
      <c r="M443" s="53">
        <f t="shared" si="74"/>
        <v>1</v>
      </c>
      <c r="N443" s="962"/>
      <c r="O443" s="53">
        <f t="shared" si="75"/>
        <v>1</v>
      </c>
      <c r="P443" s="962"/>
      <c r="Q443" s="53">
        <f t="shared" si="76"/>
        <v>1</v>
      </c>
      <c r="R443" s="489">
        <f t="shared" si="77"/>
        <v>0</v>
      </c>
      <c r="S443" s="798">
        <f t="shared" si="78"/>
        <v>0</v>
      </c>
    </row>
    <row r="444" spans="1:19">
      <c r="A444" s="964"/>
      <c r="B444" s="137"/>
      <c r="C444" s="53">
        <f t="shared" si="69"/>
        <v>1</v>
      </c>
      <c r="D444" s="962"/>
      <c r="E444" s="53">
        <f t="shared" si="70"/>
        <v>1</v>
      </c>
      <c r="F444" s="962"/>
      <c r="G444" s="53">
        <f t="shared" si="71"/>
        <v>1</v>
      </c>
      <c r="H444" s="962"/>
      <c r="I444" s="53">
        <f t="shared" si="72"/>
        <v>1</v>
      </c>
      <c r="J444" s="962"/>
      <c r="K444" s="53">
        <f t="shared" si="73"/>
        <v>1</v>
      </c>
      <c r="L444" s="962"/>
      <c r="M444" s="53">
        <f t="shared" si="74"/>
        <v>1</v>
      </c>
      <c r="N444" s="962"/>
      <c r="O444" s="53">
        <f t="shared" si="75"/>
        <v>1</v>
      </c>
      <c r="P444" s="962"/>
      <c r="Q444" s="53">
        <f t="shared" si="76"/>
        <v>1</v>
      </c>
      <c r="R444" s="489">
        <f t="shared" si="77"/>
        <v>0</v>
      </c>
      <c r="S444" s="798">
        <f t="shared" si="78"/>
        <v>0</v>
      </c>
    </row>
    <row r="445" spans="1:19">
      <c r="A445" s="964"/>
      <c r="B445" s="137"/>
      <c r="C445" s="53">
        <f t="shared" si="69"/>
        <v>1</v>
      </c>
      <c r="D445" s="962"/>
      <c r="E445" s="53">
        <f t="shared" si="70"/>
        <v>1</v>
      </c>
      <c r="F445" s="962"/>
      <c r="G445" s="53">
        <f t="shared" si="71"/>
        <v>1</v>
      </c>
      <c r="H445" s="962"/>
      <c r="I445" s="53">
        <f t="shared" si="72"/>
        <v>1</v>
      </c>
      <c r="J445" s="962"/>
      <c r="K445" s="53">
        <f t="shared" si="73"/>
        <v>1</v>
      </c>
      <c r="L445" s="962"/>
      <c r="M445" s="53">
        <f t="shared" si="74"/>
        <v>1</v>
      </c>
      <c r="N445" s="962"/>
      <c r="O445" s="53">
        <f t="shared" si="75"/>
        <v>1</v>
      </c>
      <c r="P445" s="962"/>
      <c r="Q445" s="53">
        <f t="shared" si="76"/>
        <v>1</v>
      </c>
      <c r="R445" s="489">
        <f t="shared" si="77"/>
        <v>0</v>
      </c>
      <c r="S445" s="798">
        <f t="shared" si="78"/>
        <v>0</v>
      </c>
    </row>
    <row r="446" spans="1:19">
      <c r="A446" s="964"/>
      <c r="B446" s="137"/>
      <c r="C446" s="53">
        <f t="shared" si="69"/>
        <v>1</v>
      </c>
      <c r="D446" s="962"/>
      <c r="E446" s="53">
        <f t="shared" si="70"/>
        <v>1</v>
      </c>
      <c r="F446" s="962"/>
      <c r="G446" s="53">
        <f t="shared" si="71"/>
        <v>1</v>
      </c>
      <c r="H446" s="962"/>
      <c r="I446" s="53">
        <f t="shared" si="72"/>
        <v>1</v>
      </c>
      <c r="J446" s="962"/>
      <c r="K446" s="53">
        <f t="shared" si="73"/>
        <v>1</v>
      </c>
      <c r="L446" s="962"/>
      <c r="M446" s="53">
        <f t="shared" si="74"/>
        <v>1</v>
      </c>
      <c r="N446" s="962"/>
      <c r="O446" s="53">
        <f t="shared" si="75"/>
        <v>1</v>
      </c>
      <c r="P446" s="962"/>
      <c r="Q446" s="53">
        <f t="shared" si="76"/>
        <v>1</v>
      </c>
      <c r="R446" s="489">
        <f t="shared" si="77"/>
        <v>0</v>
      </c>
      <c r="S446" s="798">
        <f t="shared" si="78"/>
        <v>0</v>
      </c>
    </row>
    <row r="447" spans="1:19">
      <c r="A447" s="964"/>
      <c r="B447" s="137"/>
      <c r="C447" s="53">
        <f t="shared" si="69"/>
        <v>1</v>
      </c>
      <c r="D447" s="962"/>
      <c r="E447" s="53">
        <f t="shared" si="70"/>
        <v>1</v>
      </c>
      <c r="F447" s="962"/>
      <c r="G447" s="53">
        <f t="shared" si="71"/>
        <v>1</v>
      </c>
      <c r="H447" s="962"/>
      <c r="I447" s="53">
        <f t="shared" si="72"/>
        <v>1</v>
      </c>
      <c r="J447" s="962"/>
      <c r="K447" s="53">
        <f t="shared" si="73"/>
        <v>1</v>
      </c>
      <c r="L447" s="962"/>
      <c r="M447" s="53">
        <f t="shared" si="74"/>
        <v>1</v>
      </c>
      <c r="N447" s="962"/>
      <c r="O447" s="53">
        <f t="shared" si="75"/>
        <v>1</v>
      </c>
      <c r="P447" s="962"/>
      <c r="Q447" s="53">
        <f t="shared" si="76"/>
        <v>1</v>
      </c>
      <c r="R447" s="489">
        <f t="shared" si="77"/>
        <v>0</v>
      </c>
      <c r="S447" s="798">
        <f t="shared" si="78"/>
        <v>0</v>
      </c>
    </row>
    <row r="448" spans="1:19">
      <c r="A448" s="964"/>
      <c r="B448" s="137"/>
      <c r="C448" s="53">
        <f t="shared" si="69"/>
        <v>1</v>
      </c>
      <c r="D448" s="962"/>
      <c r="E448" s="53">
        <f t="shared" si="70"/>
        <v>1</v>
      </c>
      <c r="F448" s="962"/>
      <c r="G448" s="53">
        <f t="shared" si="71"/>
        <v>1</v>
      </c>
      <c r="H448" s="962"/>
      <c r="I448" s="53">
        <f t="shared" si="72"/>
        <v>1</v>
      </c>
      <c r="J448" s="962"/>
      <c r="K448" s="53">
        <f t="shared" si="73"/>
        <v>1</v>
      </c>
      <c r="L448" s="962"/>
      <c r="M448" s="53">
        <f t="shared" si="74"/>
        <v>1</v>
      </c>
      <c r="N448" s="962"/>
      <c r="O448" s="53">
        <f t="shared" si="75"/>
        <v>1</v>
      </c>
      <c r="P448" s="962"/>
      <c r="Q448" s="53">
        <f t="shared" si="76"/>
        <v>1</v>
      </c>
      <c r="R448" s="489">
        <f t="shared" si="77"/>
        <v>0</v>
      </c>
      <c r="S448" s="798">
        <f t="shared" si="78"/>
        <v>0</v>
      </c>
    </row>
    <row r="449" spans="1:19">
      <c r="A449" s="964"/>
      <c r="B449" s="137"/>
      <c r="C449" s="53">
        <f t="shared" si="69"/>
        <v>1</v>
      </c>
      <c r="D449" s="962"/>
      <c r="E449" s="53">
        <f t="shared" si="70"/>
        <v>1</v>
      </c>
      <c r="F449" s="962"/>
      <c r="G449" s="53">
        <f t="shared" si="71"/>
        <v>1</v>
      </c>
      <c r="H449" s="962"/>
      <c r="I449" s="53">
        <f t="shared" si="72"/>
        <v>1</v>
      </c>
      <c r="J449" s="962"/>
      <c r="K449" s="53">
        <f t="shared" si="73"/>
        <v>1</v>
      </c>
      <c r="L449" s="962"/>
      <c r="M449" s="53">
        <f t="shared" si="74"/>
        <v>1</v>
      </c>
      <c r="N449" s="962"/>
      <c r="O449" s="53">
        <f t="shared" si="75"/>
        <v>1</v>
      </c>
      <c r="P449" s="962"/>
      <c r="Q449" s="53">
        <f t="shared" si="76"/>
        <v>1</v>
      </c>
      <c r="R449" s="489">
        <f t="shared" si="77"/>
        <v>0</v>
      </c>
      <c r="S449" s="798">
        <f t="shared" si="78"/>
        <v>0</v>
      </c>
    </row>
    <row r="450" spans="1:19">
      <c r="A450" s="964"/>
      <c r="B450" s="137"/>
      <c r="C450" s="53">
        <f t="shared" si="69"/>
        <v>1</v>
      </c>
      <c r="D450" s="962"/>
      <c r="E450" s="53">
        <f t="shared" si="70"/>
        <v>1</v>
      </c>
      <c r="F450" s="962"/>
      <c r="G450" s="53">
        <f t="shared" si="71"/>
        <v>1</v>
      </c>
      <c r="H450" s="962"/>
      <c r="I450" s="53">
        <f t="shared" si="72"/>
        <v>1</v>
      </c>
      <c r="J450" s="962"/>
      <c r="K450" s="53">
        <f t="shared" si="73"/>
        <v>1</v>
      </c>
      <c r="L450" s="962"/>
      <c r="M450" s="53">
        <f t="shared" si="74"/>
        <v>1</v>
      </c>
      <c r="N450" s="962"/>
      <c r="O450" s="53">
        <f t="shared" si="75"/>
        <v>1</v>
      </c>
      <c r="P450" s="962"/>
      <c r="Q450" s="53">
        <f t="shared" si="76"/>
        <v>1</v>
      </c>
      <c r="R450" s="489">
        <f t="shared" si="77"/>
        <v>0</v>
      </c>
      <c r="S450" s="798">
        <f t="shared" si="78"/>
        <v>0</v>
      </c>
    </row>
    <row r="451" spans="1:19">
      <c r="A451" s="964"/>
      <c r="B451" s="137"/>
      <c r="C451" s="53">
        <f t="shared" si="69"/>
        <v>1</v>
      </c>
      <c r="D451" s="962"/>
      <c r="E451" s="53">
        <f t="shared" si="70"/>
        <v>1</v>
      </c>
      <c r="F451" s="962"/>
      <c r="G451" s="53">
        <f t="shared" si="71"/>
        <v>1</v>
      </c>
      <c r="H451" s="962"/>
      <c r="I451" s="53">
        <f t="shared" si="72"/>
        <v>1</v>
      </c>
      <c r="J451" s="962"/>
      <c r="K451" s="53">
        <f t="shared" si="73"/>
        <v>1</v>
      </c>
      <c r="L451" s="962"/>
      <c r="M451" s="53">
        <f t="shared" si="74"/>
        <v>1</v>
      </c>
      <c r="N451" s="962"/>
      <c r="O451" s="53">
        <f t="shared" si="75"/>
        <v>1</v>
      </c>
      <c r="P451" s="962"/>
      <c r="Q451" s="53">
        <f t="shared" si="76"/>
        <v>1</v>
      </c>
      <c r="R451" s="489">
        <f t="shared" si="77"/>
        <v>0</v>
      </c>
      <c r="S451" s="798">
        <f t="shared" si="78"/>
        <v>0</v>
      </c>
    </row>
    <row r="452" spans="1:19">
      <c r="A452" s="964"/>
      <c r="B452" s="137"/>
      <c r="C452" s="53">
        <f t="shared" si="69"/>
        <v>1</v>
      </c>
      <c r="D452" s="962"/>
      <c r="E452" s="53">
        <f t="shared" si="70"/>
        <v>1</v>
      </c>
      <c r="F452" s="962"/>
      <c r="G452" s="53">
        <f t="shared" si="71"/>
        <v>1</v>
      </c>
      <c r="H452" s="962"/>
      <c r="I452" s="53">
        <f t="shared" si="72"/>
        <v>1</v>
      </c>
      <c r="J452" s="962"/>
      <c r="K452" s="53">
        <f t="shared" si="73"/>
        <v>1</v>
      </c>
      <c r="L452" s="962"/>
      <c r="M452" s="53">
        <f t="shared" si="74"/>
        <v>1</v>
      </c>
      <c r="N452" s="962"/>
      <c r="O452" s="53">
        <f t="shared" si="75"/>
        <v>1</v>
      </c>
      <c r="P452" s="962"/>
      <c r="Q452" s="53">
        <f t="shared" si="76"/>
        <v>1</v>
      </c>
      <c r="R452" s="489">
        <f t="shared" si="77"/>
        <v>0</v>
      </c>
      <c r="S452" s="798">
        <f t="shared" si="78"/>
        <v>0</v>
      </c>
    </row>
    <row r="453" spans="1:19">
      <c r="A453" s="964"/>
      <c r="B453" s="137"/>
      <c r="C453" s="53">
        <f t="shared" si="69"/>
        <v>1</v>
      </c>
      <c r="D453" s="962"/>
      <c r="E453" s="53">
        <f t="shared" si="70"/>
        <v>1</v>
      </c>
      <c r="F453" s="962"/>
      <c r="G453" s="53">
        <f t="shared" si="71"/>
        <v>1</v>
      </c>
      <c r="H453" s="962"/>
      <c r="I453" s="53">
        <f t="shared" si="72"/>
        <v>1</v>
      </c>
      <c r="J453" s="962"/>
      <c r="K453" s="53">
        <f t="shared" si="73"/>
        <v>1</v>
      </c>
      <c r="L453" s="962"/>
      <c r="M453" s="53">
        <f t="shared" si="74"/>
        <v>1</v>
      </c>
      <c r="N453" s="962"/>
      <c r="O453" s="53">
        <f t="shared" si="75"/>
        <v>1</v>
      </c>
      <c r="P453" s="962"/>
      <c r="Q453" s="53">
        <f t="shared" si="76"/>
        <v>1</v>
      </c>
      <c r="R453" s="489">
        <f t="shared" si="77"/>
        <v>0</v>
      </c>
      <c r="S453" s="798">
        <f t="shared" si="78"/>
        <v>0</v>
      </c>
    </row>
    <row r="454" spans="1:19">
      <c r="A454" s="964"/>
      <c r="B454" s="137"/>
      <c r="C454" s="53">
        <f t="shared" si="69"/>
        <v>1</v>
      </c>
      <c r="D454" s="962"/>
      <c r="E454" s="53">
        <f t="shared" si="70"/>
        <v>1</v>
      </c>
      <c r="F454" s="962"/>
      <c r="G454" s="53">
        <f t="shared" si="71"/>
        <v>1</v>
      </c>
      <c r="H454" s="962"/>
      <c r="I454" s="53">
        <f t="shared" si="72"/>
        <v>1</v>
      </c>
      <c r="J454" s="962"/>
      <c r="K454" s="53">
        <f t="shared" si="73"/>
        <v>1</v>
      </c>
      <c r="L454" s="962"/>
      <c r="M454" s="53">
        <f t="shared" si="74"/>
        <v>1</v>
      </c>
      <c r="N454" s="962"/>
      <c r="O454" s="53">
        <f t="shared" si="75"/>
        <v>1</v>
      </c>
      <c r="P454" s="962"/>
      <c r="Q454" s="53">
        <f t="shared" si="76"/>
        <v>1</v>
      </c>
      <c r="R454" s="489">
        <f t="shared" si="77"/>
        <v>0</v>
      </c>
      <c r="S454" s="798">
        <f t="shared" si="78"/>
        <v>0</v>
      </c>
    </row>
    <row r="455" spans="1:19">
      <c r="A455" s="964"/>
      <c r="B455" s="137"/>
      <c r="C455" s="53">
        <f t="shared" si="69"/>
        <v>1</v>
      </c>
      <c r="D455" s="962"/>
      <c r="E455" s="53">
        <f t="shared" si="70"/>
        <v>1</v>
      </c>
      <c r="F455" s="962"/>
      <c r="G455" s="53">
        <f t="shared" si="71"/>
        <v>1</v>
      </c>
      <c r="H455" s="962"/>
      <c r="I455" s="53">
        <f t="shared" si="72"/>
        <v>1</v>
      </c>
      <c r="J455" s="962"/>
      <c r="K455" s="53">
        <f t="shared" si="73"/>
        <v>1</v>
      </c>
      <c r="L455" s="962"/>
      <c r="M455" s="53">
        <f t="shared" si="74"/>
        <v>1</v>
      </c>
      <c r="N455" s="962"/>
      <c r="O455" s="53">
        <f t="shared" si="75"/>
        <v>1</v>
      </c>
      <c r="P455" s="962"/>
      <c r="Q455" s="53">
        <f t="shared" si="76"/>
        <v>1</v>
      </c>
      <c r="R455" s="489">
        <f t="shared" si="77"/>
        <v>0</v>
      </c>
      <c r="S455" s="798">
        <f t="shared" si="78"/>
        <v>0</v>
      </c>
    </row>
    <row r="456" spans="1:19">
      <c r="A456" s="964"/>
      <c r="B456" s="137"/>
      <c r="C456" s="53">
        <f t="shared" si="69"/>
        <v>1</v>
      </c>
      <c r="D456" s="962"/>
      <c r="E456" s="53">
        <f t="shared" si="70"/>
        <v>1</v>
      </c>
      <c r="F456" s="962"/>
      <c r="G456" s="53">
        <f t="shared" si="71"/>
        <v>1</v>
      </c>
      <c r="H456" s="962"/>
      <c r="I456" s="53">
        <f t="shared" si="72"/>
        <v>1</v>
      </c>
      <c r="J456" s="962"/>
      <c r="K456" s="53">
        <f t="shared" si="73"/>
        <v>1</v>
      </c>
      <c r="L456" s="962"/>
      <c r="M456" s="53">
        <f t="shared" si="74"/>
        <v>1</v>
      </c>
      <c r="N456" s="962"/>
      <c r="O456" s="53">
        <f t="shared" si="75"/>
        <v>1</v>
      </c>
      <c r="P456" s="962"/>
      <c r="Q456" s="53">
        <f t="shared" si="76"/>
        <v>1</v>
      </c>
      <c r="R456" s="489">
        <f t="shared" si="77"/>
        <v>0</v>
      </c>
      <c r="S456" s="798">
        <f t="shared" si="78"/>
        <v>0</v>
      </c>
    </row>
    <row r="457" spans="1:19">
      <c r="A457" s="964"/>
      <c r="B457" s="137"/>
      <c r="C457" s="53">
        <f t="shared" si="69"/>
        <v>1</v>
      </c>
      <c r="D457" s="962"/>
      <c r="E457" s="53">
        <f t="shared" si="70"/>
        <v>1</v>
      </c>
      <c r="F457" s="962"/>
      <c r="G457" s="53">
        <f t="shared" si="71"/>
        <v>1</v>
      </c>
      <c r="H457" s="962"/>
      <c r="I457" s="53">
        <f t="shared" si="72"/>
        <v>1</v>
      </c>
      <c r="J457" s="962"/>
      <c r="K457" s="53">
        <f t="shared" si="73"/>
        <v>1</v>
      </c>
      <c r="L457" s="962"/>
      <c r="M457" s="53">
        <f t="shared" si="74"/>
        <v>1</v>
      </c>
      <c r="N457" s="962"/>
      <c r="O457" s="53">
        <f t="shared" si="75"/>
        <v>1</v>
      </c>
      <c r="P457" s="962"/>
      <c r="Q457" s="53">
        <f t="shared" si="76"/>
        <v>1</v>
      </c>
      <c r="R457" s="489">
        <f t="shared" si="77"/>
        <v>0</v>
      </c>
      <c r="S457" s="798">
        <f t="shared" si="78"/>
        <v>0</v>
      </c>
    </row>
    <row r="458" spans="1:19">
      <c r="A458" s="964"/>
      <c r="B458" s="137"/>
      <c r="C458" s="53">
        <f t="shared" si="69"/>
        <v>1</v>
      </c>
      <c r="D458" s="962"/>
      <c r="E458" s="53">
        <f t="shared" si="70"/>
        <v>1</v>
      </c>
      <c r="F458" s="962"/>
      <c r="G458" s="53">
        <f t="shared" si="71"/>
        <v>1</v>
      </c>
      <c r="H458" s="962"/>
      <c r="I458" s="53">
        <f t="shared" si="72"/>
        <v>1</v>
      </c>
      <c r="J458" s="962"/>
      <c r="K458" s="53">
        <f t="shared" si="73"/>
        <v>1</v>
      </c>
      <c r="L458" s="962"/>
      <c r="M458" s="53">
        <f t="shared" si="74"/>
        <v>1</v>
      </c>
      <c r="N458" s="962"/>
      <c r="O458" s="53">
        <f t="shared" si="75"/>
        <v>1</v>
      </c>
      <c r="P458" s="962"/>
      <c r="Q458" s="53">
        <f t="shared" si="76"/>
        <v>1</v>
      </c>
      <c r="R458" s="489">
        <f t="shared" si="77"/>
        <v>0</v>
      </c>
      <c r="S458" s="798">
        <f t="shared" si="78"/>
        <v>0</v>
      </c>
    </row>
    <row r="459" spans="1:19">
      <c r="A459" s="964"/>
      <c r="B459" s="137"/>
      <c r="C459" s="53">
        <f t="shared" si="69"/>
        <v>1</v>
      </c>
      <c r="D459" s="962"/>
      <c r="E459" s="53">
        <f t="shared" si="70"/>
        <v>1</v>
      </c>
      <c r="F459" s="962"/>
      <c r="G459" s="53">
        <f t="shared" si="71"/>
        <v>1</v>
      </c>
      <c r="H459" s="962"/>
      <c r="I459" s="53">
        <f t="shared" si="72"/>
        <v>1</v>
      </c>
      <c r="J459" s="962"/>
      <c r="K459" s="53">
        <f t="shared" si="73"/>
        <v>1</v>
      </c>
      <c r="L459" s="962"/>
      <c r="M459" s="53">
        <f t="shared" si="74"/>
        <v>1</v>
      </c>
      <c r="N459" s="962"/>
      <c r="O459" s="53">
        <f t="shared" si="75"/>
        <v>1</v>
      </c>
      <c r="P459" s="962"/>
      <c r="Q459" s="53">
        <f t="shared" si="76"/>
        <v>1</v>
      </c>
      <c r="R459" s="489">
        <f t="shared" si="77"/>
        <v>0</v>
      </c>
      <c r="S459" s="798">
        <f t="shared" si="78"/>
        <v>0</v>
      </c>
    </row>
    <row r="460" spans="1:19">
      <c r="A460" s="964"/>
      <c r="B460" s="137"/>
      <c r="C460" s="53">
        <f t="shared" si="69"/>
        <v>1</v>
      </c>
      <c r="D460" s="962"/>
      <c r="E460" s="53">
        <f t="shared" si="70"/>
        <v>1</v>
      </c>
      <c r="F460" s="962"/>
      <c r="G460" s="53">
        <f t="shared" si="71"/>
        <v>1</v>
      </c>
      <c r="H460" s="962"/>
      <c r="I460" s="53">
        <f t="shared" si="72"/>
        <v>1</v>
      </c>
      <c r="J460" s="962"/>
      <c r="K460" s="53">
        <f t="shared" si="73"/>
        <v>1</v>
      </c>
      <c r="L460" s="962"/>
      <c r="M460" s="53">
        <f t="shared" si="74"/>
        <v>1</v>
      </c>
      <c r="N460" s="962"/>
      <c r="O460" s="53">
        <f t="shared" si="75"/>
        <v>1</v>
      </c>
      <c r="P460" s="962"/>
      <c r="Q460" s="53">
        <f t="shared" si="76"/>
        <v>1</v>
      </c>
      <c r="R460" s="489">
        <f t="shared" si="77"/>
        <v>0</v>
      </c>
      <c r="S460" s="798">
        <f t="shared" si="78"/>
        <v>0</v>
      </c>
    </row>
    <row r="461" spans="1:19">
      <c r="A461" s="964"/>
      <c r="B461" s="137"/>
      <c r="C461" s="53">
        <f t="shared" si="69"/>
        <v>1</v>
      </c>
      <c r="D461" s="962"/>
      <c r="E461" s="53">
        <f t="shared" si="70"/>
        <v>1</v>
      </c>
      <c r="F461" s="962"/>
      <c r="G461" s="53">
        <f t="shared" si="71"/>
        <v>1</v>
      </c>
      <c r="H461" s="962"/>
      <c r="I461" s="53">
        <f t="shared" si="72"/>
        <v>1</v>
      </c>
      <c r="J461" s="962"/>
      <c r="K461" s="53">
        <f t="shared" si="73"/>
        <v>1</v>
      </c>
      <c r="L461" s="962"/>
      <c r="M461" s="53">
        <f t="shared" si="74"/>
        <v>1</v>
      </c>
      <c r="N461" s="962"/>
      <c r="O461" s="53">
        <f t="shared" si="75"/>
        <v>1</v>
      </c>
      <c r="P461" s="962"/>
      <c r="Q461" s="53">
        <f t="shared" si="76"/>
        <v>1</v>
      </c>
      <c r="R461" s="489">
        <f t="shared" si="77"/>
        <v>0</v>
      </c>
      <c r="S461" s="798">
        <f t="shared" si="78"/>
        <v>0</v>
      </c>
    </row>
    <row r="462" spans="1:19">
      <c r="A462" s="964"/>
      <c r="B462" s="137"/>
      <c r="C462" s="53">
        <f t="shared" si="69"/>
        <v>1</v>
      </c>
      <c r="D462" s="962"/>
      <c r="E462" s="53">
        <f t="shared" si="70"/>
        <v>1</v>
      </c>
      <c r="F462" s="962"/>
      <c r="G462" s="53">
        <f t="shared" si="71"/>
        <v>1</v>
      </c>
      <c r="H462" s="962"/>
      <c r="I462" s="53">
        <f t="shared" si="72"/>
        <v>1</v>
      </c>
      <c r="J462" s="962"/>
      <c r="K462" s="53">
        <f t="shared" si="73"/>
        <v>1</v>
      </c>
      <c r="L462" s="962"/>
      <c r="M462" s="53">
        <f t="shared" si="74"/>
        <v>1</v>
      </c>
      <c r="N462" s="962"/>
      <c r="O462" s="53">
        <f t="shared" si="75"/>
        <v>1</v>
      </c>
      <c r="P462" s="962"/>
      <c r="Q462" s="53">
        <f t="shared" si="76"/>
        <v>1</v>
      </c>
      <c r="R462" s="489">
        <f t="shared" si="77"/>
        <v>0</v>
      </c>
      <c r="S462" s="798">
        <f t="shared" si="78"/>
        <v>0</v>
      </c>
    </row>
    <row r="463" spans="1:19">
      <c r="A463" s="964"/>
      <c r="B463" s="137"/>
      <c r="C463" s="53">
        <f t="shared" si="69"/>
        <v>1</v>
      </c>
      <c r="D463" s="962"/>
      <c r="E463" s="53">
        <f t="shared" si="70"/>
        <v>1</v>
      </c>
      <c r="F463" s="962"/>
      <c r="G463" s="53">
        <f t="shared" si="71"/>
        <v>1</v>
      </c>
      <c r="H463" s="962"/>
      <c r="I463" s="53">
        <f t="shared" si="72"/>
        <v>1</v>
      </c>
      <c r="J463" s="962"/>
      <c r="K463" s="53">
        <f t="shared" si="73"/>
        <v>1</v>
      </c>
      <c r="L463" s="962"/>
      <c r="M463" s="53">
        <f t="shared" si="74"/>
        <v>1</v>
      </c>
      <c r="N463" s="962"/>
      <c r="O463" s="53">
        <f t="shared" si="75"/>
        <v>1</v>
      </c>
      <c r="P463" s="962"/>
      <c r="Q463" s="53">
        <f t="shared" si="76"/>
        <v>1</v>
      </c>
      <c r="R463" s="489">
        <f t="shared" si="77"/>
        <v>0</v>
      </c>
      <c r="S463" s="798">
        <f t="shared" si="78"/>
        <v>0</v>
      </c>
    </row>
    <row r="464" spans="1:19">
      <c r="A464" s="964"/>
      <c r="B464" s="137"/>
      <c r="C464" s="53">
        <f t="shared" si="69"/>
        <v>1</v>
      </c>
      <c r="D464" s="962"/>
      <c r="E464" s="53">
        <f t="shared" si="70"/>
        <v>1</v>
      </c>
      <c r="F464" s="962"/>
      <c r="G464" s="53">
        <f t="shared" si="71"/>
        <v>1</v>
      </c>
      <c r="H464" s="962"/>
      <c r="I464" s="53">
        <f t="shared" si="72"/>
        <v>1</v>
      </c>
      <c r="J464" s="962"/>
      <c r="K464" s="53">
        <f t="shared" si="73"/>
        <v>1</v>
      </c>
      <c r="L464" s="962"/>
      <c r="M464" s="53">
        <f t="shared" si="74"/>
        <v>1</v>
      </c>
      <c r="N464" s="962"/>
      <c r="O464" s="53">
        <f t="shared" si="75"/>
        <v>1</v>
      </c>
      <c r="P464" s="962"/>
      <c r="Q464" s="53">
        <f t="shared" si="76"/>
        <v>1</v>
      </c>
      <c r="R464" s="489">
        <f t="shared" si="77"/>
        <v>0</v>
      </c>
      <c r="S464" s="798">
        <f t="shared" si="78"/>
        <v>0</v>
      </c>
    </row>
    <row r="465" spans="1:19">
      <c r="A465" s="964"/>
      <c r="B465" s="137"/>
      <c r="C465" s="53">
        <f t="shared" si="69"/>
        <v>1</v>
      </c>
      <c r="D465" s="962"/>
      <c r="E465" s="53">
        <f t="shared" si="70"/>
        <v>1</v>
      </c>
      <c r="F465" s="962"/>
      <c r="G465" s="53">
        <f t="shared" si="71"/>
        <v>1</v>
      </c>
      <c r="H465" s="962"/>
      <c r="I465" s="53">
        <f t="shared" si="72"/>
        <v>1</v>
      </c>
      <c r="J465" s="962"/>
      <c r="K465" s="53">
        <f t="shared" si="73"/>
        <v>1</v>
      </c>
      <c r="L465" s="962"/>
      <c r="M465" s="53">
        <f t="shared" si="74"/>
        <v>1</v>
      </c>
      <c r="N465" s="962"/>
      <c r="O465" s="53">
        <f t="shared" si="75"/>
        <v>1</v>
      </c>
      <c r="P465" s="962"/>
      <c r="Q465" s="53">
        <f t="shared" si="76"/>
        <v>1</v>
      </c>
      <c r="R465" s="489">
        <f t="shared" si="77"/>
        <v>0</v>
      </c>
      <c r="S465" s="798">
        <f t="shared" si="78"/>
        <v>0</v>
      </c>
    </row>
    <row r="466" spans="1:19">
      <c r="A466" s="964"/>
      <c r="B466" s="137"/>
      <c r="C466" s="53">
        <f t="shared" si="69"/>
        <v>1</v>
      </c>
      <c r="D466" s="962"/>
      <c r="E466" s="53">
        <f t="shared" si="70"/>
        <v>1</v>
      </c>
      <c r="F466" s="962"/>
      <c r="G466" s="53">
        <f t="shared" si="71"/>
        <v>1</v>
      </c>
      <c r="H466" s="962"/>
      <c r="I466" s="53">
        <f t="shared" si="72"/>
        <v>1</v>
      </c>
      <c r="J466" s="962"/>
      <c r="K466" s="53">
        <f t="shared" si="73"/>
        <v>1</v>
      </c>
      <c r="L466" s="962"/>
      <c r="M466" s="53">
        <f t="shared" si="74"/>
        <v>1</v>
      </c>
      <c r="N466" s="962"/>
      <c r="O466" s="53">
        <f t="shared" si="75"/>
        <v>1</v>
      </c>
      <c r="P466" s="962"/>
      <c r="Q466" s="53">
        <f t="shared" si="76"/>
        <v>1</v>
      </c>
      <c r="R466" s="489">
        <f t="shared" si="77"/>
        <v>0</v>
      </c>
      <c r="S466" s="798">
        <f t="shared" si="78"/>
        <v>0</v>
      </c>
    </row>
    <row r="467" spans="1:19">
      <c r="A467" s="964"/>
      <c r="B467" s="137"/>
      <c r="C467" s="53">
        <f t="shared" si="69"/>
        <v>1</v>
      </c>
      <c r="D467" s="962"/>
      <c r="E467" s="53">
        <f t="shared" si="70"/>
        <v>1</v>
      </c>
      <c r="F467" s="962"/>
      <c r="G467" s="53">
        <f t="shared" si="71"/>
        <v>1</v>
      </c>
      <c r="H467" s="962"/>
      <c r="I467" s="53">
        <f t="shared" si="72"/>
        <v>1</v>
      </c>
      <c r="J467" s="962"/>
      <c r="K467" s="53">
        <f t="shared" si="73"/>
        <v>1</v>
      </c>
      <c r="L467" s="962"/>
      <c r="M467" s="53">
        <f t="shared" si="74"/>
        <v>1</v>
      </c>
      <c r="N467" s="962"/>
      <c r="O467" s="53">
        <f t="shared" si="75"/>
        <v>1</v>
      </c>
      <c r="P467" s="962"/>
      <c r="Q467" s="53">
        <f t="shared" si="76"/>
        <v>1</v>
      </c>
      <c r="R467" s="489">
        <f t="shared" si="77"/>
        <v>0</v>
      </c>
      <c r="S467" s="798">
        <f t="shared" si="78"/>
        <v>0</v>
      </c>
    </row>
    <row r="468" spans="1:19">
      <c r="A468" s="964"/>
      <c r="B468" s="137"/>
      <c r="C468" s="53">
        <f t="shared" si="69"/>
        <v>1</v>
      </c>
      <c r="D468" s="962"/>
      <c r="E468" s="53">
        <f t="shared" si="70"/>
        <v>1</v>
      </c>
      <c r="F468" s="962"/>
      <c r="G468" s="53">
        <f t="shared" si="71"/>
        <v>1</v>
      </c>
      <c r="H468" s="962"/>
      <c r="I468" s="53">
        <f t="shared" si="72"/>
        <v>1</v>
      </c>
      <c r="J468" s="962"/>
      <c r="K468" s="53">
        <f t="shared" si="73"/>
        <v>1</v>
      </c>
      <c r="L468" s="962"/>
      <c r="M468" s="53">
        <f t="shared" si="74"/>
        <v>1</v>
      </c>
      <c r="N468" s="962"/>
      <c r="O468" s="53">
        <f t="shared" si="75"/>
        <v>1</v>
      </c>
      <c r="P468" s="962"/>
      <c r="Q468" s="53">
        <f t="shared" si="76"/>
        <v>1</v>
      </c>
      <c r="R468" s="489">
        <f t="shared" si="77"/>
        <v>0</v>
      </c>
      <c r="S468" s="798">
        <f t="shared" ref="S468:S497" si="79">ROUND(R468*B468/10000,0)</f>
        <v>0</v>
      </c>
    </row>
    <row r="469" spans="1:19">
      <c r="A469" s="964"/>
      <c r="B469" s="137"/>
      <c r="C469" s="53">
        <f t="shared" si="69"/>
        <v>1</v>
      </c>
      <c r="D469" s="962"/>
      <c r="E469" s="53">
        <f t="shared" si="70"/>
        <v>1</v>
      </c>
      <c r="F469" s="962"/>
      <c r="G469" s="53">
        <f t="shared" si="71"/>
        <v>1</v>
      </c>
      <c r="H469" s="962"/>
      <c r="I469" s="53">
        <f t="shared" si="72"/>
        <v>1</v>
      </c>
      <c r="J469" s="962"/>
      <c r="K469" s="53">
        <f t="shared" si="73"/>
        <v>1</v>
      </c>
      <c r="L469" s="962"/>
      <c r="M469" s="53">
        <f t="shared" si="74"/>
        <v>1</v>
      </c>
      <c r="N469" s="962"/>
      <c r="O469" s="53">
        <f t="shared" si="75"/>
        <v>1</v>
      </c>
      <c r="P469" s="962"/>
      <c r="Q469" s="53">
        <f t="shared" si="76"/>
        <v>1</v>
      </c>
      <c r="R469" s="489">
        <f t="shared" si="77"/>
        <v>0</v>
      </c>
      <c r="S469" s="798">
        <f t="shared" si="79"/>
        <v>0</v>
      </c>
    </row>
    <row r="470" spans="1:19">
      <c r="A470" s="964"/>
      <c r="B470" s="137"/>
      <c r="C470" s="53">
        <f t="shared" si="69"/>
        <v>1</v>
      </c>
      <c r="D470" s="962"/>
      <c r="E470" s="53">
        <f t="shared" si="70"/>
        <v>1</v>
      </c>
      <c r="F470" s="962"/>
      <c r="G470" s="53">
        <f t="shared" si="71"/>
        <v>1</v>
      </c>
      <c r="H470" s="962"/>
      <c r="I470" s="53">
        <f t="shared" si="72"/>
        <v>1</v>
      </c>
      <c r="J470" s="962"/>
      <c r="K470" s="53">
        <f t="shared" si="73"/>
        <v>1</v>
      </c>
      <c r="L470" s="962"/>
      <c r="M470" s="53">
        <f t="shared" si="74"/>
        <v>1</v>
      </c>
      <c r="N470" s="962"/>
      <c r="O470" s="53">
        <f t="shared" si="75"/>
        <v>1</v>
      </c>
      <c r="P470" s="962"/>
      <c r="Q470" s="53">
        <f t="shared" si="76"/>
        <v>1</v>
      </c>
      <c r="R470" s="489">
        <f t="shared" si="77"/>
        <v>0</v>
      </c>
      <c r="S470" s="798">
        <f t="shared" si="79"/>
        <v>0</v>
      </c>
    </row>
    <row r="471" spans="1:19">
      <c r="A471" s="964"/>
      <c r="B471" s="137"/>
      <c r="C471" s="53">
        <f t="shared" si="69"/>
        <v>1</v>
      </c>
      <c r="D471" s="962"/>
      <c r="E471" s="53">
        <f t="shared" si="70"/>
        <v>1</v>
      </c>
      <c r="F471" s="962"/>
      <c r="G471" s="53">
        <f t="shared" si="71"/>
        <v>1</v>
      </c>
      <c r="H471" s="962"/>
      <c r="I471" s="53">
        <f t="shared" si="72"/>
        <v>1</v>
      </c>
      <c r="J471" s="962"/>
      <c r="K471" s="53">
        <f t="shared" si="73"/>
        <v>1</v>
      </c>
      <c r="L471" s="962"/>
      <c r="M471" s="53">
        <f t="shared" si="74"/>
        <v>1</v>
      </c>
      <c r="N471" s="962"/>
      <c r="O471" s="53">
        <f t="shared" si="75"/>
        <v>1</v>
      </c>
      <c r="P471" s="962"/>
      <c r="Q471" s="53">
        <f t="shared" si="76"/>
        <v>1</v>
      </c>
      <c r="R471" s="489">
        <f t="shared" si="77"/>
        <v>0</v>
      </c>
      <c r="S471" s="798">
        <f t="shared" si="79"/>
        <v>0</v>
      </c>
    </row>
    <row r="472" spans="1:19">
      <c r="A472" s="964"/>
      <c r="B472" s="137"/>
      <c r="C472" s="53">
        <f t="shared" si="69"/>
        <v>1</v>
      </c>
      <c r="D472" s="962"/>
      <c r="E472" s="53">
        <f t="shared" si="70"/>
        <v>1</v>
      </c>
      <c r="F472" s="962"/>
      <c r="G472" s="53">
        <f t="shared" si="71"/>
        <v>1</v>
      </c>
      <c r="H472" s="962"/>
      <c r="I472" s="53">
        <f t="shared" si="72"/>
        <v>1</v>
      </c>
      <c r="J472" s="962"/>
      <c r="K472" s="53">
        <f t="shared" si="73"/>
        <v>1</v>
      </c>
      <c r="L472" s="962"/>
      <c r="M472" s="53">
        <f t="shared" si="74"/>
        <v>1</v>
      </c>
      <c r="N472" s="962"/>
      <c r="O472" s="53">
        <f t="shared" si="75"/>
        <v>1</v>
      </c>
      <c r="P472" s="962"/>
      <c r="Q472" s="53">
        <f t="shared" si="76"/>
        <v>1</v>
      </c>
      <c r="R472" s="489">
        <f t="shared" si="77"/>
        <v>0</v>
      </c>
      <c r="S472" s="798">
        <f t="shared" si="79"/>
        <v>0</v>
      </c>
    </row>
    <row r="473" spans="1:19">
      <c r="A473" s="964"/>
      <c r="B473" s="137"/>
      <c r="C473" s="53">
        <f t="shared" si="69"/>
        <v>1</v>
      </c>
      <c r="D473" s="962"/>
      <c r="E473" s="53">
        <f t="shared" si="70"/>
        <v>1</v>
      </c>
      <c r="F473" s="962"/>
      <c r="G473" s="53">
        <f t="shared" si="71"/>
        <v>1</v>
      </c>
      <c r="H473" s="962"/>
      <c r="I473" s="53">
        <f t="shared" si="72"/>
        <v>1</v>
      </c>
      <c r="J473" s="962"/>
      <c r="K473" s="53">
        <f t="shared" si="73"/>
        <v>1</v>
      </c>
      <c r="L473" s="962"/>
      <c r="M473" s="53">
        <f t="shared" si="74"/>
        <v>1</v>
      </c>
      <c r="N473" s="962"/>
      <c r="O473" s="53">
        <f t="shared" si="75"/>
        <v>1</v>
      </c>
      <c r="P473" s="962"/>
      <c r="Q473" s="53">
        <f t="shared" si="76"/>
        <v>1</v>
      </c>
      <c r="R473" s="489">
        <f t="shared" si="77"/>
        <v>0</v>
      </c>
      <c r="S473" s="798">
        <f t="shared" si="79"/>
        <v>0</v>
      </c>
    </row>
    <row r="474" spans="1:19">
      <c r="A474" s="964"/>
      <c r="B474" s="137"/>
      <c r="C474" s="53">
        <f t="shared" ref="C474:C524" si="80">IF(B474="",1,(LOOKUP(B474,$3:$3,$4:$4)-LOOKUP($B$24,$3:$3,$4:$4)+100)/100)</f>
        <v>1</v>
      </c>
      <c r="D474" s="962"/>
      <c r="E474" s="53">
        <f t="shared" ref="E474:E524" si="81">(SUMIF($5:$5,D474,$6:$6)-SUMIF($5:$5,$D$24,$6:$6)+100)/100</f>
        <v>1</v>
      </c>
      <c r="F474" s="962"/>
      <c r="G474" s="53">
        <f t="shared" ref="G474:G524" si="82">(SUMIF($7:$7,F474,$8:$8)-SUMIF($7:$7,$F$24,$8:$8)+100)/100</f>
        <v>1</v>
      </c>
      <c r="H474" s="962"/>
      <c r="I474" s="53">
        <f t="shared" ref="I474:I524" si="83">(SUMIF($9:$9,H474,$10:$10)-SUMIF($9:$9,$H$24,$10:$10)+100)/100</f>
        <v>1</v>
      </c>
      <c r="J474" s="962"/>
      <c r="K474" s="53">
        <f t="shared" ref="K474:K524" si="84">(SUMIF($11:$11,J474,$12:$12)-SUMIF($11:$11,$J$24,$12:$12)+100)/100</f>
        <v>1</v>
      </c>
      <c r="L474" s="962"/>
      <c r="M474" s="53">
        <f t="shared" ref="M474:M524" si="85">(SUMIF($13:$13,L474,$14:$14)-SUMIF($13:$13,$L$24,$14:$14)+100)/100</f>
        <v>1</v>
      </c>
      <c r="N474" s="962"/>
      <c r="O474" s="53">
        <f t="shared" ref="O474:O524" si="86">(SUMIF($15:$15,N474,$16:$16)-SUMIF($15:$15,$N$24,$16:$16)+100)/100</f>
        <v>1</v>
      </c>
      <c r="P474" s="962"/>
      <c r="Q474" s="53">
        <f t="shared" ref="Q474:Q524" si="87">(SUMIF($17:$17,P474,$18:$18)-SUMIF($17:$17,$P$24,$18:$18)+100)/100</f>
        <v>1</v>
      </c>
      <c r="R474" s="489">
        <f t="shared" ref="R474:R524" si="88">IF(B474="",0,ROUND($R$24*C474*E474*G474*I474*K474*M474*O474*Q474,0))</f>
        <v>0</v>
      </c>
      <c r="S474" s="798">
        <f t="shared" si="79"/>
        <v>0</v>
      </c>
    </row>
    <row r="475" spans="1:19">
      <c r="A475" s="964"/>
      <c r="B475" s="137"/>
      <c r="C475" s="53">
        <f t="shared" si="80"/>
        <v>1</v>
      </c>
      <c r="D475" s="962"/>
      <c r="E475" s="53">
        <f t="shared" si="81"/>
        <v>1</v>
      </c>
      <c r="F475" s="962"/>
      <c r="G475" s="53">
        <f t="shared" si="82"/>
        <v>1</v>
      </c>
      <c r="H475" s="962"/>
      <c r="I475" s="53">
        <f t="shared" si="83"/>
        <v>1</v>
      </c>
      <c r="J475" s="962"/>
      <c r="K475" s="53">
        <f t="shared" si="84"/>
        <v>1</v>
      </c>
      <c r="L475" s="962"/>
      <c r="M475" s="53">
        <f t="shared" si="85"/>
        <v>1</v>
      </c>
      <c r="N475" s="962"/>
      <c r="O475" s="53">
        <f t="shared" si="86"/>
        <v>1</v>
      </c>
      <c r="P475" s="962"/>
      <c r="Q475" s="53">
        <f t="shared" si="87"/>
        <v>1</v>
      </c>
      <c r="R475" s="489">
        <f t="shared" si="88"/>
        <v>0</v>
      </c>
      <c r="S475" s="798">
        <f t="shared" si="79"/>
        <v>0</v>
      </c>
    </row>
    <row r="476" spans="1:19">
      <c r="A476" s="964"/>
      <c r="B476" s="137"/>
      <c r="C476" s="53">
        <f t="shared" si="80"/>
        <v>1</v>
      </c>
      <c r="D476" s="962"/>
      <c r="E476" s="53">
        <f t="shared" si="81"/>
        <v>1</v>
      </c>
      <c r="F476" s="962"/>
      <c r="G476" s="53">
        <f t="shared" si="82"/>
        <v>1</v>
      </c>
      <c r="H476" s="962"/>
      <c r="I476" s="53">
        <f t="shared" si="83"/>
        <v>1</v>
      </c>
      <c r="J476" s="962"/>
      <c r="K476" s="53">
        <f t="shared" si="84"/>
        <v>1</v>
      </c>
      <c r="L476" s="962"/>
      <c r="M476" s="53">
        <f t="shared" si="85"/>
        <v>1</v>
      </c>
      <c r="N476" s="962"/>
      <c r="O476" s="53">
        <f t="shared" si="86"/>
        <v>1</v>
      </c>
      <c r="P476" s="962"/>
      <c r="Q476" s="53">
        <f t="shared" si="87"/>
        <v>1</v>
      </c>
      <c r="R476" s="489">
        <f t="shared" si="88"/>
        <v>0</v>
      </c>
      <c r="S476" s="798">
        <f t="shared" si="79"/>
        <v>0</v>
      </c>
    </row>
    <row r="477" spans="1:19">
      <c r="A477" s="964"/>
      <c r="B477" s="137"/>
      <c r="C477" s="53">
        <f t="shared" si="80"/>
        <v>1</v>
      </c>
      <c r="D477" s="962"/>
      <c r="E477" s="53">
        <f t="shared" si="81"/>
        <v>1</v>
      </c>
      <c r="F477" s="962"/>
      <c r="G477" s="53">
        <f t="shared" si="82"/>
        <v>1</v>
      </c>
      <c r="H477" s="962"/>
      <c r="I477" s="53">
        <f t="shared" si="83"/>
        <v>1</v>
      </c>
      <c r="J477" s="962"/>
      <c r="K477" s="53">
        <f t="shared" si="84"/>
        <v>1</v>
      </c>
      <c r="L477" s="962"/>
      <c r="M477" s="53">
        <f t="shared" si="85"/>
        <v>1</v>
      </c>
      <c r="N477" s="962"/>
      <c r="O477" s="53">
        <f t="shared" si="86"/>
        <v>1</v>
      </c>
      <c r="P477" s="962"/>
      <c r="Q477" s="53">
        <f t="shared" si="87"/>
        <v>1</v>
      </c>
      <c r="R477" s="489">
        <f t="shared" si="88"/>
        <v>0</v>
      </c>
      <c r="S477" s="798">
        <f t="shared" si="79"/>
        <v>0</v>
      </c>
    </row>
    <row r="478" spans="1:19">
      <c r="A478" s="964"/>
      <c r="B478" s="137"/>
      <c r="C478" s="53">
        <f t="shared" si="80"/>
        <v>1</v>
      </c>
      <c r="D478" s="962"/>
      <c r="E478" s="53">
        <f t="shared" si="81"/>
        <v>1</v>
      </c>
      <c r="F478" s="962"/>
      <c r="G478" s="53">
        <f t="shared" si="82"/>
        <v>1</v>
      </c>
      <c r="H478" s="962"/>
      <c r="I478" s="53">
        <f t="shared" si="83"/>
        <v>1</v>
      </c>
      <c r="J478" s="962"/>
      <c r="K478" s="53">
        <f t="shared" si="84"/>
        <v>1</v>
      </c>
      <c r="L478" s="962"/>
      <c r="M478" s="53">
        <f t="shared" si="85"/>
        <v>1</v>
      </c>
      <c r="N478" s="962"/>
      <c r="O478" s="53">
        <f t="shared" si="86"/>
        <v>1</v>
      </c>
      <c r="P478" s="962"/>
      <c r="Q478" s="53">
        <f t="shared" si="87"/>
        <v>1</v>
      </c>
      <c r="R478" s="489">
        <f t="shared" si="88"/>
        <v>0</v>
      </c>
      <c r="S478" s="798">
        <f t="shared" si="79"/>
        <v>0</v>
      </c>
    </row>
    <row r="479" spans="1:19">
      <c r="A479" s="964"/>
      <c r="B479" s="137"/>
      <c r="C479" s="53">
        <f t="shared" si="80"/>
        <v>1</v>
      </c>
      <c r="D479" s="962"/>
      <c r="E479" s="53">
        <f t="shared" si="81"/>
        <v>1</v>
      </c>
      <c r="F479" s="962"/>
      <c r="G479" s="53">
        <f t="shared" si="82"/>
        <v>1</v>
      </c>
      <c r="H479" s="962"/>
      <c r="I479" s="53">
        <f t="shared" si="83"/>
        <v>1</v>
      </c>
      <c r="J479" s="962"/>
      <c r="K479" s="53">
        <f t="shared" si="84"/>
        <v>1</v>
      </c>
      <c r="L479" s="962"/>
      <c r="M479" s="53">
        <f t="shared" si="85"/>
        <v>1</v>
      </c>
      <c r="N479" s="962"/>
      <c r="O479" s="53">
        <f t="shared" si="86"/>
        <v>1</v>
      </c>
      <c r="P479" s="962"/>
      <c r="Q479" s="53">
        <f t="shared" si="87"/>
        <v>1</v>
      </c>
      <c r="R479" s="489">
        <f t="shared" si="88"/>
        <v>0</v>
      </c>
      <c r="S479" s="798">
        <f t="shared" si="79"/>
        <v>0</v>
      </c>
    </row>
    <row r="480" spans="1:19">
      <c r="A480" s="964"/>
      <c r="B480" s="137"/>
      <c r="C480" s="53">
        <f t="shared" si="80"/>
        <v>1</v>
      </c>
      <c r="D480" s="962"/>
      <c r="E480" s="53">
        <f t="shared" si="81"/>
        <v>1</v>
      </c>
      <c r="F480" s="962"/>
      <c r="G480" s="53">
        <f t="shared" si="82"/>
        <v>1</v>
      </c>
      <c r="H480" s="962"/>
      <c r="I480" s="53">
        <f t="shared" si="83"/>
        <v>1</v>
      </c>
      <c r="J480" s="962"/>
      <c r="K480" s="53">
        <f t="shared" si="84"/>
        <v>1</v>
      </c>
      <c r="L480" s="962"/>
      <c r="M480" s="53">
        <f t="shared" si="85"/>
        <v>1</v>
      </c>
      <c r="N480" s="962"/>
      <c r="O480" s="53">
        <f t="shared" si="86"/>
        <v>1</v>
      </c>
      <c r="P480" s="962"/>
      <c r="Q480" s="53">
        <f t="shared" si="87"/>
        <v>1</v>
      </c>
      <c r="R480" s="489">
        <f t="shared" si="88"/>
        <v>0</v>
      </c>
      <c r="S480" s="798">
        <f t="shared" si="79"/>
        <v>0</v>
      </c>
    </row>
    <row r="481" spans="1:19">
      <c r="A481" s="964"/>
      <c r="B481" s="137"/>
      <c r="C481" s="53">
        <f t="shared" si="80"/>
        <v>1</v>
      </c>
      <c r="D481" s="962"/>
      <c r="E481" s="53">
        <f t="shared" si="81"/>
        <v>1</v>
      </c>
      <c r="F481" s="962"/>
      <c r="G481" s="53">
        <f t="shared" si="82"/>
        <v>1</v>
      </c>
      <c r="H481" s="962"/>
      <c r="I481" s="53">
        <f t="shared" si="83"/>
        <v>1</v>
      </c>
      <c r="J481" s="962"/>
      <c r="K481" s="53">
        <f t="shared" si="84"/>
        <v>1</v>
      </c>
      <c r="L481" s="962"/>
      <c r="M481" s="53">
        <f t="shared" si="85"/>
        <v>1</v>
      </c>
      <c r="N481" s="962"/>
      <c r="O481" s="53">
        <f t="shared" si="86"/>
        <v>1</v>
      </c>
      <c r="P481" s="962"/>
      <c r="Q481" s="53">
        <f t="shared" si="87"/>
        <v>1</v>
      </c>
      <c r="R481" s="489">
        <f t="shared" si="88"/>
        <v>0</v>
      </c>
      <c r="S481" s="798">
        <f t="shared" si="79"/>
        <v>0</v>
      </c>
    </row>
    <row r="482" spans="1:19">
      <c r="A482" s="964"/>
      <c r="B482" s="137"/>
      <c r="C482" s="53">
        <f t="shared" si="80"/>
        <v>1</v>
      </c>
      <c r="D482" s="962"/>
      <c r="E482" s="53">
        <f t="shared" si="81"/>
        <v>1</v>
      </c>
      <c r="F482" s="962"/>
      <c r="G482" s="53">
        <f t="shared" si="82"/>
        <v>1</v>
      </c>
      <c r="H482" s="962"/>
      <c r="I482" s="53">
        <f t="shared" si="83"/>
        <v>1</v>
      </c>
      <c r="J482" s="962"/>
      <c r="K482" s="53">
        <f t="shared" si="84"/>
        <v>1</v>
      </c>
      <c r="L482" s="962"/>
      <c r="M482" s="53">
        <f t="shared" si="85"/>
        <v>1</v>
      </c>
      <c r="N482" s="962"/>
      <c r="O482" s="53">
        <f t="shared" si="86"/>
        <v>1</v>
      </c>
      <c r="P482" s="962"/>
      <c r="Q482" s="53">
        <f t="shared" si="87"/>
        <v>1</v>
      </c>
      <c r="R482" s="489">
        <f t="shared" si="88"/>
        <v>0</v>
      </c>
      <c r="S482" s="798">
        <f t="shared" si="79"/>
        <v>0</v>
      </c>
    </row>
    <row r="483" spans="1:19">
      <c r="A483" s="964"/>
      <c r="B483" s="137"/>
      <c r="C483" s="53">
        <f t="shared" si="80"/>
        <v>1</v>
      </c>
      <c r="D483" s="962"/>
      <c r="E483" s="53">
        <f t="shared" si="81"/>
        <v>1</v>
      </c>
      <c r="F483" s="962"/>
      <c r="G483" s="53">
        <f t="shared" si="82"/>
        <v>1</v>
      </c>
      <c r="H483" s="962"/>
      <c r="I483" s="53">
        <f t="shared" si="83"/>
        <v>1</v>
      </c>
      <c r="J483" s="962"/>
      <c r="K483" s="53">
        <f t="shared" si="84"/>
        <v>1</v>
      </c>
      <c r="L483" s="962"/>
      <c r="M483" s="53">
        <f t="shared" si="85"/>
        <v>1</v>
      </c>
      <c r="N483" s="962"/>
      <c r="O483" s="53">
        <f t="shared" si="86"/>
        <v>1</v>
      </c>
      <c r="P483" s="962"/>
      <c r="Q483" s="53">
        <f t="shared" si="87"/>
        <v>1</v>
      </c>
      <c r="R483" s="489">
        <f t="shared" si="88"/>
        <v>0</v>
      </c>
      <c r="S483" s="798">
        <f t="shared" si="79"/>
        <v>0</v>
      </c>
    </row>
    <row r="484" spans="1:19">
      <c r="A484" s="964"/>
      <c r="B484" s="137"/>
      <c r="C484" s="53">
        <f t="shared" si="80"/>
        <v>1</v>
      </c>
      <c r="D484" s="962"/>
      <c r="E484" s="53">
        <f t="shared" si="81"/>
        <v>1</v>
      </c>
      <c r="F484" s="962"/>
      <c r="G484" s="53">
        <f t="shared" si="82"/>
        <v>1</v>
      </c>
      <c r="H484" s="962"/>
      <c r="I484" s="53">
        <f t="shared" si="83"/>
        <v>1</v>
      </c>
      <c r="J484" s="962"/>
      <c r="K484" s="53">
        <f t="shared" si="84"/>
        <v>1</v>
      </c>
      <c r="L484" s="962"/>
      <c r="M484" s="53">
        <f t="shared" si="85"/>
        <v>1</v>
      </c>
      <c r="N484" s="962"/>
      <c r="O484" s="53">
        <f t="shared" si="86"/>
        <v>1</v>
      </c>
      <c r="P484" s="962"/>
      <c r="Q484" s="53">
        <f t="shared" si="87"/>
        <v>1</v>
      </c>
      <c r="R484" s="489">
        <f t="shared" si="88"/>
        <v>0</v>
      </c>
      <c r="S484" s="798">
        <f t="shared" si="79"/>
        <v>0</v>
      </c>
    </row>
    <row r="485" spans="1:19">
      <c r="A485" s="964"/>
      <c r="B485" s="137"/>
      <c r="C485" s="53">
        <f t="shared" si="80"/>
        <v>1</v>
      </c>
      <c r="D485" s="962"/>
      <c r="E485" s="53">
        <f t="shared" si="81"/>
        <v>1</v>
      </c>
      <c r="F485" s="962"/>
      <c r="G485" s="53">
        <f t="shared" si="82"/>
        <v>1</v>
      </c>
      <c r="H485" s="962"/>
      <c r="I485" s="53">
        <f t="shared" si="83"/>
        <v>1</v>
      </c>
      <c r="J485" s="962"/>
      <c r="K485" s="53">
        <f t="shared" si="84"/>
        <v>1</v>
      </c>
      <c r="L485" s="962"/>
      <c r="M485" s="53">
        <f t="shared" si="85"/>
        <v>1</v>
      </c>
      <c r="N485" s="962"/>
      <c r="O485" s="53">
        <f t="shared" si="86"/>
        <v>1</v>
      </c>
      <c r="P485" s="962"/>
      <c r="Q485" s="53">
        <f t="shared" si="87"/>
        <v>1</v>
      </c>
      <c r="R485" s="489">
        <f t="shared" si="88"/>
        <v>0</v>
      </c>
      <c r="S485" s="798">
        <f t="shared" si="79"/>
        <v>0</v>
      </c>
    </row>
    <row r="486" spans="1:19">
      <c r="A486" s="964"/>
      <c r="B486" s="137"/>
      <c r="C486" s="53">
        <f t="shared" si="80"/>
        <v>1</v>
      </c>
      <c r="D486" s="962"/>
      <c r="E486" s="53">
        <f t="shared" si="81"/>
        <v>1</v>
      </c>
      <c r="F486" s="962"/>
      <c r="G486" s="53">
        <f t="shared" si="82"/>
        <v>1</v>
      </c>
      <c r="H486" s="962"/>
      <c r="I486" s="53">
        <f t="shared" si="83"/>
        <v>1</v>
      </c>
      <c r="J486" s="962"/>
      <c r="K486" s="53">
        <f t="shared" si="84"/>
        <v>1</v>
      </c>
      <c r="L486" s="962"/>
      <c r="M486" s="53">
        <f t="shared" si="85"/>
        <v>1</v>
      </c>
      <c r="N486" s="962"/>
      <c r="O486" s="53">
        <f t="shared" si="86"/>
        <v>1</v>
      </c>
      <c r="P486" s="962"/>
      <c r="Q486" s="53">
        <f t="shared" si="87"/>
        <v>1</v>
      </c>
      <c r="R486" s="489">
        <f t="shared" si="88"/>
        <v>0</v>
      </c>
      <c r="S486" s="798">
        <f t="shared" si="79"/>
        <v>0</v>
      </c>
    </row>
    <row r="487" spans="1:19">
      <c r="A487" s="964"/>
      <c r="B487" s="137"/>
      <c r="C487" s="53">
        <f t="shared" si="80"/>
        <v>1</v>
      </c>
      <c r="D487" s="962"/>
      <c r="E487" s="53">
        <f t="shared" si="81"/>
        <v>1</v>
      </c>
      <c r="F487" s="962"/>
      <c r="G487" s="53">
        <f t="shared" si="82"/>
        <v>1</v>
      </c>
      <c r="H487" s="962"/>
      <c r="I487" s="53">
        <f t="shared" si="83"/>
        <v>1</v>
      </c>
      <c r="J487" s="962"/>
      <c r="K487" s="53">
        <f t="shared" si="84"/>
        <v>1</v>
      </c>
      <c r="L487" s="962"/>
      <c r="M487" s="53">
        <f t="shared" si="85"/>
        <v>1</v>
      </c>
      <c r="N487" s="962"/>
      <c r="O487" s="53">
        <f t="shared" si="86"/>
        <v>1</v>
      </c>
      <c r="P487" s="962"/>
      <c r="Q487" s="53">
        <f t="shared" si="87"/>
        <v>1</v>
      </c>
      <c r="R487" s="489">
        <f t="shared" si="88"/>
        <v>0</v>
      </c>
      <c r="S487" s="798">
        <f t="shared" si="79"/>
        <v>0</v>
      </c>
    </row>
    <row r="488" spans="1:19">
      <c r="A488" s="964"/>
      <c r="B488" s="137"/>
      <c r="C488" s="53">
        <f t="shared" si="80"/>
        <v>1</v>
      </c>
      <c r="D488" s="962"/>
      <c r="E488" s="53">
        <f t="shared" si="81"/>
        <v>1</v>
      </c>
      <c r="F488" s="962"/>
      <c r="G488" s="53">
        <f t="shared" si="82"/>
        <v>1</v>
      </c>
      <c r="H488" s="962"/>
      <c r="I488" s="53">
        <f t="shared" si="83"/>
        <v>1</v>
      </c>
      <c r="J488" s="962"/>
      <c r="K488" s="53">
        <f t="shared" si="84"/>
        <v>1</v>
      </c>
      <c r="L488" s="962"/>
      <c r="M488" s="53">
        <f t="shared" si="85"/>
        <v>1</v>
      </c>
      <c r="N488" s="962"/>
      <c r="O488" s="53">
        <f t="shared" si="86"/>
        <v>1</v>
      </c>
      <c r="P488" s="962"/>
      <c r="Q488" s="53">
        <f t="shared" si="87"/>
        <v>1</v>
      </c>
      <c r="R488" s="489">
        <f t="shared" si="88"/>
        <v>0</v>
      </c>
      <c r="S488" s="798">
        <f t="shared" si="79"/>
        <v>0</v>
      </c>
    </row>
    <row r="489" spans="1:19">
      <c r="A489" s="964"/>
      <c r="B489" s="137"/>
      <c r="C489" s="53">
        <f t="shared" si="80"/>
        <v>1</v>
      </c>
      <c r="D489" s="962"/>
      <c r="E489" s="53">
        <f t="shared" si="81"/>
        <v>1</v>
      </c>
      <c r="F489" s="962"/>
      <c r="G489" s="53">
        <f t="shared" si="82"/>
        <v>1</v>
      </c>
      <c r="H489" s="962"/>
      <c r="I489" s="53">
        <f t="shared" si="83"/>
        <v>1</v>
      </c>
      <c r="J489" s="962"/>
      <c r="K489" s="53">
        <f t="shared" si="84"/>
        <v>1</v>
      </c>
      <c r="L489" s="962"/>
      <c r="M489" s="53">
        <f t="shared" si="85"/>
        <v>1</v>
      </c>
      <c r="N489" s="962"/>
      <c r="O489" s="53">
        <f t="shared" si="86"/>
        <v>1</v>
      </c>
      <c r="P489" s="962"/>
      <c r="Q489" s="53">
        <f t="shared" si="87"/>
        <v>1</v>
      </c>
      <c r="R489" s="489">
        <f t="shared" si="88"/>
        <v>0</v>
      </c>
      <c r="S489" s="798">
        <f t="shared" si="79"/>
        <v>0</v>
      </c>
    </row>
    <row r="490" spans="1:19">
      <c r="A490" s="964"/>
      <c r="B490" s="137"/>
      <c r="C490" s="53">
        <f t="shared" si="80"/>
        <v>1</v>
      </c>
      <c r="D490" s="962"/>
      <c r="E490" s="53">
        <f t="shared" si="81"/>
        <v>1</v>
      </c>
      <c r="F490" s="962"/>
      <c r="G490" s="53">
        <f t="shared" si="82"/>
        <v>1</v>
      </c>
      <c r="H490" s="962"/>
      <c r="I490" s="53">
        <f t="shared" si="83"/>
        <v>1</v>
      </c>
      <c r="J490" s="962"/>
      <c r="K490" s="53">
        <f t="shared" si="84"/>
        <v>1</v>
      </c>
      <c r="L490" s="962"/>
      <c r="M490" s="53">
        <f t="shared" si="85"/>
        <v>1</v>
      </c>
      <c r="N490" s="962"/>
      <c r="O490" s="53">
        <f t="shared" si="86"/>
        <v>1</v>
      </c>
      <c r="P490" s="962"/>
      <c r="Q490" s="53">
        <f t="shared" si="87"/>
        <v>1</v>
      </c>
      <c r="R490" s="489">
        <f t="shared" si="88"/>
        <v>0</v>
      </c>
      <c r="S490" s="798">
        <f t="shared" si="79"/>
        <v>0</v>
      </c>
    </row>
    <row r="491" spans="1:19">
      <c r="A491" s="964"/>
      <c r="B491" s="137"/>
      <c r="C491" s="53">
        <f t="shared" si="80"/>
        <v>1</v>
      </c>
      <c r="D491" s="962"/>
      <c r="E491" s="53">
        <f t="shared" si="81"/>
        <v>1</v>
      </c>
      <c r="F491" s="962"/>
      <c r="G491" s="53">
        <f t="shared" si="82"/>
        <v>1</v>
      </c>
      <c r="H491" s="962"/>
      <c r="I491" s="53">
        <f t="shared" si="83"/>
        <v>1</v>
      </c>
      <c r="J491" s="962"/>
      <c r="K491" s="53">
        <f t="shared" si="84"/>
        <v>1</v>
      </c>
      <c r="L491" s="962"/>
      <c r="M491" s="53">
        <f t="shared" si="85"/>
        <v>1</v>
      </c>
      <c r="N491" s="962"/>
      <c r="O491" s="53">
        <f t="shared" si="86"/>
        <v>1</v>
      </c>
      <c r="P491" s="962"/>
      <c r="Q491" s="53">
        <f t="shared" si="87"/>
        <v>1</v>
      </c>
      <c r="R491" s="489">
        <f t="shared" si="88"/>
        <v>0</v>
      </c>
      <c r="S491" s="798">
        <f t="shared" si="79"/>
        <v>0</v>
      </c>
    </row>
    <row r="492" spans="1:19">
      <c r="A492" s="964"/>
      <c r="B492" s="137"/>
      <c r="C492" s="53">
        <f t="shared" si="80"/>
        <v>1</v>
      </c>
      <c r="D492" s="962"/>
      <c r="E492" s="53">
        <f t="shared" si="81"/>
        <v>1</v>
      </c>
      <c r="F492" s="962"/>
      <c r="G492" s="53">
        <f t="shared" si="82"/>
        <v>1</v>
      </c>
      <c r="H492" s="962"/>
      <c r="I492" s="53">
        <f t="shared" si="83"/>
        <v>1</v>
      </c>
      <c r="J492" s="962"/>
      <c r="K492" s="53">
        <f t="shared" si="84"/>
        <v>1</v>
      </c>
      <c r="L492" s="962"/>
      <c r="M492" s="53">
        <f t="shared" si="85"/>
        <v>1</v>
      </c>
      <c r="N492" s="962"/>
      <c r="O492" s="53">
        <f t="shared" si="86"/>
        <v>1</v>
      </c>
      <c r="P492" s="962"/>
      <c r="Q492" s="53">
        <f t="shared" si="87"/>
        <v>1</v>
      </c>
      <c r="R492" s="489">
        <f t="shared" si="88"/>
        <v>0</v>
      </c>
      <c r="S492" s="798">
        <f t="shared" si="79"/>
        <v>0</v>
      </c>
    </row>
    <row r="493" spans="1:19">
      <c r="A493" s="964"/>
      <c r="B493" s="137"/>
      <c r="C493" s="53">
        <f t="shared" si="80"/>
        <v>1</v>
      </c>
      <c r="D493" s="962"/>
      <c r="E493" s="53">
        <f t="shared" si="81"/>
        <v>1</v>
      </c>
      <c r="F493" s="962"/>
      <c r="G493" s="53">
        <f t="shared" si="82"/>
        <v>1</v>
      </c>
      <c r="H493" s="962"/>
      <c r="I493" s="53">
        <f t="shared" si="83"/>
        <v>1</v>
      </c>
      <c r="J493" s="962"/>
      <c r="K493" s="53">
        <f t="shared" si="84"/>
        <v>1</v>
      </c>
      <c r="L493" s="962"/>
      <c r="M493" s="53">
        <f t="shared" si="85"/>
        <v>1</v>
      </c>
      <c r="N493" s="962"/>
      <c r="O493" s="53">
        <f t="shared" si="86"/>
        <v>1</v>
      </c>
      <c r="P493" s="962"/>
      <c r="Q493" s="53">
        <f t="shared" si="87"/>
        <v>1</v>
      </c>
      <c r="R493" s="489">
        <f t="shared" si="88"/>
        <v>0</v>
      </c>
      <c r="S493" s="798">
        <f t="shared" si="79"/>
        <v>0</v>
      </c>
    </row>
    <row r="494" spans="1:19">
      <c r="A494" s="964"/>
      <c r="B494" s="137"/>
      <c r="C494" s="53">
        <f t="shared" si="80"/>
        <v>1</v>
      </c>
      <c r="D494" s="962"/>
      <c r="E494" s="53">
        <f t="shared" si="81"/>
        <v>1</v>
      </c>
      <c r="F494" s="962"/>
      <c r="G494" s="53">
        <f t="shared" si="82"/>
        <v>1</v>
      </c>
      <c r="H494" s="962"/>
      <c r="I494" s="53">
        <f t="shared" si="83"/>
        <v>1</v>
      </c>
      <c r="J494" s="962"/>
      <c r="K494" s="53">
        <f t="shared" si="84"/>
        <v>1</v>
      </c>
      <c r="L494" s="962"/>
      <c r="M494" s="53">
        <f t="shared" si="85"/>
        <v>1</v>
      </c>
      <c r="N494" s="962"/>
      <c r="O494" s="53">
        <f t="shared" si="86"/>
        <v>1</v>
      </c>
      <c r="P494" s="962"/>
      <c r="Q494" s="53">
        <f t="shared" si="87"/>
        <v>1</v>
      </c>
      <c r="R494" s="489">
        <f t="shared" si="88"/>
        <v>0</v>
      </c>
      <c r="S494" s="798">
        <f t="shared" si="79"/>
        <v>0</v>
      </c>
    </row>
    <row r="495" spans="1:19">
      <c r="A495" s="964"/>
      <c r="B495" s="137"/>
      <c r="C495" s="53">
        <f t="shared" si="80"/>
        <v>1</v>
      </c>
      <c r="D495" s="962"/>
      <c r="E495" s="53">
        <f t="shared" si="81"/>
        <v>1</v>
      </c>
      <c r="F495" s="962"/>
      <c r="G495" s="53">
        <f t="shared" si="82"/>
        <v>1</v>
      </c>
      <c r="H495" s="962"/>
      <c r="I495" s="53">
        <f t="shared" si="83"/>
        <v>1</v>
      </c>
      <c r="J495" s="962"/>
      <c r="K495" s="53">
        <f t="shared" si="84"/>
        <v>1</v>
      </c>
      <c r="L495" s="962"/>
      <c r="M495" s="53">
        <f t="shared" si="85"/>
        <v>1</v>
      </c>
      <c r="N495" s="962"/>
      <c r="O495" s="53">
        <f t="shared" si="86"/>
        <v>1</v>
      </c>
      <c r="P495" s="962"/>
      <c r="Q495" s="53">
        <f t="shared" si="87"/>
        <v>1</v>
      </c>
      <c r="R495" s="489">
        <f t="shared" si="88"/>
        <v>0</v>
      </c>
      <c r="S495" s="798">
        <f t="shared" si="79"/>
        <v>0</v>
      </c>
    </row>
    <row r="496" spans="1:19">
      <c r="A496" s="964"/>
      <c r="B496" s="137"/>
      <c r="C496" s="53">
        <f t="shared" si="80"/>
        <v>1</v>
      </c>
      <c r="D496" s="962"/>
      <c r="E496" s="53">
        <f t="shared" si="81"/>
        <v>1</v>
      </c>
      <c r="F496" s="962"/>
      <c r="G496" s="53">
        <f t="shared" si="82"/>
        <v>1</v>
      </c>
      <c r="H496" s="962"/>
      <c r="I496" s="53">
        <f t="shared" si="83"/>
        <v>1</v>
      </c>
      <c r="J496" s="962"/>
      <c r="K496" s="53">
        <f t="shared" si="84"/>
        <v>1</v>
      </c>
      <c r="L496" s="962"/>
      <c r="M496" s="53">
        <f t="shared" si="85"/>
        <v>1</v>
      </c>
      <c r="N496" s="962"/>
      <c r="O496" s="53">
        <f t="shared" si="86"/>
        <v>1</v>
      </c>
      <c r="P496" s="962"/>
      <c r="Q496" s="53">
        <f t="shared" si="87"/>
        <v>1</v>
      </c>
      <c r="R496" s="489">
        <f t="shared" si="88"/>
        <v>0</v>
      </c>
      <c r="S496" s="798">
        <f t="shared" si="79"/>
        <v>0</v>
      </c>
    </row>
    <row r="497" spans="1:19">
      <c r="A497" s="964"/>
      <c r="B497" s="137"/>
      <c r="C497" s="53">
        <f t="shared" si="80"/>
        <v>1</v>
      </c>
      <c r="D497" s="962"/>
      <c r="E497" s="53">
        <f t="shared" si="81"/>
        <v>1</v>
      </c>
      <c r="F497" s="962"/>
      <c r="G497" s="53">
        <f t="shared" si="82"/>
        <v>1</v>
      </c>
      <c r="H497" s="962"/>
      <c r="I497" s="53">
        <f t="shared" si="83"/>
        <v>1</v>
      </c>
      <c r="J497" s="962"/>
      <c r="K497" s="53">
        <f t="shared" si="84"/>
        <v>1</v>
      </c>
      <c r="L497" s="962"/>
      <c r="M497" s="53">
        <f t="shared" si="85"/>
        <v>1</v>
      </c>
      <c r="N497" s="962"/>
      <c r="O497" s="53">
        <f t="shared" si="86"/>
        <v>1</v>
      </c>
      <c r="P497" s="962"/>
      <c r="Q497" s="53">
        <f t="shared" si="87"/>
        <v>1</v>
      </c>
      <c r="R497" s="489">
        <f t="shared" si="88"/>
        <v>0</v>
      </c>
      <c r="S497" s="798">
        <f t="shared" si="79"/>
        <v>0</v>
      </c>
    </row>
    <row r="498" spans="1:19">
      <c r="A498" s="964"/>
      <c r="B498" s="137"/>
      <c r="C498" s="53">
        <f t="shared" si="80"/>
        <v>1</v>
      </c>
      <c r="D498" s="962"/>
      <c r="E498" s="53">
        <f t="shared" si="81"/>
        <v>1</v>
      </c>
      <c r="F498" s="962"/>
      <c r="G498" s="53">
        <f t="shared" si="82"/>
        <v>1</v>
      </c>
      <c r="H498" s="962"/>
      <c r="I498" s="53">
        <f t="shared" si="83"/>
        <v>1</v>
      </c>
      <c r="J498" s="962"/>
      <c r="K498" s="53">
        <f t="shared" si="84"/>
        <v>1</v>
      </c>
      <c r="L498" s="962"/>
      <c r="M498" s="53">
        <f t="shared" si="85"/>
        <v>1</v>
      </c>
      <c r="N498" s="962"/>
      <c r="O498" s="53">
        <f t="shared" si="86"/>
        <v>1</v>
      </c>
      <c r="P498" s="962"/>
      <c r="Q498" s="53">
        <f t="shared" si="87"/>
        <v>1</v>
      </c>
      <c r="R498" s="489">
        <f t="shared" si="88"/>
        <v>0</v>
      </c>
      <c r="S498" s="798">
        <f t="shared" ref="S498:S524" si="89">ROUND(R498*B498/10000,0)</f>
        <v>0</v>
      </c>
    </row>
    <row r="499" spans="1:19">
      <c r="A499" s="964"/>
      <c r="B499" s="137"/>
      <c r="C499" s="53">
        <f t="shared" si="80"/>
        <v>1</v>
      </c>
      <c r="D499" s="962"/>
      <c r="E499" s="53">
        <f t="shared" si="81"/>
        <v>1</v>
      </c>
      <c r="F499" s="962"/>
      <c r="G499" s="53">
        <f t="shared" si="82"/>
        <v>1</v>
      </c>
      <c r="H499" s="962"/>
      <c r="I499" s="53">
        <f t="shared" si="83"/>
        <v>1</v>
      </c>
      <c r="J499" s="962"/>
      <c r="K499" s="53">
        <f t="shared" si="84"/>
        <v>1</v>
      </c>
      <c r="L499" s="962"/>
      <c r="M499" s="53">
        <f t="shared" si="85"/>
        <v>1</v>
      </c>
      <c r="N499" s="962"/>
      <c r="O499" s="53">
        <f t="shared" si="86"/>
        <v>1</v>
      </c>
      <c r="P499" s="962"/>
      <c r="Q499" s="53">
        <f t="shared" si="87"/>
        <v>1</v>
      </c>
      <c r="R499" s="489">
        <f t="shared" si="88"/>
        <v>0</v>
      </c>
      <c r="S499" s="798">
        <f t="shared" si="89"/>
        <v>0</v>
      </c>
    </row>
    <row r="500" spans="1:19">
      <c r="A500" s="964"/>
      <c r="B500" s="137"/>
      <c r="C500" s="53">
        <f t="shared" si="80"/>
        <v>1</v>
      </c>
      <c r="D500" s="962"/>
      <c r="E500" s="53">
        <f t="shared" si="81"/>
        <v>1</v>
      </c>
      <c r="F500" s="962"/>
      <c r="G500" s="53">
        <f t="shared" si="82"/>
        <v>1</v>
      </c>
      <c r="H500" s="962"/>
      <c r="I500" s="53">
        <f t="shared" si="83"/>
        <v>1</v>
      </c>
      <c r="J500" s="962"/>
      <c r="K500" s="53">
        <f t="shared" si="84"/>
        <v>1</v>
      </c>
      <c r="L500" s="962"/>
      <c r="M500" s="53">
        <f t="shared" si="85"/>
        <v>1</v>
      </c>
      <c r="N500" s="962"/>
      <c r="O500" s="53">
        <f t="shared" si="86"/>
        <v>1</v>
      </c>
      <c r="P500" s="962"/>
      <c r="Q500" s="53">
        <f t="shared" si="87"/>
        <v>1</v>
      </c>
      <c r="R500" s="489">
        <f t="shared" si="88"/>
        <v>0</v>
      </c>
      <c r="S500" s="798">
        <f t="shared" si="89"/>
        <v>0</v>
      </c>
    </row>
    <row r="501" spans="1:19">
      <c r="A501" s="964"/>
      <c r="B501" s="137"/>
      <c r="C501" s="53">
        <f t="shared" si="80"/>
        <v>1</v>
      </c>
      <c r="D501" s="962"/>
      <c r="E501" s="53">
        <f t="shared" si="81"/>
        <v>1</v>
      </c>
      <c r="F501" s="962"/>
      <c r="G501" s="53">
        <f t="shared" si="82"/>
        <v>1</v>
      </c>
      <c r="H501" s="962"/>
      <c r="I501" s="53">
        <f t="shared" si="83"/>
        <v>1</v>
      </c>
      <c r="J501" s="962"/>
      <c r="K501" s="53">
        <f t="shared" si="84"/>
        <v>1</v>
      </c>
      <c r="L501" s="962"/>
      <c r="M501" s="53">
        <f t="shared" si="85"/>
        <v>1</v>
      </c>
      <c r="N501" s="962"/>
      <c r="O501" s="53">
        <f t="shared" si="86"/>
        <v>1</v>
      </c>
      <c r="P501" s="962"/>
      <c r="Q501" s="53">
        <f t="shared" si="87"/>
        <v>1</v>
      </c>
      <c r="R501" s="489">
        <f t="shared" si="88"/>
        <v>0</v>
      </c>
      <c r="S501" s="798">
        <f t="shared" si="89"/>
        <v>0</v>
      </c>
    </row>
    <row r="502" spans="1:19">
      <c r="A502" s="964"/>
      <c r="B502" s="137"/>
      <c r="C502" s="53">
        <f t="shared" si="80"/>
        <v>1</v>
      </c>
      <c r="D502" s="962"/>
      <c r="E502" s="53">
        <f t="shared" si="81"/>
        <v>1</v>
      </c>
      <c r="F502" s="962"/>
      <c r="G502" s="53">
        <f t="shared" si="82"/>
        <v>1</v>
      </c>
      <c r="H502" s="962"/>
      <c r="I502" s="53">
        <f t="shared" si="83"/>
        <v>1</v>
      </c>
      <c r="J502" s="962"/>
      <c r="K502" s="53">
        <f t="shared" si="84"/>
        <v>1</v>
      </c>
      <c r="L502" s="962"/>
      <c r="M502" s="53">
        <f t="shared" si="85"/>
        <v>1</v>
      </c>
      <c r="N502" s="962"/>
      <c r="O502" s="53">
        <f t="shared" si="86"/>
        <v>1</v>
      </c>
      <c r="P502" s="962"/>
      <c r="Q502" s="53">
        <f t="shared" si="87"/>
        <v>1</v>
      </c>
      <c r="R502" s="489">
        <f t="shared" si="88"/>
        <v>0</v>
      </c>
      <c r="S502" s="798">
        <f t="shared" si="89"/>
        <v>0</v>
      </c>
    </row>
    <row r="503" spans="1:19">
      <c r="A503" s="964"/>
      <c r="B503" s="137"/>
      <c r="C503" s="53">
        <f t="shared" si="80"/>
        <v>1</v>
      </c>
      <c r="D503" s="962"/>
      <c r="E503" s="53">
        <f t="shared" si="81"/>
        <v>1</v>
      </c>
      <c r="F503" s="962"/>
      <c r="G503" s="53">
        <f t="shared" si="82"/>
        <v>1</v>
      </c>
      <c r="H503" s="962"/>
      <c r="I503" s="53">
        <f t="shared" si="83"/>
        <v>1</v>
      </c>
      <c r="J503" s="962"/>
      <c r="K503" s="53">
        <f t="shared" si="84"/>
        <v>1</v>
      </c>
      <c r="L503" s="962"/>
      <c r="M503" s="53">
        <f t="shared" si="85"/>
        <v>1</v>
      </c>
      <c r="N503" s="962"/>
      <c r="O503" s="53">
        <f t="shared" si="86"/>
        <v>1</v>
      </c>
      <c r="P503" s="962"/>
      <c r="Q503" s="53">
        <f t="shared" si="87"/>
        <v>1</v>
      </c>
      <c r="R503" s="489">
        <f t="shared" si="88"/>
        <v>0</v>
      </c>
      <c r="S503" s="798">
        <f t="shared" si="89"/>
        <v>0</v>
      </c>
    </row>
    <row r="504" spans="1:19">
      <c r="A504" s="964"/>
      <c r="B504" s="137"/>
      <c r="C504" s="53">
        <f t="shared" si="80"/>
        <v>1</v>
      </c>
      <c r="D504" s="962"/>
      <c r="E504" s="53">
        <f t="shared" si="81"/>
        <v>1</v>
      </c>
      <c r="F504" s="962"/>
      <c r="G504" s="53">
        <f t="shared" si="82"/>
        <v>1</v>
      </c>
      <c r="H504" s="962"/>
      <c r="I504" s="53">
        <f t="shared" si="83"/>
        <v>1</v>
      </c>
      <c r="J504" s="962"/>
      <c r="K504" s="53">
        <f t="shared" si="84"/>
        <v>1</v>
      </c>
      <c r="L504" s="962"/>
      <c r="M504" s="53">
        <f t="shared" si="85"/>
        <v>1</v>
      </c>
      <c r="N504" s="962"/>
      <c r="O504" s="53">
        <f t="shared" si="86"/>
        <v>1</v>
      </c>
      <c r="P504" s="962"/>
      <c r="Q504" s="53">
        <f t="shared" si="87"/>
        <v>1</v>
      </c>
      <c r="R504" s="489">
        <f t="shared" si="88"/>
        <v>0</v>
      </c>
      <c r="S504" s="798">
        <f t="shared" si="89"/>
        <v>0</v>
      </c>
    </row>
    <row r="505" spans="1:19">
      <c r="A505" s="964"/>
      <c r="B505" s="137"/>
      <c r="C505" s="53">
        <f t="shared" si="80"/>
        <v>1</v>
      </c>
      <c r="D505" s="962"/>
      <c r="E505" s="53">
        <f t="shared" si="81"/>
        <v>1</v>
      </c>
      <c r="F505" s="962"/>
      <c r="G505" s="53">
        <f t="shared" si="82"/>
        <v>1</v>
      </c>
      <c r="H505" s="962"/>
      <c r="I505" s="53">
        <f t="shared" si="83"/>
        <v>1</v>
      </c>
      <c r="J505" s="962"/>
      <c r="K505" s="53">
        <f t="shared" si="84"/>
        <v>1</v>
      </c>
      <c r="L505" s="962"/>
      <c r="M505" s="53">
        <f t="shared" si="85"/>
        <v>1</v>
      </c>
      <c r="N505" s="962"/>
      <c r="O505" s="53">
        <f t="shared" si="86"/>
        <v>1</v>
      </c>
      <c r="P505" s="962"/>
      <c r="Q505" s="53">
        <f t="shared" si="87"/>
        <v>1</v>
      </c>
      <c r="R505" s="489">
        <f t="shared" si="88"/>
        <v>0</v>
      </c>
      <c r="S505" s="798">
        <f t="shared" si="89"/>
        <v>0</v>
      </c>
    </row>
    <row r="506" spans="1:19">
      <c r="A506" s="964"/>
      <c r="B506" s="137"/>
      <c r="C506" s="53">
        <f t="shared" si="80"/>
        <v>1</v>
      </c>
      <c r="D506" s="962"/>
      <c r="E506" s="53">
        <f t="shared" si="81"/>
        <v>1</v>
      </c>
      <c r="F506" s="962"/>
      <c r="G506" s="53">
        <f t="shared" si="82"/>
        <v>1</v>
      </c>
      <c r="H506" s="962"/>
      <c r="I506" s="53">
        <f t="shared" si="83"/>
        <v>1</v>
      </c>
      <c r="J506" s="962"/>
      <c r="K506" s="53">
        <f t="shared" si="84"/>
        <v>1</v>
      </c>
      <c r="L506" s="962"/>
      <c r="M506" s="53">
        <f t="shared" si="85"/>
        <v>1</v>
      </c>
      <c r="N506" s="962"/>
      <c r="O506" s="53">
        <f t="shared" si="86"/>
        <v>1</v>
      </c>
      <c r="P506" s="962"/>
      <c r="Q506" s="53">
        <f t="shared" si="87"/>
        <v>1</v>
      </c>
      <c r="R506" s="489">
        <f t="shared" si="88"/>
        <v>0</v>
      </c>
      <c r="S506" s="798">
        <f t="shared" si="89"/>
        <v>0</v>
      </c>
    </row>
    <row r="507" spans="1:19">
      <c r="A507" s="964"/>
      <c r="B507" s="137"/>
      <c r="C507" s="53">
        <f t="shared" si="80"/>
        <v>1</v>
      </c>
      <c r="D507" s="962"/>
      <c r="E507" s="53">
        <f t="shared" si="81"/>
        <v>1</v>
      </c>
      <c r="F507" s="962"/>
      <c r="G507" s="53">
        <f t="shared" si="82"/>
        <v>1</v>
      </c>
      <c r="H507" s="962"/>
      <c r="I507" s="53">
        <f t="shared" si="83"/>
        <v>1</v>
      </c>
      <c r="J507" s="962"/>
      <c r="K507" s="53">
        <f t="shared" si="84"/>
        <v>1</v>
      </c>
      <c r="L507" s="962"/>
      <c r="M507" s="53">
        <f t="shared" si="85"/>
        <v>1</v>
      </c>
      <c r="N507" s="962"/>
      <c r="O507" s="53">
        <f t="shared" si="86"/>
        <v>1</v>
      </c>
      <c r="P507" s="962"/>
      <c r="Q507" s="53">
        <f t="shared" si="87"/>
        <v>1</v>
      </c>
      <c r="R507" s="489">
        <f t="shared" si="88"/>
        <v>0</v>
      </c>
      <c r="S507" s="798">
        <f t="shared" si="89"/>
        <v>0</v>
      </c>
    </row>
    <row r="508" spans="1:19">
      <c r="A508" s="964"/>
      <c r="B508" s="137"/>
      <c r="C508" s="53">
        <f t="shared" si="80"/>
        <v>1</v>
      </c>
      <c r="D508" s="962"/>
      <c r="E508" s="53">
        <f t="shared" si="81"/>
        <v>1</v>
      </c>
      <c r="F508" s="962"/>
      <c r="G508" s="53">
        <f t="shared" si="82"/>
        <v>1</v>
      </c>
      <c r="H508" s="962"/>
      <c r="I508" s="53">
        <f t="shared" si="83"/>
        <v>1</v>
      </c>
      <c r="J508" s="962"/>
      <c r="K508" s="53">
        <f t="shared" si="84"/>
        <v>1</v>
      </c>
      <c r="L508" s="962"/>
      <c r="M508" s="53">
        <f t="shared" si="85"/>
        <v>1</v>
      </c>
      <c r="N508" s="962"/>
      <c r="O508" s="53">
        <f t="shared" si="86"/>
        <v>1</v>
      </c>
      <c r="P508" s="962"/>
      <c r="Q508" s="53">
        <f t="shared" si="87"/>
        <v>1</v>
      </c>
      <c r="R508" s="489">
        <f t="shared" si="88"/>
        <v>0</v>
      </c>
      <c r="S508" s="798">
        <f t="shared" si="89"/>
        <v>0</v>
      </c>
    </row>
    <row r="509" spans="1:19">
      <c r="A509" s="964"/>
      <c r="B509" s="137"/>
      <c r="C509" s="53">
        <f t="shared" si="80"/>
        <v>1</v>
      </c>
      <c r="D509" s="962"/>
      <c r="E509" s="53">
        <f t="shared" si="81"/>
        <v>1</v>
      </c>
      <c r="F509" s="962"/>
      <c r="G509" s="53">
        <f t="shared" si="82"/>
        <v>1</v>
      </c>
      <c r="H509" s="962"/>
      <c r="I509" s="53">
        <f t="shared" si="83"/>
        <v>1</v>
      </c>
      <c r="J509" s="962"/>
      <c r="K509" s="53">
        <f t="shared" si="84"/>
        <v>1</v>
      </c>
      <c r="L509" s="962"/>
      <c r="M509" s="53">
        <f t="shared" si="85"/>
        <v>1</v>
      </c>
      <c r="N509" s="962"/>
      <c r="O509" s="53">
        <f t="shared" si="86"/>
        <v>1</v>
      </c>
      <c r="P509" s="962"/>
      <c r="Q509" s="53">
        <f t="shared" si="87"/>
        <v>1</v>
      </c>
      <c r="R509" s="489">
        <f t="shared" si="88"/>
        <v>0</v>
      </c>
      <c r="S509" s="798">
        <f t="shared" si="89"/>
        <v>0</v>
      </c>
    </row>
    <row r="510" spans="1:19">
      <c r="A510" s="964"/>
      <c r="B510" s="137"/>
      <c r="C510" s="53">
        <f t="shared" si="80"/>
        <v>1</v>
      </c>
      <c r="D510" s="962"/>
      <c r="E510" s="53">
        <f t="shared" si="81"/>
        <v>1</v>
      </c>
      <c r="F510" s="962"/>
      <c r="G510" s="53">
        <f t="shared" si="82"/>
        <v>1</v>
      </c>
      <c r="H510" s="962"/>
      <c r="I510" s="53">
        <f t="shared" si="83"/>
        <v>1</v>
      </c>
      <c r="J510" s="962"/>
      <c r="K510" s="53">
        <f t="shared" si="84"/>
        <v>1</v>
      </c>
      <c r="L510" s="962"/>
      <c r="M510" s="53">
        <f t="shared" si="85"/>
        <v>1</v>
      </c>
      <c r="N510" s="962"/>
      <c r="O510" s="53">
        <f t="shared" si="86"/>
        <v>1</v>
      </c>
      <c r="P510" s="962"/>
      <c r="Q510" s="53">
        <f t="shared" si="87"/>
        <v>1</v>
      </c>
      <c r="R510" s="489">
        <f t="shared" si="88"/>
        <v>0</v>
      </c>
      <c r="S510" s="798">
        <f t="shared" si="89"/>
        <v>0</v>
      </c>
    </row>
    <row r="511" spans="1:19">
      <c r="A511" s="964"/>
      <c r="B511" s="137"/>
      <c r="C511" s="53">
        <f t="shared" si="80"/>
        <v>1</v>
      </c>
      <c r="D511" s="962"/>
      <c r="E511" s="53">
        <f t="shared" si="81"/>
        <v>1</v>
      </c>
      <c r="F511" s="962"/>
      <c r="G511" s="53">
        <f t="shared" si="82"/>
        <v>1</v>
      </c>
      <c r="H511" s="962"/>
      <c r="I511" s="53">
        <f t="shared" si="83"/>
        <v>1</v>
      </c>
      <c r="J511" s="962"/>
      <c r="K511" s="53">
        <f t="shared" si="84"/>
        <v>1</v>
      </c>
      <c r="L511" s="962"/>
      <c r="M511" s="53">
        <f t="shared" si="85"/>
        <v>1</v>
      </c>
      <c r="N511" s="962"/>
      <c r="O511" s="53">
        <f t="shared" si="86"/>
        <v>1</v>
      </c>
      <c r="P511" s="962"/>
      <c r="Q511" s="53">
        <f t="shared" si="87"/>
        <v>1</v>
      </c>
      <c r="R511" s="489">
        <f t="shared" si="88"/>
        <v>0</v>
      </c>
      <c r="S511" s="798">
        <f t="shared" si="89"/>
        <v>0</v>
      </c>
    </row>
    <row r="512" spans="1:19">
      <c r="A512" s="964"/>
      <c r="B512" s="137"/>
      <c r="C512" s="53">
        <f t="shared" si="80"/>
        <v>1</v>
      </c>
      <c r="D512" s="962"/>
      <c r="E512" s="53">
        <f t="shared" si="81"/>
        <v>1</v>
      </c>
      <c r="F512" s="962"/>
      <c r="G512" s="53">
        <f t="shared" si="82"/>
        <v>1</v>
      </c>
      <c r="H512" s="962"/>
      <c r="I512" s="53">
        <f t="shared" si="83"/>
        <v>1</v>
      </c>
      <c r="J512" s="962"/>
      <c r="K512" s="53">
        <f t="shared" si="84"/>
        <v>1</v>
      </c>
      <c r="L512" s="962"/>
      <c r="M512" s="53">
        <f t="shared" si="85"/>
        <v>1</v>
      </c>
      <c r="N512" s="962"/>
      <c r="O512" s="53">
        <f t="shared" si="86"/>
        <v>1</v>
      </c>
      <c r="P512" s="962"/>
      <c r="Q512" s="53">
        <f t="shared" si="87"/>
        <v>1</v>
      </c>
      <c r="R512" s="489">
        <f t="shared" si="88"/>
        <v>0</v>
      </c>
      <c r="S512" s="798">
        <f t="shared" si="89"/>
        <v>0</v>
      </c>
    </row>
    <row r="513" spans="1:19">
      <c r="A513" s="964"/>
      <c r="B513" s="137"/>
      <c r="C513" s="53">
        <f t="shared" si="80"/>
        <v>1</v>
      </c>
      <c r="D513" s="962"/>
      <c r="E513" s="53">
        <f t="shared" si="81"/>
        <v>1</v>
      </c>
      <c r="F513" s="962"/>
      <c r="G513" s="53">
        <f t="shared" si="82"/>
        <v>1</v>
      </c>
      <c r="H513" s="962"/>
      <c r="I513" s="53">
        <f t="shared" si="83"/>
        <v>1</v>
      </c>
      <c r="J513" s="962"/>
      <c r="K513" s="53">
        <f t="shared" si="84"/>
        <v>1</v>
      </c>
      <c r="L513" s="962"/>
      <c r="M513" s="53">
        <f t="shared" si="85"/>
        <v>1</v>
      </c>
      <c r="N513" s="962"/>
      <c r="O513" s="53">
        <f t="shared" si="86"/>
        <v>1</v>
      </c>
      <c r="P513" s="962"/>
      <c r="Q513" s="53">
        <f t="shared" si="87"/>
        <v>1</v>
      </c>
      <c r="R513" s="489">
        <f t="shared" si="88"/>
        <v>0</v>
      </c>
      <c r="S513" s="798">
        <f t="shared" si="89"/>
        <v>0</v>
      </c>
    </row>
    <row r="514" spans="1:19">
      <c r="A514" s="964"/>
      <c r="B514" s="137"/>
      <c r="C514" s="53">
        <f t="shared" si="80"/>
        <v>1</v>
      </c>
      <c r="D514" s="962"/>
      <c r="E514" s="53">
        <f t="shared" si="81"/>
        <v>1</v>
      </c>
      <c r="F514" s="962"/>
      <c r="G514" s="53">
        <f t="shared" si="82"/>
        <v>1</v>
      </c>
      <c r="H514" s="962"/>
      <c r="I514" s="53">
        <f t="shared" si="83"/>
        <v>1</v>
      </c>
      <c r="J514" s="962"/>
      <c r="K514" s="53">
        <f t="shared" si="84"/>
        <v>1</v>
      </c>
      <c r="L514" s="962"/>
      <c r="M514" s="53">
        <f t="shared" si="85"/>
        <v>1</v>
      </c>
      <c r="N514" s="962"/>
      <c r="O514" s="53">
        <f t="shared" si="86"/>
        <v>1</v>
      </c>
      <c r="P514" s="962"/>
      <c r="Q514" s="53">
        <f t="shared" si="87"/>
        <v>1</v>
      </c>
      <c r="R514" s="489">
        <f t="shared" si="88"/>
        <v>0</v>
      </c>
      <c r="S514" s="798">
        <f t="shared" si="89"/>
        <v>0</v>
      </c>
    </row>
    <row r="515" spans="1:19">
      <c r="A515" s="964"/>
      <c r="B515" s="137"/>
      <c r="C515" s="53">
        <f t="shared" si="80"/>
        <v>1</v>
      </c>
      <c r="D515" s="962"/>
      <c r="E515" s="53">
        <f t="shared" si="81"/>
        <v>1</v>
      </c>
      <c r="F515" s="962"/>
      <c r="G515" s="53">
        <f t="shared" si="82"/>
        <v>1</v>
      </c>
      <c r="H515" s="962"/>
      <c r="I515" s="53">
        <f t="shared" si="83"/>
        <v>1</v>
      </c>
      <c r="J515" s="962"/>
      <c r="K515" s="53">
        <f t="shared" si="84"/>
        <v>1</v>
      </c>
      <c r="L515" s="962"/>
      <c r="M515" s="53">
        <f t="shared" si="85"/>
        <v>1</v>
      </c>
      <c r="N515" s="962"/>
      <c r="O515" s="53">
        <f t="shared" si="86"/>
        <v>1</v>
      </c>
      <c r="P515" s="962"/>
      <c r="Q515" s="53">
        <f t="shared" si="87"/>
        <v>1</v>
      </c>
      <c r="R515" s="489">
        <f t="shared" si="88"/>
        <v>0</v>
      </c>
      <c r="S515" s="798">
        <f t="shared" si="89"/>
        <v>0</v>
      </c>
    </row>
    <row r="516" spans="1:19">
      <c r="A516" s="964"/>
      <c r="B516" s="137"/>
      <c r="C516" s="53">
        <f t="shared" si="80"/>
        <v>1</v>
      </c>
      <c r="D516" s="962"/>
      <c r="E516" s="53">
        <f t="shared" si="81"/>
        <v>1</v>
      </c>
      <c r="F516" s="962"/>
      <c r="G516" s="53">
        <f t="shared" si="82"/>
        <v>1</v>
      </c>
      <c r="H516" s="962"/>
      <c r="I516" s="53">
        <f t="shared" si="83"/>
        <v>1</v>
      </c>
      <c r="J516" s="962"/>
      <c r="K516" s="53">
        <f t="shared" si="84"/>
        <v>1</v>
      </c>
      <c r="L516" s="962"/>
      <c r="M516" s="53">
        <f t="shared" si="85"/>
        <v>1</v>
      </c>
      <c r="N516" s="962"/>
      <c r="O516" s="53">
        <f t="shared" si="86"/>
        <v>1</v>
      </c>
      <c r="P516" s="962"/>
      <c r="Q516" s="53">
        <f t="shared" si="87"/>
        <v>1</v>
      </c>
      <c r="R516" s="489">
        <f t="shared" si="88"/>
        <v>0</v>
      </c>
      <c r="S516" s="798">
        <f t="shared" si="89"/>
        <v>0</v>
      </c>
    </row>
    <row r="517" spans="1:19">
      <c r="A517" s="964"/>
      <c r="B517" s="137"/>
      <c r="C517" s="53">
        <f t="shared" si="80"/>
        <v>1</v>
      </c>
      <c r="D517" s="962"/>
      <c r="E517" s="53">
        <f t="shared" si="81"/>
        <v>1</v>
      </c>
      <c r="F517" s="962"/>
      <c r="G517" s="53">
        <f t="shared" si="82"/>
        <v>1</v>
      </c>
      <c r="H517" s="962"/>
      <c r="I517" s="53">
        <f t="shared" si="83"/>
        <v>1</v>
      </c>
      <c r="J517" s="962"/>
      <c r="K517" s="53">
        <f t="shared" si="84"/>
        <v>1</v>
      </c>
      <c r="L517" s="962"/>
      <c r="M517" s="53">
        <f t="shared" si="85"/>
        <v>1</v>
      </c>
      <c r="N517" s="962"/>
      <c r="O517" s="53">
        <f t="shared" si="86"/>
        <v>1</v>
      </c>
      <c r="P517" s="962"/>
      <c r="Q517" s="53">
        <f t="shared" si="87"/>
        <v>1</v>
      </c>
      <c r="R517" s="489">
        <f t="shared" si="88"/>
        <v>0</v>
      </c>
      <c r="S517" s="798">
        <f t="shared" si="89"/>
        <v>0</v>
      </c>
    </row>
    <row r="518" spans="1:19">
      <c r="A518" s="964"/>
      <c r="B518" s="137"/>
      <c r="C518" s="53">
        <f t="shared" si="80"/>
        <v>1</v>
      </c>
      <c r="D518" s="962"/>
      <c r="E518" s="53">
        <f t="shared" si="81"/>
        <v>1</v>
      </c>
      <c r="F518" s="962"/>
      <c r="G518" s="53">
        <f t="shared" si="82"/>
        <v>1</v>
      </c>
      <c r="H518" s="962"/>
      <c r="I518" s="53">
        <f t="shared" si="83"/>
        <v>1</v>
      </c>
      <c r="J518" s="962"/>
      <c r="K518" s="53">
        <f t="shared" si="84"/>
        <v>1</v>
      </c>
      <c r="L518" s="962"/>
      <c r="M518" s="53">
        <f t="shared" si="85"/>
        <v>1</v>
      </c>
      <c r="N518" s="962"/>
      <c r="O518" s="53">
        <f t="shared" si="86"/>
        <v>1</v>
      </c>
      <c r="P518" s="962"/>
      <c r="Q518" s="53">
        <f t="shared" si="87"/>
        <v>1</v>
      </c>
      <c r="R518" s="489">
        <f t="shared" si="88"/>
        <v>0</v>
      </c>
      <c r="S518" s="798">
        <f t="shared" si="89"/>
        <v>0</v>
      </c>
    </row>
    <row r="519" spans="1:19">
      <c r="A519" s="964"/>
      <c r="B519" s="137"/>
      <c r="C519" s="53">
        <f t="shared" si="80"/>
        <v>1</v>
      </c>
      <c r="D519" s="962"/>
      <c r="E519" s="53">
        <f t="shared" si="81"/>
        <v>1</v>
      </c>
      <c r="F519" s="962"/>
      <c r="G519" s="53">
        <f t="shared" si="82"/>
        <v>1</v>
      </c>
      <c r="H519" s="962"/>
      <c r="I519" s="53">
        <f t="shared" si="83"/>
        <v>1</v>
      </c>
      <c r="J519" s="962"/>
      <c r="K519" s="53">
        <f t="shared" si="84"/>
        <v>1</v>
      </c>
      <c r="L519" s="962"/>
      <c r="M519" s="53">
        <f t="shared" si="85"/>
        <v>1</v>
      </c>
      <c r="N519" s="962"/>
      <c r="O519" s="53">
        <f t="shared" si="86"/>
        <v>1</v>
      </c>
      <c r="P519" s="962"/>
      <c r="Q519" s="53">
        <f t="shared" si="87"/>
        <v>1</v>
      </c>
      <c r="R519" s="489">
        <f t="shared" si="88"/>
        <v>0</v>
      </c>
      <c r="S519" s="798">
        <f t="shared" si="89"/>
        <v>0</v>
      </c>
    </row>
    <row r="520" spans="1:19">
      <c r="A520" s="964"/>
      <c r="B520" s="137"/>
      <c r="C520" s="53">
        <f t="shared" si="80"/>
        <v>1</v>
      </c>
      <c r="D520" s="962"/>
      <c r="E520" s="53">
        <f t="shared" si="81"/>
        <v>1</v>
      </c>
      <c r="F520" s="962"/>
      <c r="G520" s="53">
        <f t="shared" si="82"/>
        <v>1</v>
      </c>
      <c r="H520" s="962"/>
      <c r="I520" s="53">
        <f t="shared" si="83"/>
        <v>1</v>
      </c>
      <c r="J520" s="962"/>
      <c r="K520" s="53">
        <f t="shared" si="84"/>
        <v>1</v>
      </c>
      <c r="L520" s="962"/>
      <c r="M520" s="53">
        <f t="shared" si="85"/>
        <v>1</v>
      </c>
      <c r="N520" s="962"/>
      <c r="O520" s="53">
        <f t="shared" si="86"/>
        <v>1</v>
      </c>
      <c r="P520" s="962"/>
      <c r="Q520" s="53">
        <f t="shared" si="87"/>
        <v>1</v>
      </c>
      <c r="R520" s="489">
        <f t="shared" si="88"/>
        <v>0</v>
      </c>
      <c r="S520" s="798">
        <f t="shared" si="89"/>
        <v>0</v>
      </c>
    </row>
    <row r="521" spans="1:19">
      <c r="A521" s="964"/>
      <c r="B521" s="137"/>
      <c r="C521" s="53">
        <f t="shared" si="80"/>
        <v>1</v>
      </c>
      <c r="D521" s="962"/>
      <c r="E521" s="53">
        <f t="shared" si="81"/>
        <v>1</v>
      </c>
      <c r="F521" s="962"/>
      <c r="G521" s="53">
        <f t="shared" si="82"/>
        <v>1</v>
      </c>
      <c r="H521" s="962"/>
      <c r="I521" s="53">
        <f t="shared" si="83"/>
        <v>1</v>
      </c>
      <c r="J521" s="962"/>
      <c r="K521" s="53">
        <f t="shared" si="84"/>
        <v>1</v>
      </c>
      <c r="L521" s="962"/>
      <c r="M521" s="53">
        <f t="shared" si="85"/>
        <v>1</v>
      </c>
      <c r="N521" s="962"/>
      <c r="O521" s="53">
        <f t="shared" si="86"/>
        <v>1</v>
      </c>
      <c r="P521" s="962"/>
      <c r="Q521" s="53">
        <f t="shared" si="87"/>
        <v>1</v>
      </c>
      <c r="R521" s="489">
        <f t="shared" si="88"/>
        <v>0</v>
      </c>
      <c r="S521" s="798">
        <f t="shared" si="89"/>
        <v>0</v>
      </c>
    </row>
    <row r="522" spans="1:19">
      <c r="A522" s="964"/>
      <c r="B522" s="137"/>
      <c r="C522" s="53">
        <f t="shared" si="80"/>
        <v>1</v>
      </c>
      <c r="D522" s="962"/>
      <c r="E522" s="53">
        <f t="shared" si="81"/>
        <v>1</v>
      </c>
      <c r="F522" s="962"/>
      <c r="G522" s="53">
        <f t="shared" si="82"/>
        <v>1</v>
      </c>
      <c r="H522" s="962"/>
      <c r="I522" s="53">
        <f t="shared" si="83"/>
        <v>1</v>
      </c>
      <c r="J522" s="962"/>
      <c r="K522" s="53">
        <f t="shared" si="84"/>
        <v>1</v>
      </c>
      <c r="L522" s="962"/>
      <c r="M522" s="53">
        <f t="shared" si="85"/>
        <v>1</v>
      </c>
      <c r="N522" s="962"/>
      <c r="O522" s="53">
        <f t="shared" si="86"/>
        <v>1</v>
      </c>
      <c r="P522" s="962"/>
      <c r="Q522" s="53">
        <f t="shared" si="87"/>
        <v>1</v>
      </c>
      <c r="R522" s="489">
        <f t="shared" si="88"/>
        <v>0</v>
      </c>
      <c r="S522" s="798">
        <f t="shared" si="89"/>
        <v>0</v>
      </c>
    </row>
    <row r="523" spans="1:19">
      <c r="A523" s="964"/>
      <c r="B523" s="137"/>
      <c r="C523" s="53">
        <f t="shared" si="80"/>
        <v>1</v>
      </c>
      <c r="D523" s="962"/>
      <c r="E523" s="53">
        <f t="shared" si="81"/>
        <v>1</v>
      </c>
      <c r="F523" s="962"/>
      <c r="G523" s="53">
        <f t="shared" si="82"/>
        <v>1</v>
      </c>
      <c r="H523" s="962"/>
      <c r="I523" s="53">
        <f t="shared" si="83"/>
        <v>1</v>
      </c>
      <c r="J523" s="962"/>
      <c r="K523" s="53">
        <f t="shared" si="84"/>
        <v>1</v>
      </c>
      <c r="L523" s="962"/>
      <c r="M523" s="53">
        <f t="shared" si="85"/>
        <v>1</v>
      </c>
      <c r="N523" s="962"/>
      <c r="O523" s="53">
        <f t="shared" si="86"/>
        <v>1</v>
      </c>
      <c r="P523" s="962"/>
      <c r="Q523" s="53">
        <f t="shared" si="87"/>
        <v>1</v>
      </c>
      <c r="R523" s="489">
        <f t="shared" si="88"/>
        <v>0</v>
      </c>
      <c r="S523" s="798">
        <f t="shared" si="89"/>
        <v>0</v>
      </c>
    </row>
    <row r="524" spans="1:19">
      <c r="A524" s="964"/>
      <c r="B524" s="137"/>
      <c r="C524" s="53">
        <f t="shared" si="80"/>
        <v>1</v>
      </c>
      <c r="D524" s="962"/>
      <c r="E524" s="53">
        <f t="shared" si="81"/>
        <v>1</v>
      </c>
      <c r="F524" s="962"/>
      <c r="G524" s="53">
        <f t="shared" si="82"/>
        <v>1</v>
      </c>
      <c r="H524" s="962"/>
      <c r="I524" s="53">
        <f t="shared" si="83"/>
        <v>1</v>
      </c>
      <c r="J524" s="962"/>
      <c r="K524" s="53">
        <f t="shared" si="84"/>
        <v>1</v>
      </c>
      <c r="L524" s="962"/>
      <c r="M524" s="53">
        <f t="shared" si="85"/>
        <v>1</v>
      </c>
      <c r="N524" s="962"/>
      <c r="O524" s="53">
        <f t="shared" si="86"/>
        <v>1</v>
      </c>
      <c r="P524" s="962"/>
      <c r="Q524" s="53">
        <f t="shared" si="87"/>
        <v>1</v>
      </c>
      <c r="R524" s="489">
        <f t="shared" si="88"/>
        <v>0</v>
      </c>
      <c r="S524" s="798">
        <f t="shared" si="89"/>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8" customWidth="1"/>
    <col min="2" max="2" width="13.25" style="2944" customWidth="1"/>
    <col min="3" max="3" width="15.625" style="2944" customWidth="1"/>
    <col min="4" max="4" width="9.375" style="2944" bestFit="1" customWidth="1"/>
    <col min="5" max="5" width="13.5" style="2944" customWidth="1"/>
    <col min="6" max="6" width="9" style="2944"/>
    <col min="7" max="7" width="9.375" style="2944" bestFit="1" customWidth="1"/>
    <col min="8" max="9" width="9" style="2944"/>
    <col min="10" max="10" width="9.375" style="2944" bestFit="1" customWidth="1"/>
    <col min="11" max="11" width="4" style="2938" customWidth="1"/>
    <col min="12" max="12" width="5.125" style="2944" customWidth="1"/>
    <col min="13" max="13" width="13.75" style="2944" customWidth="1"/>
    <col min="14" max="256" width="9" style="2944"/>
    <col min="257" max="257" width="4.875" style="2936" customWidth="1"/>
    <col min="258" max="258" width="13.25" style="2936" customWidth="1"/>
    <col min="259" max="259" width="15.625" style="2936" customWidth="1"/>
    <col min="260" max="260" width="9.375" style="2936" bestFit="1" customWidth="1"/>
    <col min="261" max="261" width="13.5" style="2936" customWidth="1"/>
    <col min="262" max="262" width="9" style="2936"/>
    <col min="263" max="263" width="9.375" style="2936" bestFit="1" customWidth="1"/>
    <col min="264" max="265" width="9" style="2936"/>
    <col min="266" max="266" width="9.375" style="2936" bestFit="1" customWidth="1"/>
    <col min="267" max="267" width="4" style="2936" customWidth="1"/>
    <col min="268" max="268" width="5.125" style="2936" customWidth="1"/>
    <col min="269" max="269" width="13.75" style="2936" customWidth="1"/>
    <col min="270" max="512" width="9" style="2936"/>
    <col min="513" max="513" width="4.875" style="2936" customWidth="1"/>
    <col min="514" max="514" width="13.25" style="2936" customWidth="1"/>
    <col min="515" max="515" width="15.625" style="2936" customWidth="1"/>
    <col min="516" max="516" width="9.375" style="2936" bestFit="1" customWidth="1"/>
    <col min="517" max="517" width="13.5" style="2936" customWidth="1"/>
    <col min="518" max="518" width="9" style="2936"/>
    <col min="519" max="519" width="9.375" style="2936" bestFit="1" customWidth="1"/>
    <col min="520" max="521" width="9" style="2936"/>
    <col min="522" max="522" width="9.375" style="2936" bestFit="1" customWidth="1"/>
    <col min="523" max="523" width="4" style="2936" customWidth="1"/>
    <col min="524" max="524" width="5.125" style="2936" customWidth="1"/>
    <col min="525" max="525" width="13.75" style="2936" customWidth="1"/>
    <col min="526" max="768" width="9" style="2936"/>
    <col min="769" max="769" width="4.875" style="2936" customWidth="1"/>
    <col min="770" max="770" width="13.25" style="2936" customWidth="1"/>
    <col min="771" max="771" width="15.625" style="2936" customWidth="1"/>
    <col min="772" max="772" width="9.375" style="2936" bestFit="1" customWidth="1"/>
    <col min="773" max="773" width="13.5" style="2936" customWidth="1"/>
    <col min="774" max="774" width="9" style="2936"/>
    <col min="775" max="775" width="9.375" style="2936" bestFit="1" customWidth="1"/>
    <col min="776" max="777" width="9" style="2936"/>
    <col min="778" max="778" width="9.375" style="2936" bestFit="1" customWidth="1"/>
    <col min="779" max="779" width="4" style="2936" customWidth="1"/>
    <col min="780" max="780" width="5.125" style="2936" customWidth="1"/>
    <col min="781" max="781" width="13.75" style="2936" customWidth="1"/>
    <col min="782" max="1024" width="9" style="2936"/>
    <col min="1025" max="1025" width="4.875" style="2936" customWidth="1"/>
    <col min="1026" max="1026" width="13.25" style="2936" customWidth="1"/>
    <col min="1027" max="1027" width="15.625" style="2936" customWidth="1"/>
    <col min="1028" max="1028" width="9.375" style="2936" bestFit="1" customWidth="1"/>
    <col min="1029" max="1029" width="13.5" style="2936" customWidth="1"/>
    <col min="1030" max="1030" width="9" style="2936"/>
    <col min="1031" max="1031" width="9.375" style="2936" bestFit="1" customWidth="1"/>
    <col min="1032" max="1033" width="9" style="2936"/>
    <col min="1034" max="1034" width="9.375" style="2936" bestFit="1" customWidth="1"/>
    <col min="1035" max="1035" width="4" style="2936" customWidth="1"/>
    <col min="1036" max="1036" width="5.125" style="2936" customWidth="1"/>
    <col min="1037" max="1037" width="13.75" style="2936" customWidth="1"/>
    <col min="1038" max="1280" width="9" style="2936"/>
    <col min="1281" max="1281" width="4.875" style="2936" customWidth="1"/>
    <col min="1282" max="1282" width="13.25" style="2936" customWidth="1"/>
    <col min="1283" max="1283" width="15.625" style="2936" customWidth="1"/>
    <col min="1284" max="1284" width="9.375" style="2936" bestFit="1" customWidth="1"/>
    <col min="1285" max="1285" width="13.5" style="2936" customWidth="1"/>
    <col min="1286" max="1286" width="9" style="2936"/>
    <col min="1287" max="1287" width="9.375" style="2936" bestFit="1" customWidth="1"/>
    <col min="1288" max="1289" width="9" style="2936"/>
    <col min="1290" max="1290" width="9.375" style="2936" bestFit="1" customWidth="1"/>
    <col min="1291" max="1291" width="4" style="2936" customWidth="1"/>
    <col min="1292" max="1292" width="5.125" style="2936" customWidth="1"/>
    <col min="1293" max="1293" width="13.75" style="2936" customWidth="1"/>
    <col min="1294" max="1536" width="9" style="2936"/>
    <col min="1537" max="1537" width="4.875" style="2936" customWidth="1"/>
    <col min="1538" max="1538" width="13.25" style="2936" customWidth="1"/>
    <col min="1539" max="1539" width="15.625" style="2936" customWidth="1"/>
    <col min="1540" max="1540" width="9.375" style="2936" bestFit="1" customWidth="1"/>
    <col min="1541" max="1541" width="13.5" style="2936" customWidth="1"/>
    <col min="1542" max="1542" width="9" style="2936"/>
    <col min="1543" max="1543" width="9.375" style="2936" bestFit="1" customWidth="1"/>
    <col min="1544" max="1545" width="9" style="2936"/>
    <col min="1546" max="1546" width="9.375" style="2936" bestFit="1" customWidth="1"/>
    <col min="1547" max="1547" width="4" style="2936" customWidth="1"/>
    <col min="1548" max="1548" width="5.125" style="2936" customWidth="1"/>
    <col min="1549" max="1549" width="13.75" style="2936" customWidth="1"/>
    <col min="1550" max="1792" width="9" style="2936"/>
    <col min="1793" max="1793" width="4.875" style="2936" customWidth="1"/>
    <col min="1794" max="1794" width="13.25" style="2936" customWidth="1"/>
    <col min="1795" max="1795" width="15.625" style="2936" customWidth="1"/>
    <col min="1796" max="1796" width="9.375" style="2936" bestFit="1" customWidth="1"/>
    <col min="1797" max="1797" width="13.5" style="2936" customWidth="1"/>
    <col min="1798" max="1798" width="9" style="2936"/>
    <col min="1799" max="1799" width="9.375" style="2936" bestFit="1" customWidth="1"/>
    <col min="1800" max="1801" width="9" style="2936"/>
    <col min="1802" max="1802" width="9.375" style="2936" bestFit="1" customWidth="1"/>
    <col min="1803" max="1803" width="4" style="2936" customWidth="1"/>
    <col min="1804" max="1804" width="5.125" style="2936" customWidth="1"/>
    <col min="1805" max="1805" width="13.75" style="2936" customWidth="1"/>
    <col min="1806" max="2048" width="9" style="2936"/>
    <col min="2049" max="2049" width="4.875" style="2936" customWidth="1"/>
    <col min="2050" max="2050" width="13.25" style="2936" customWidth="1"/>
    <col min="2051" max="2051" width="15.625" style="2936" customWidth="1"/>
    <col min="2052" max="2052" width="9.375" style="2936" bestFit="1" customWidth="1"/>
    <col min="2053" max="2053" width="13.5" style="2936" customWidth="1"/>
    <col min="2054" max="2054" width="9" style="2936"/>
    <col min="2055" max="2055" width="9.375" style="2936" bestFit="1" customWidth="1"/>
    <col min="2056" max="2057" width="9" style="2936"/>
    <col min="2058" max="2058" width="9.375" style="2936" bestFit="1" customWidth="1"/>
    <col min="2059" max="2059" width="4" style="2936" customWidth="1"/>
    <col min="2060" max="2060" width="5.125" style="2936" customWidth="1"/>
    <col min="2061" max="2061" width="13.75" style="2936" customWidth="1"/>
    <col min="2062" max="2304" width="9" style="2936"/>
    <col min="2305" max="2305" width="4.875" style="2936" customWidth="1"/>
    <col min="2306" max="2306" width="13.25" style="2936" customWidth="1"/>
    <col min="2307" max="2307" width="15.625" style="2936" customWidth="1"/>
    <col min="2308" max="2308" width="9.375" style="2936" bestFit="1" customWidth="1"/>
    <col min="2309" max="2309" width="13.5" style="2936" customWidth="1"/>
    <col min="2310" max="2310" width="9" style="2936"/>
    <col min="2311" max="2311" width="9.375" style="2936" bestFit="1" customWidth="1"/>
    <col min="2312" max="2313" width="9" style="2936"/>
    <col min="2314" max="2314" width="9.375" style="2936" bestFit="1" customWidth="1"/>
    <col min="2315" max="2315" width="4" style="2936" customWidth="1"/>
    <col min="2316" max="2316" width="5.125" style="2936" customWidth="1"/>
    <col min="2317" max="2317" width="13.75" style="2936" customWidth="1"/>
    <col min="2318" max="2560" width="9" style="2936"/>
    <col min="2561" max="2561" width="4.875" style="2936" customWidth="1"/>
    <col min="2562" max="2562" width="13.25" style="2936" customWidth="1"/>
    <col min="2563" max="2563" width="15.625" style="2936" customWidth="1"/>
    <col min="2564" max="2564" width="9.375" style="2936" bestFit="1" customWidth="1"/>
    <col min="2565" max="2565" width="13.5" style="2936" customWidth="1"/>
    <col min="2566" max="2566" width="9" style="2936"/>
    <col min="2567" max="2567" width="9.375" style="2936" bestFit="1" customWidth="1"/>
    <col min="2568" max="2569" width="9" style="2936"/>
    <col min="2570" max="2570" width="9.375" style="2936" bestFit="1" customWidth="1"/>
    <col min="2571" max="2571" width="4" style="2936" customWidth="1"/>
    <col min="2572" max="2572" width="5.125" style="2936" customWidth="1"/>
    <col min="2573" max="2573" width="13.75" style="2936" customWidth="1"/>
    <col min="2574" max="2816" width="9" style="2936"/>
    <col min="2817" max="2817" width="4.875" style="2936" customWidth="1"/>
    <col min="2818" max="2818" width="13.25" style="2936" customWidth="1"/>
    <col min="2819" max="2819" width="15.625" style="2936" customWidth="1"/>
    <col min="2820" max="2820" width="9.375" style="2936" bestFit="1" customWidth="1"/>
    <col min="2821" max="2821" width="13.5" style="2936" customWidth="1"/>
    <col min="2822" max="2822" width="9" style="2936"/>
    <col min="2823" max="2823" width="9.375" style="2936" bestFit="1" customWidth="1"/>
    <col min="2824" max="2825" width="9" style="2936"/>
    <col min="2826" max="2826" width="9.375" style="2936" bestFit="1" customWidth="1"/>
    <col min="2827" max="2827" width="4" style="2936" customWidth="1"/>
    <col min="2828" max="2828" width="5.125" style="2936" customWidth="1"/>
    <col min="2829" max="2829" width="13.75" style="2936" customWidth="1"/>
    <col min="2830" max="3072" width="9" style="2936"/>
    <col min="3073" max="3073" width="4.875" style="2936" customWidth="1"/>
    <col min="3074" max="3074" width="13.25" style="2936" customWidth="1"/>
    <col min="3075" max="3075" width="15.625" style="2936" customWidth="1"/>
    <col min="3076" max="3076" width="9.375" style="2936" bestFit="1" customWidth="1"/>
    <col min="3077" max="3077" width="13.5" style="2936" customWidth="1"/>
    <col min="3078" max="3078" width="9" style="2936"/>
    <col min="3079" max="3079" width="9.375" style="2936" bestFit="1" customWidth="1"/>
    <col min="3080" max="3081" width="9" style="2936"/>
    <col min="3082" max="3082" width="9.375" style="2936" bestFit="1" customWidth="1"/>
    <col min="3083" max="3083" width="4" style="2936" customWidth="1"/>
    <col min="3084" max="3084" width="5.125" style="2936" customWidth="1"/>
    <col min="3085" max="3085" width="13.75" style="2936" customWidth="1"/>
    <col min="3086" max="3328" width="9" style="2936"/>
    <col min="3329" max="3329" width="4.875" style="2936" customWidth="1"/>
    <col min="3330" max="3330" width="13.25" style="2936" customWidth="1"/>
    <col min="3331" max="3331" width="15.625" style="2936" customWidth="1"/>
    <col min="3332" max="3332" width="9.375" style="2936" bestFit="1" customWidth="1"/>
    <col min="3333" max="3333" width="13.5" style="2936" customWidth="1"/>
    <col min="3334" max="3334" width="9" style="2936"/>
    <col min="3335" max="3335" width="9.375" style="2936" bestFit="1" customWidth="1"/>
    <col min="3336" max="3337" width="9" style="2936"/>
    <col min="3338" max="3338" width="9.375" style="2936" bestFit="1" customWidth="1"/>
    <col min="3339" max="3339" width="4" style="2936" customWidth="1"/>
    <col min="3340" max="3340" width="5.125" style="2936" customWidth="1"/>
    <col min="3341" max="3341" width="13.75" style="2936" customWidth="1"/>
    <col min="3342" max="3584" width="9" style="2936"/>
    <col min="3585" max="3585" width="4.875" style="2936" customWidth="1"/>
    <col min="3586" max="3586" width="13.25" style="2936" customWidth="1"/>
    <col min="3587" max="3587" width="15.625" style="2936" customWidth="1"/>
    <col min="3588" max="3588" width="9.375" style="2936" bestFit="1" customWidth="1"/>
    <col min="3589" max="3589" width="13.5" style="2936" customWidth="1"/>
    <col min="3590" max="3590" width="9" style="2936"/>
    <col min="3591" max="3591" width="9.375" style="2936" bestFit="1" customWidth="1"/>
    <col min="3592" max="3593" width="9" style="2936"/>
    <col min="3594" max="3594" width="9.375" style="2936" bestFit="1" customWidth="1"/>
    <col min="3595" max="3595" width="4" style="2936" customWidth="1"/>
    <col min="3596" max="3596" width="5.125" style="2936" customWidth="1"/>
    <col min="3597" max="3597" width="13.75" style="2936" customWidth="1"/>
    <col min="3598" max="3840" width="9" style="2936"/>
    <col min="3841" max="3841" width="4.875" style="2936" customWidth="1"/>
    <col min="3842" max="3842" width="13.25" style="2936" customWidth="1"/>
    <col min="3843" max="3843" width="15.625" style="2936" customWidth="1"/>
    <col min="3844" max="3844" width="9.375" style="2936" bestFit="1" customWidth="1"/>
    <col min="3845" max="3845" width="13.5" style="2936" customWidth="1"/>
    <col min="3846" max="3846" width="9" style="2936"/>
    <col min="3847" max="3847" width="9.375" style="2936" bestFit="1" customWidth="1"/>
    <col min="3848" max="3849" width="9" style="2936"/>
    <col min="3850" max="3850" width="9.375" style="2936" bestFit="1" customWidth="1"/>
    <col min="3851" max="3851" width="4" style="2936" customWidth="1"/>
    <col min="3852" max="3852" width="5.125" style="2936" customWidth="1"/>
    <col min="3853" max="3853" width="13.75" style="2936" customWidth="1"/>
    <col min="3854" max="4096" width="9" style="2936"/>
    <col min="4097" max="4097" width="4.875" style="2936" customWidth="1"/>
    <col min="4098" max="4098" width="13.25" style="2936" customWidth="1"/>
    <col min="4099" max="4099" width="15.625" style="2936" customWidth="1"/>
    <col min="4100" max="4100" width="9.375" style="2936" bestFit="1" customWidth="1"/>
    <col min="4101" max="4101" width="13.5" style="2936" customWidth="1"/>
    <col min="4102" max="4102" width="9" style="2936"/>
    <col min="4103" max="4103" width="9.375" style="2936" bestFit="1" customWidth="1"/>
    <col min="4104" max="4105" width="9" style="2936"/>
    <col min="4106" max="4106" width="9.375" style="2936" bestFit="1" customWidth="1"/>
    <col min="4107" max="4107" width="4" style="2936" customWidth="1"/>
    <col min="4108" max="4108" width="5.125" style="2936" customWidth="1"/>
    <col min="4109" max="4109" width="13.75" style="2936" customWidth="1"/>
    <col min="4110" max="4352" width="9" style="2936"/>
    <col min="4353" max="4353" width="4.875" style="2936" customWidth="1"/>
    <col min="4354" max="4354" width="13.25" style="2936" customWidth="1"/>
    <col min="4355" max="4355" width="15.625" style="2936" customWidth="1"/>
    <col min="4356" max="4356" width="9.375" style="2936" bestFit="1" customWidth="1"/>
    <col min="4357" max="4357" width="13.5" style="2936" customWidth="1"/>
    <col min="4358" max="4358" width="9" style="2936"/>
    <col min="4359" max="4359" width="9.375" style="2936" bestFit="1" customWidth="1"/>
    <col min="4360" max="4361" width="9" style="2936"/>
    <col min="4362" max="4362" width="9.375" style="2936" bestFit="1" customWidth="1"/>
    <col min="4363" max="4363" width="4" style="2936" customWidth="1"/>
    <col min="4364" max="4364" width="5.125" style="2936" customWidth="1"/>
    <col min="4365" max="4365" width="13.75" style="2936" customWidth="1"/>
    <col min="4366" max="4608" width="9" style="2936"/>
    <col min="4609" max="4609" width="4.875" style="2936" customWidth="1"/>
    <col min="4610" max="4610" width="13.25" style="2936" customWidth="1"/>
    <col min="4611" max="4611" width="15.625" style="2936" customWidth="1"/>
    <col min="4612" max="4612" width="9.375" style="2936" bestFit="1" customWidth="1"/>
    <col min="4613" max="4613" width="13.5" style="2936" customWidth="1"/>
    <col min="4614" max="4614" width="9" style="2936"/>
    <col min="4615" max="4615" width="9.375" style="2936" bestFit="1" customWidth="1"/>
    <col min="4616" max="4617" width="9" style="2936"/>
    <col min="4618" max="4618" width="9.375" style="2936" bestFit="1" customWidth="1"/>
    <col min="4619" max="4619" width="4" style="2936" customWidth="1"/>
    <col min="4620" max="4620" width="5.125" style="2936" customWidth="1"/>
    <col min="4621" max="4621" width="13.75" style="2936" customWidth="1"/>
    <col min="4622" max="4864" width="9" style="2936"/>
    <col min="4865" max="4865" width="4.875" style="2936" customWidth="1"/>
    <col min="4866" max="4866" width="13.25" style="2936" customWidth="1"/>
    <col min="4867" max="4867" width="15.625" style="2936" customWidth="1"/>
    <col min="4868" max="4868" width="9.375" style="2936" bestFit="1" customWidth="1"/>
    <col min="4869" max="4869" width="13.5" style="2936" customWidth="1"/>
    <col min="4870" max="4870" width="9" style="2936"/>
    <col min="4871" max="4871" width="9.375" style="2936" bestFit="1" customWidth="1"/>
    <col min="4872" max="4873" width="9" style="2936"/>
    <col min="4874" max="4874" width="9.375" style="2936" bestFit="1" customWidth="1"/>
    <col min="4875" max="4875" width="4" style="2936" customWidth="1"/>
    <col min="4876" max="4876" width="5.125" style="2936" customWidth="1"/>
    <col min="4877" max="4877" width="13.75" style="2936" customWidth="1"/>
    <col min="4878" max="5120" width="9" style="2936"/>
    <col min="5121" max="5121" width="4.875" style="2936" customWidth="1"/>
    <col min="5122" max="5122" width="13.25" style="2936" customWidth="1"/>
    <col min="5123" max="5123" width="15.625" style="2936" customWidth="1"/>
    <col min="5124" max="5124" width="9.375" style="2936" bestFit="1" customWidth="1"/>
    <col min="5125" max="5125" width="13.5" style="2936" customWidth="1"/>
    <col min="5126" max="5126" width="9" style="2936"/>
    <col min="5127" max="5127" width="9.375" style="2936" bestFit="1" customWidth="1"/>
    <col min="5128" max="5129" width="9" style="2936"/>
    <col min="5130" max="5130" width="9.375" style="2936" bestFit="1" customWidth="1"/>
    <col min="5131" max="5131" width="4" style="2936" customWidth="1"/>
    <col min="5132" max="5132" width="5.125" style="2936" customWidth="1"/>
    <col min="5133" max="5133" width="13.75" style="2936" customWidth="1"/>
    <col min="5134" max="5376" width="9" style="2936"/>
    <col min="5377" max="5377" width="4.875" style="2936" customWidth="1"/>
    <col min="5378" max="5378" width="13.25" style="2936" customWidth="1"/>
    <col min="5379" max="5379" width="15.625" style="2936" customWidth="1"/>
    <col min="5380" max="5380" width="9.375" style="2936" bestFit="1" customWidth="1"/>
    <col min="5381" max="5381" width="13.5" style="2936" customWidth="1"/>
    <col min="5382" max="5382" width="9" style="2936"/>
    <col min="5383" max="5383" width="9.375" style="2936" bestFit="1" customWidth="1"/>
    <col min="5384" max="5385" width="9" style="2936"/>
    <col min="5386" max="5386" width="9.375" style="2936" bestFit="1" customWidth="1"/>
    <col min="5387" max="5387" width="4" style="2936" customWidth="1"/>
    <col min="5388" max="5388" width="5.125" style="2936" customWidth="1"/>
    <col min="5389" max="5389" width="13.75" style="2936" customWidth="1"/>
    <col min="5390" max="5632" width="9" style="2936"/>
    <col min="5633" max="5633" width="4.875" style="2936" customWidth="1"/>
    <col min="5634" max="5634" width="13.25" style="2936" customWidth="1"/>
    <col min="5635" max="5635" width="15.625" style="2936" customWidth="1"/>
    <col min="5636" max="5636" width="9.375" style="2936" bestFit="1" customWidth="1"/>
    <col min="5637" max="5637" width="13.5" style="2936" customWidth="1"/>
    <col min="5638" max="5638" width="9" style="2936"/>
    <col min="5639" max="5639" width="9.375" style="2936" bestFit="1" customWidth="1"/>
    <col min="5640" max="5641" width="9" style="2936"/>
    <col min="5642" max="5642" width="9.375" style="2936" bestFit="1" customWidth="1"/>
    <col min="5643" max="5643" width="4" style="2936" customWidth="1"/>
    <col min="5644" max="5644" width="5.125" style="2936" customWidth="1"/>
    <col min="5645" max="5645" width="13.75" style="2936" customWidth="1"/>
    <col min="5646" max="5888" width="9" style="2936"/>
    <col min="5889" max="5889" width="4.875" style="2936" customWidth="1"/>
    <col min="5890" max="5890" width="13.25" style="2936" customWidth="1"/>
    <col min="5891" max="5891" width="15.625" style="2936" customWidth="1"/>
    <col min="5892" max="5892" width="9.375" style="2936" bestFit="1" customWidth="1"/>
    <col min="5893" max="5893" width="13.5" style="2936" customWidth="1"/>
    <col min="5894" max="5894" width="9" style="2936"/>
    <col min="5895" max="5895" width="9.375" style="2936" bestFit="1" customWidth="1"/>
    <col min="5896" max="5897" width="9" style="2936"/>
    <col min="5898" max="5898" width="9.375" style="2936" bestFit="1" customWidth="1"/>
    <col min="5899" max="5899" width="4" style="2936" customWidth="1"/>
    <col min="5900" max="5900" width="5.125" style="2936" customWidth="1"/>
    <col min="5901" max="5901" width="13.75" style="2936" customWidth="1"/>
    <col min="5902" max="6144" width="9" style="2936"/>
    <col min="6145" max="6145" width="4.875" style="2936" customWidth="1"/>
    <col min="6146" max="6146" width="13.25" style="2936" customWidth="1"/>
    <col min="6147" max="6147" width="15.625" style="2936" customWidth="1"/>
    <col min="6148" max="6148" width="9.375" style="2936" bestFit="1" customWidth="1"/>
    <col min="6149" max="6149" width="13.5" style="2936" customWidth="1"/>
    <col min="6150" max="6150" width="9" style="2936"/>
    <col min="6151" max="6151" width="9.375" style="2936" bestFit="1" customWidth="1"/>
    <col min="6152" max="6153" width="9" style="2936"/>
    <col min="6154" max="6154" width="9.375" style="2936" bestFit="1" customWidth="1"/>
    <col min="6155" max="6155" width="4" style="2936" customWidth="1"/>
    <col min="6156" max="6156" width="5.125" style="2936" customWidth="1"/>
    <col min="6157" max="6157" width="13.75" style="2936" customWidth="1"/>
    <col min="6158" max="6400" width="9" style="2936"/>
    <col min="6401" max="6401" width="4.875" style="2936" customWidth="1"/>
    <col min="6402" max="6402" width="13.25" style="2936" customWidth="1"/>
    <col min="6403" max="6403" width="15.625" style="2936" customWidth="1"/>
    <col min="6404" max="6404" width="9.375" style="2936" bestFit="1" customWidth="1"/>
    <col min="6405" max="6405" width="13.5" style="2936" customWidth="1"/>
    <col min="6406" max="6406" width="9" style="2936"/>
    <col min="6407" max="6407" width="9.375" style="2936" bestFit="1" customWidth="1"/>
    <col min="6408" max="6409" width="9" style="2936"/>
    <col min="6410" max="6410" width="9.375" style="2936" bestFit="1" customWidth="1"/>
    <col min="6411" max="6411" width="4" style="2936" customWidth="1"/>
    <col min="6412" max="6412" width="5.125" style="2936" customWidth="1"/>
    <col min="6413" max="6413" width="13.75" style="2936" customWidth="1"/>
    <col min="6414" max="6656" width="9" style="2936"/>
    <col min="6657" max="6657" width="4.875" style="2936" customWidth="1"/>
    <col min="6658" max="6658" width="13.25" style="2936" customWidth="1"/>
    <col min="6659" max="6659" width="15.625" style="2936" customWidth="1"/>
    <col min="6660" max="6660" width="9.375" style="2936" bestFit="1" customWidth="1"/>
    <col min="6661" max="6661" width="13.5" style="2936" customWidth="1"/>
    <col min="6662" max="6662" width="9" style="2936"/>
    <col min="6663" max="6663" width="9.375" style="2936" bestFit="1" customWidth="1"/>
    <col min="6664" max="6665" width="9" style="2936"/>
    <col min="6666" max="6666" width="9.375" style="2936" bestFit="1" customWidth="1"/>
    <col min="6667" max="6667" width="4" style="2936" customWidth="1"/>
    <col min="6668" max="6668" width="5.125" style="2936" customWidth="1"/>
    <col min="6669" max="6669" width="13.75" style="2936" customWidth="1"/>
    <col min="6670" max="6912" width="9" style="2936"/>
    <col min="6913" max="6913" width="4.875" style="2936" customWidth="1"/>
    <col min="6914" max="6914" width="13.25" style="2936" customWidth="1"/>
    <col min="6915" max="6915" width="15.625" style="2936" customWidth="1"/>
    <col min="6916" max="6916" width="9.375" style="2936" bestFit="1" customWidth="1"/>
    <col min="6917" max="6917" width="13.5" style="2936" customWidth="1"/>
    <col min="6918" max="6918" width="9" style="2936"/>
    <col min="6919" max="6919" width="9.375" style="2936" bestFit="1" customWidth="1"/>
    <col min="6920" max="6921" width="9" style="2936"/>
    <col min="6922" max="6922" width="9.375" style="2936" bestFit="1" customWidth="1"/>
    <col min="6923" max="6923" width="4" style="2936" customWidth="1"/>
    <col min="6924" max="6924" width="5.125" style="2936" customWidth="1"/>
    <col min="6925" max="6925" width="13.75" style="2936" customWidth="1"/>
    <col min="6926" max="7168" width="9" style="2936"/>
    <col min="7169" max="7169" width="4.875" style="2936" customWidth="1"/>
    <col min="7170" max="7170" width="13.25" style="2936" customWidth="1"/>
    <col min="7171" max="7171" width="15.625" style="2936" customWidth="1"/>
    <col min="7172" max="7172" width="9.375" style="2936" bestFit="1" customWidth="1"/>
    <col min="7173" max="7173" width="13.5" style="2936" customWidth="1"/>
    <col min="7174" max="7174" width="9" style="2936"/>
    <col min="7175" max="7175" width="9.375" style="2936" bestFit="1" customWidth="1"/>
    <col min="7176" max="7177" width="9" style="2936"/>
    <col min="7178" max="7178" width="9.375" style="2936" bestFit="1" customWidth="1"/>
    <col min="7179" max="7179" width="4" style="2936" customWidth="1"/>
    <col min="7180" max="7180" width="5.125" style="2936" customWidth="1"/>
    <col min="7181" max="7181" width="13.75" style="2936" customWidth="1"/>
    <col min="7182" max="7424" width="9" style="2936"/>
    <col min="7425" max="7425" width="4.875" style="2936" customWidth="1"/>
    <col min="7426" max="7426" width="13.25" style="2936" customWidth="1"/>
    <col min="7427" max="7427" width="15.625" style="2936" customWidth="1"/>
    <col min="7428" max="7428" width="9.375" style="2936" bestFit="1" customWidth="1"/>
    <col min="7429" max="7429" width="13.5" style="2936" customWidth="1"/>
    <col min="7430" max="7430" width="9" style="2936"/>
    <col min="7431" max="7431" width="9.375" style="2936" bestFit="1" customWidth="1"/>
    <col min="7432" max="7433" width="9" style="2936"/>
    <col min="7434" max="7434" width="9.375" style="2936" bestFit="1" customWidth="1"/>
    <col min="7435" max="7435" width="4" style="2936" customWidth="1"/>
    <col min="7436" max="7436" width="5.125" style="2936" customWidth="1"/>
    <col min="7437" max="7437" width="13.75" style="2936" customWidth="1"/>
    <col min="7438" max="7680" width="9" style="2936"/>
    <col min="7681" max="7681" width="4.875" style="2936" customWidth="1"/>
    <col min="7682" max="7682" width="13.25" style="2936" customWidth="1"/>
    <col min="7683" max="7683" width="15.625" style="2936" customWidth="1"/>
    <col min="7684" max="7684" width="9.375" style="2936" bestFit="1" customWidth="1"/>
    <col min="7685" max="7685" width="13.5" style="2936" customWidth="1"/>
    <col min="7686" max="7686" width="9" style="2936"/>
    <col min="7687" max="7687" width="9.375" style="2936" bestFit="1" customWidth="1"/>
    <col min="7688" max="7689" width="9" style="2936"/>
    <col min="7690" max="7690" width="9.375" style="2936" bestFit="1" customWidth="1"/>
    <col min="7691" max="7691" width="4" style="2936" customWidth="1"/>
    <col min="7692" max="7692" width="5.125" style="2936" customWidth="1"/>
    <col min="7693" max="7693" width="13.75" style="2936" customWidth="1"/>
    <col min="7694" max="7936" width="9" style="2936"/>
    <col min="7937" max="7937" width="4.875" style="2936" customWidth="1"/>
    <col min="7938" max="7938" width="13.25" style="2936" customWidth="1"/>
    <col min="7939" max="7939" width="15.625" style="2936" customWidth="1"/>
    <col min="7940" max="7940" width="9.375" style="2936" bestFit="1" customWidth="1"/>
    <col min="7941" max="7941" width="13.5" style="2936" customWidth="1"/>
    <col min="7942" max="7942" width="9" style="2936"/>
    <col min="7943" max="7943" width="9.375" style="2936" bestFit="1" customWidth="1"/>
    <col min="7944" max="7945" width="9" style="2936"/>
    <col min="7946" max="7946" width="9.375" style="2936" bestFit="1" customWidth="1"/>
    <col min="7947" max="7947" width="4" style="2936" customWidth="1"/>
    <col min="7948" max="7948" width="5.125" style="2936" customWidth="1"/>
    <col min="7949" max="7949" width="13.75" style="2936" customWidth="1"/>
    <col min="7950" max="8192" width="9" style="2936"/>
    <col min="8193" max="8193" width="4.875" style="2936" customWidth="1"/>
    <col min="8194" max="8194" width="13.25" style="2936" customWidth="1"/>
    <col min="8195" max="8195" width="15.625" style="2936" customWidth="1"/>
    <col min="8196" max="8196" width="9.375" style="2936" bestFit="1" customWidth="1"/>
    <col min="8197" max="8197" width="13.5" style="2936" customWidth="1"/>
    <col min="8198" max="8198" width="9" style="2936"/>
    <col min="8199" max="8199" width="9.375" style="2936" bestFit="1" customWidth="1"/>
    <col min="8200" max="8201" width="9" style="2936"/>
    <col min="8202" max="8202" width="9.375" style="2936" bestFit="1" customWidth="1"/>
    <col min="8203" max="8203" width="4" style="2936" customWidth="1"/>
    <col min="8204" max="8204" width="5.125" style="2936" customWidth="1"/>
    <col min="8205" max="8205" width="13.75" style="2936" customWidth="1"/>
    <col min="8206" max="8448" width="9" style="2936"/>
    <col min="8449" max="8449" width="4.875" style="2936" customWidth="1"/>
    <col min="8450" max="8450" width="13.25" style="2936" customWidth="1"/>
    <col min="8451" max="8451" width="15.625" style="2936" customWidth="1"/>
    <col min="8452" max="8452" width="9.375" style="2936" bestFit="1" customWidth="1"/>
    <col min="8453" max="8453" width="13.5" style="2936" customWidth="1"/>
    <col min="8454" max="8454" width="9" style="2936"/>
    <col min="8455" max="8455" width="9.375" style="2936" bestFit="1" customWidth="1"/>
    <col min="8456" max="8457" width="9" style="2936"/>
    <col min="8458" max="8458" width="9.375" style="2936" bestFit="1" customWidth="1"/>
    <col min="8459" max="8459" width="4" style="2936" customWidth="1"/>
    <col min="8460" max="8460" width="5.125" style="2936" customWidth="1"/>
    <col min="8461" max="8461" width="13.75" style="2936" customWidth="1"/>
    <col min="8462" max="8704" width="9" style="2936"/>
    <col min="8705" max="8705" width="4.875" style="2936" customWidth="1"/>
    <col min="8706" max="8706" width="13.25" style="2936" customWidth="1"/>
    <col min="8707" max="8707" width="15.625" style="2936" customWidth="1"/>
    <col min="8708" max="8708" width="9.375" style="2936" bestFit="1" customWidth="1"/>
    <col min="8709" max="8709" width="13.5" style="2936" customWidth="1"/>
    <col min="8710" max="8710" width="9" style="2936"/>
    <col min="8711" max="8711" width="9.375" style="2936" bestFit="1" customWidth="1"/>
    <col min="8712" max="8713" width="9" style="2936"/>
    <col min="8714" max="8714" width="9.375" style="2936" bestFit="1" customWidth="1"/>
    <col min="8715" max="8715" width="4" style="2936" customWidth="1"/>
    <col min="8716" max="8716" width="5.125" style="2936" customWidth="1"/>
    <col min="8717" max="8717" width="13.75" style="2936" customWidth="1"/>
    <col min="8718" max="8960" width="9" style="2936"/>
    <col min="8961" max="8961" width="4.875" style="2936" customWidth="1"/>
    <col min="8962" max="8962" width="13.25" style="2936" customWidth="1"/>
    <col min="8963" max="8963" width="15.625" style="2936" customWidth="1"/>
    <col min="8964" max="8964" width="9.375" style="2936" bestFit="1" customWidth="1"/>
    <col min="8965" max="8965" width="13.5" style="2936" customWidth="1"/>
    <col min="8966" max="8966" width="9" style="2936"/>
    <col min="8967" max="8967" width="9.375" style="2936" bestFit="1" customWidth="1"/>
    <col min="8968" max="8969" width="9" style="2936"/>
    <col min="8970" max="8970" width="9.375" style="2936" bestFit="1" customWidth="1"/>
    <col min="8971" max="8971" width="4" style="2936" customWidth="1"/>
    <col min="8972" max="8972" width="5.125" style="2936" customWidth="1"/>
    <col min="8973" max="8973" width="13.75" style="2936" customWidth="1"/>
    <col min="8974" max="9216" width="9" style="2936"/>
    <col min="9217" max="9217" width="4.875" style="2936" customWidth="1"/>
    <col min="9218" max="9218" width="13.25" style="2936" customWidth="1"/>
    <col min="9219" max="9219" width="15.625" style="2936" customWidth="1"/>
    <col min="9220" max="9220" width="9.375" style="2936" bestFit="1" customWidth="1"/>
    <col min="9221" max="9221" width="13.5" style="2936" customWidth="1"/>
    <col min="9222" max="9222" width="9" style="2936"/>
    <col min="9223" max="9223" width="9.375" style="2936" bestFit="1" customWidth="1"/>
    <col min="9224" max="9225" width="9" style="2936"/>
    <col min="9226" max="9226" width="9.375" style="2936" bestFit="1" customWidth="1"/>
    <col min="9227" max="9227" width="4" style="2936" customWidth="1"/>
    <col min="9228" max="9228" width="5.125" style="2936" customWidth="1"/>
    <col min="9229" max="9229" width="13.75" style="2936" customWidth="1"/>
    <col min="9230" max="9472" width="9" style="2936"/>
    <col min="9473" max="9473" width="4.875" style="2936" customWidth="1"/>
    <col min="9474" max="9474" width="13.25" style="2936" customWidth="1"/>
    <col min="9475" max="9475" width="15.625" style="2936" customWidth="1"/>
    <col min="9476" max="9476" width="9.375" style="2936" bestFit="1" customWidth="1"/>
    <col min="9477" max="9477" width="13.5" style="2936" customWidth="1"/>
    <col min="9478" max="9478" width="9" style="2936"/>
    <col min="9479" max="9479" width="9.375" style="2936" bestFit="1" customWidth="1"/>
    <col min="9480" max="9481" width="9" style="2936"/>
    <col min="9482" max="9482" width="9.375" style="2936" bestFit="1" customWidth="1"/>
    <col min="9483" max="9483" width="4" style="2936" customWidth="1"/>
    <col min="9484" max="9484" width="5.125" style="2936" customWidth="1"/>
    <col min="9485" max="9485" width="13.75" style="2936" customWidth="1"/>
    <col min="9486" max="9728" width="9" style="2936"/>
    <col min="9729" max="9729" width="4.875" style="2936" customWidth="1"/>
    <col min="9730" max="9730" width="13.25" style="2936" customWidth="1"/>
    <col min="9731" max="9731" width="15.625" style="2936" customWidth="1"/>
    <col min="9732" max="9732" width="9.375" style="2936" bestFit="1" customWidth="1"/>
    <col min="9733" max="9733" width="13.5" style="2936" customWidth="1"/>
    <col min="9734" max="9734" width="9" style="2936"/>
    <col min="9735" max="9735" width="9.375" style="2936" bestFit="1" customWidth="1"/>
    <col min="9736" max="9737" width="9" style="2936"/>
    <col min="9738" max="9738" width="9.375" style="2936" bestFit="1" customWidth="1"/>
    <col min="9739" max="9739" width="4" style="2936" customWidth="1"/>
    <col min="9740" max="9740" width="5.125" style="2936" customWidth="1"/>
    <col min="9741" max="9741" width="13.75" style="2936" customWidth="1"/>
    <col min="9742" max="9984" width="9" style="2936"/>
    <col min="9985" max="9985" width="4.875" style="2936" customWidth="1"/>
    <col min="9986" max="9986" width="13.25" style="2936" customWidth="1"/>
    <col min="9987" max="9987" width="15.625" style="2936" customWidth="1"/>
    <col min="9988" max="9988" width="9.375" style="2936" bestFit="1" customWidth="1"/>
    <col min="9989" max="9989" width="13.5" style="2936" customWidth="1"/>
    <col min="9990" max="9990" width="9" style="2936"/>
    <col min="9991" max="9991" width="9.375" style="2936" bestFit="1" customWidth="1"/>
    <col min="9992" max="9993" width="9" style="2936"/>
    <col min="9994" max="9994" width="9.375" style="2936" bestFit="1" customWidth="1"/>
    <col min="9995" max="9995" width="4" style="2936" customWidth="1"/>
    <col min="9996" max="9996" width="5.125" style="2936" customWidth="1"/>
    <col min="9997" max="9997" width="13.75" style="2936" customWidth="1"/>
    <col min="9998" max="10240" width="9" style="2936"/>
    <col min="10241" max="10241" width="4.875" style="2936" customWidth="1"/>
    <col min="10242" max="10242" width="13.25" style="2936" customWidth="1"/>
    <col min="10243" max="10243" width="15.625" style="2936" customWidth="1"/>
    <col min="10244" max="10244" width="9.375" style="2936" bestFit="1" customWidth="1"/>
    <col min="10245" max="10245" width="13.5" style="2936" customWidth="1"/>
    <col min="10246" max="10246" width="9" style="2936"/>
    <col min="10247" max="10247" width="9.375" style="2936" bestFit="1" customWidth="1"/>
    <col min="10248" max="10249" width="9" style="2936"/>
    <col min="10250" max="10250" width="9.375" style="2936" bestFit="1" customWidth="1"/>
    <col min="10251" max="10251" width="4" style="2936" customWidth="1"/>
    <col min="10252" max="10252" width="5.125" style="2936" customWidth="1"/>
    <col min="10253" max="10253" width="13.75" style="2936" customWidth="1"/>
    <col min="10254" max="10496" width="9" style="2936"/>
    <col min="10497" max="10497" width="4.875" style="2936" customWidth="1"/>
    <col min="10498" max="10498" width="13.25" style="2936" customWidth="1"/>
    <col min="10499" max="10499" width="15.625" style="2936" customWidth="1"/>
    <col min="10500" max="10500" width="9.375" style="2936" bestFit="1" customWidth="1"/>
    <col min="10501" max="10501" width="13.5" style="2936" customWidth="1"/>
    <col min="10502" max="10502" width="9" style="2936"/>
    <col min="10503" max="10503" width="9.375" style="2936" bestFit="1" customWidth="1"/>
    <col min="10504" max="10505" width="9" style="2936"/>
    <col min="10506" max="10506" width="9.375" style="2936" bestFit="1" customWidth="1"/>
    <col min="10507" max="10507" width="4" style="2936" customWidth="1"/>
    <col min="10508" max="10508" width="5.125" style="2936" customWidth="1"/>
    <col min="10509" max="10509" width="13.75" style="2936" customWidth="1"/>
    <col min="10510" max="10752" width="9" style="2936"/>
    <col min="10753" max="10753" width="4.875" style="2936" customWidth="1"/>
    <col min="10754" max="10754" width="13.25" style="2936" customWidth="1"/>
    <col min="10755" max="10755" width="15.625" style="2936" customWidth="1"/>
    <col min="10756" max="10756" width="9.375" style="2936" bestFit="1" customWidth="1"/>
    <col min="10757" max="10757" width="13.5" style="2936" customWidth="1"/>
    <col min="10758" max="10758" width="9" style="2936"/>
    <col min="10759" max="10759" width="9.375" style="2936" bestFit="1" customWidth="1"/>
    <col min="10760" max="10761" width="9" style="2936"/>
    <col min="10762" max="10762" width="9.375" style="2936" bestFit="1" customWidth="1"/>
    <col min="10763" max="10763" width="4" style="2936" customWidth="1"/>
    <col min="10764" max="10764" width="5.125" style="2936" customWidth="1"/>
    <col min="10765" max="10765" width="13.75" style="2936" customWidth="1"/>
    <col min="10766" max="11008" width="9" style="2936"/>
    <col min="11009" max="11009" width="4.875" style="2936" customWidth="1"/>
    <col min="11010" max="11010" width="13.25" style="2936" customWidth="1"/>
    <col min="11011" max="11011" width="15.625" style="2936" customWidth="1"/>
    <col min="11012" max="11012" width="9.375" style="2936" bestFit="1" customWidth="1"/>
    <col min="11013" max="11013" width="13.5" style="2936" customWidth="1"/>
    <col min="11014" max="11014" width="9" style="2936"/>
    <col min="11015" max="11015" width="9.375" style="2936" bestFit="1" customWidth="1"/>
    <col min="11016" max="11017" width="9" style="2936"/>
    <col min="11018" max="11018" width="9.375" style="2936" bestFit="1" customWidth="1"/>
    <col min="11019" max="11019" width="4" style="2936" customWidth="1"/>
    <col min="11020" max="11020" width="5.125" style="2936" customWidth="1"/>
    <col min="11021" max="11021" width="13.75" style="2936" customWidth="1"/>
    <col min="11022" max="11264" width="9" style="2936"/>
    <col min="11265" max="11265" width="4.875" style="2936" customWidth="1"/>
    <col min="11266" max="11266" width="13.25" style="2936" customWidth="1"/>
    <col min="11267" max="11267" width="15.625" style="2936" customWidth="1"/>
    <col min="11268" max="11268" width="9.375" style="2936" bestFit="1" customWidth="1"/>
    <col min="11269" max="11269" width="13.5" style="2936" customWidth="1"/>
    <col min="11270" max="11270" width="9" style="2936"/>
    <col min="11271" max="11271" width="9.375" style="2936" bestFit="1" customWidth="1"/>
    <col min="11272" max="11273" width="9" style="2936"/>
    <col min="11274" max="11274" width="9.375" style="2936" bestFit="1" customWidth="1"/>
    <col min="11275" max="11275" width="4" style="2936" customWidth="1"/>
    <col min="11276" max="11276" width="5.125" style="2936" customWidth="1"/>
    <col min="11277" max="11277" width="13.75" style="2936" customWidth="1"/>
    <col min="11278" max="11520" width="9" style="2936"/>
    <col min="11521" max="11521" width="4.875" style="2936" customWidth="1"/>
    <col min="11522" max="11522" width="13.25" style="2936" customWidth="1"/>
    <col min="11523" max="11523" width="15.625" style="2936" customWidth="1"/>
    <col min="11524" max="11524" width="9.375" style="2936" bestFit="1" customWidth="1"/>
    <col min="11525" max="11525" width="13.5" style="2936" customWidth="1"/>
    <col min="11526" max="11526" width="9" style="2936"/>
    <col min="11527" max="11527" width="9.375" style="2936" bestFit="1" customWidth="1"/>
    <col min="11528" max="11529" width="9" style="2936"/>
    <col min="11530" max="11530" width="9.375" style="2936" bestFit="1" customWidth="1"/>
    <col min="11531" max="11531" width="4" style="2936" customWidth="1"/>
    <col min="11532" max="11532" width="5.125" style="2936" customWidth="1"/>
    <col min="11533" max="11533" width="13.75" style="2936" customWidth="1"/>
    <col min="11534" max="11776" width="9" style="2936"/>
    <col min="11777" max="11777" width="4.875" style="2936" customWidth="1"/>
    <col min="11778" max="11778" width="13.25" style="2936" customWidth="1"/>
    <col min="11779" max="11779" width="15.625" style="2936" customWidth="1"/>
    <col min="11780" max="11780" width="9.375" style="2936" bestFit="1" customWidth="1"/>
    <col min="11781" max="11781" width="13.5" style="2936" customWidth="1"/>
    <col min="11782" max="11782" width="9" style="2936"/>
    <col min="11783" max="11783" width="9.375" style="2936" bestFit="1" customWidth="1"/>
    <col min="11784" max="11785" width="9" style="2936"/>
    <col min="11786" max="11786" width="9.375" style="2936" bestFit="1" customWidth="1"/>
    <col min="11787" max="11787" width="4" style="2936" customWidth="1"/>
    <col min="11788" max="11788" width="5.125" style="2936" customWidth="1"/>
    <col min="11789" max="11789" width="13.75" style="2936" customWidth="1"/>
    <col min="11790" max="12032" width="9" style="2936"/>
    <col min="12033" max="12033" width="4.875" style="2936" customWidth="1"/>
    <col min="12034" max="12034" width="13.25" style="2936" customWidth="1"/>
    <col min="12035" max="12035" width="15.625" style="2936" customWidth="1"/>
    <col min="12036" max="12036" width="9.375" style="2936" bestFit="1" customWidth="1"/>
    <col min="12037" max="12037" width="13.5" style="2936" customWidth="1"/>
    <col min="12038" max="12038" width="9" style="2936"/>
    <col min="12039" max="12039" width="9.375" style="2936" bestFit="1" customWidth="1"/>
    <col min="12040" max="12041" width="9" style="2936"/>
    <col min="12042" max="12042" width="9.375" style="2936" bestFit="1" customWidth="1"/>
    <col min="12043" max="12043" width="4" style="2936" customWidth="1"/>
    <col min="12044" max="12044" width="5.125" style="2936" customWidth="1"/>
    <col min="12045" max="12045" width="13.75" style="2936" customWidth="1"/>
    <col min="12046" max="12288" width="9" style="2936"/>
    <col min="12289" max="12289" width="4.875" style="2936" customWidth="1"/>
    <col min="12290" max="12290" width="13.25" style="2936" customWidth="1"/>
    <col min="12291" max="12291" width="15.625" style="2936" customWidth="1"/>
    <col min="12292" max="12292" width="9.375" style="2936" bestFit="1" customWidth="1"/>
    <col min="12293" max="12293" width="13.5" style="2936" customWidth="1"/>
    <col min="12294" max="12294" width="9" style="2936"/>
    <col min="12295" max="12295" width="9.375" style="2936" bestFit="1" customWidth="1"/>
    <col min="12296" max="12297" width="9" style="2936"/>
    <col min="12298" max="12298" width="9.375" style="2936" bestFit="1" customWidth="1"/>
    <col min="12299" max="12299" width="4" style="2936" customWidth="1"/>
    <col min="12300" max="12300" width="5.125" style="2936" customWidth="1"/>
    <col min="12301" max="12301" width="13.75" style="2936" customWidth="1"/>
    <col min="12302" max="12544" width="9" style="2936"/>
    <col min="12545" max="12545" width="4.875" style="2936" customWidth="1"/>
    <col min="12546" max="12546" width="13.25" style="2936" customWidth="1"/>
    <col min="12547" max="12547" width="15.625" style="2936" customWidth="1"/>
    <col min="12548" max="12548" width="9.375" style="2936" bestFit="1" customWidth="1"/>
    <col min="12549" max="12549" width="13.5" style="2936" customWidth="1"/>
    <col min="12550" max="12550" width="9" style="2936"/>
    <col min="12551" max="12551" width="9.375" style="2936" bestFit="1" customWidth="1"/>
    <col min="12552" max="12553" width="9" style="2936"/>
    <col min="12554" max="12554" width="9.375" style="2936" bestFit="1" customWidth="1"/>
    <col min="12555" max="12555" width="4" style="2936" customWidth="1"/>
    <col min="12556" max="12556" width="5.125" style="2936" customWidth="1"/>
    <col min="12557" max="12557" width="13.75" style="2936" customWidth="1"/>
    <col min="12558" max="12800" width="9" style="2936"/>
    <col min="12801" max="12801" width="4.875" style="2936" customWidth="1"/>
    <col min="12802" max="12802" width="13.25" style="2936" customWidth="1"/>
    <col min="12803" max="12803" width="15.625" style="2936" customWidth="1"/>
    <col min="12804" max="12804" width="9.375" style="2936" bestFit="1" customWidth="1"/>
    <col min="12805" max="12805" width="13.5" style="2936" customWidth="1"/>
    <col min="12806" max="12806" width="9" style="2936"/>
    <col min="12807" max="12807" width="9.375" style="2936" bestFit="1" customWidth="1"/>
    <col min="12808" max="12809" width="9" style="2936"/>
    <col min="12810" max="12810" width="9.375" style="2936" bestFit="1" customWidth="1"/>
    <col min="12811" max="12811" width="4" style="2936" customWidth="1"/>
    <col min="12812" max="12812" width="5.125" style="2936" customWidth="1"/>
    <col min="12813" max="12813" width="13.75" style="2936" customWidth="1"/>
    <col min="12814" max="13056" width="9" style="2936"/>
    <col min="13057" max="13057" width="4.875" style="2936" customWidth="1"/>
    <col min="13058" max="13058" width="13.25" style="2936" customWidth="1"/>
    <col min="13059" max="13059" width="15.625" style="2936" customWidth="1"/>
    <col min="13060" max="13060" width="9.375" style="2936" bestFit="1" customWidth="1"/>
    <col min="13061" max="13061" width="13.5" style="2936" customWidth="1"/>
    <col min="13062" max="13062" width="9" style="2936"/>
    <col min="13063" max="13063" width="9.375" style="2936" bestFit="1" customWidth="1"/>
    <col min="13064" max="13065" width="9" style="2936"/>
    <col min="13066" max="13066" width="9.375" style="2936" bestFit="1" customWidth="1"/>
    <col min="13067" max="13067" width="4" style="2936" customWidth="1"/>
    <col min="13068" max="13068" width="5.125" style="2936" customWidth="1"/>
    <col min="13069" max="13069" width="13.75" style="2936" customWidth="1"/>
    <col min="13070" max="13312" width="9" style="2936"/>
    <col min="13313" max="13313" width="4.875" style="2936" customWidth="1"/>
    <col min="13314" max="13314" width="13.25" style="2936" customWidth="1"/>
    <col min="13315" max="13315" width="15.625" style="2936" customWidth="1"/>
    <col min="13316" max="13316" width="9.375" style="2936" bestFit="1" customWidth="1"/>
    <col min="13317" max="13317" width="13.5" style="2936" customWidth="1"/>
    <col min="13318" max="13318" width="9" style="2936"/>
    <col min="13319" max="13319" width="9.375" style="2936" bestFit="1" customWidth="1"/>
    <col min="13320" max="13321" width="9" style="2936"/>
    <col min="13322" max="13322" width="9.375" style="2936" bestFit="1" customWidth="1"/>
    <col min="13323" max="13323" width="4" style="2936" customWidth="1"/>
    <col min="13324" max="13324" width="5.125" style="2936" customWidth="1"/>
    <col min="13325" max="13325" width="13.75" style="2936" customWidth="1"/>
    <col min="13326" max="13568" width="9" style="2936"/>
    <col min="13569" max="13569" width="4.875" style="2936" customWidth="1"/>
    <col min="13570" max="13570" width="13.25" style="2936" customWidth="1"/>
    <col min="13571" max="13571" width="15.625" style="2936" customWidth="1"/>
    <col min="13572" max="13572" width="9.375" style="2936" bestFit="1" customWidth="1"/>
    <col min="13573" max="13573" width="13.5" style="2936" customWidth="1"/>
    <col min="13574" max="13574" width="9" style="2936"/>
    <col min="13575" max="13575" width="9.375" style="2936" bestFit="1" customWidth="1"/>
    <col min="13576" max="13577" width="9" style="2936"/>
    <col min="13578" max="13578" width="9.375" style="2936" bestFit="1" customWidth="1"/>
    <col min="13579" max="13579" width="4" style="2936" customWidth="1"/>
    <col min="13580" max="13580" width="5.125" style="2936" customWidth="1"/>
    <col min="13581" max="13581" width="13.75" style="2936" customWidth="1"/>
    <col min="13582" max="13824" width="9" style="2936"/>
    <col min="13825" max="13825" width="4.875" style="2936" customWidth="1"/>
    <col min="13826" max="13826" width="13.25" style="2936" customWidth="1"/>
    <col min="13827" max="13827" width="15.625" style="2936" customWidth="1"/>
    <col min="13828" max="13828" width="9.375" style="2936" bestFit="1" customWidth="1"/>
    <col min="13829" max="13829" width="13.5" style="2936" customWidth="1"/>
    <col min="13830" max="13830" width="9" style="2936"/>
    <col min="13831" max="13831" width="9.375" style="2936" bestFit="1" customWidth="1"/>
    <col min="13832" max="13833" width="9" style="2936"/>
    <col min="13834" max="13834" width="9.375" style="2936" bestFit="1" customWidth="1"/>
    <col min="13835" max="13835" width="4" style="2936" customWidth="1"/>
    <col min="13836" max="13836" width="5.125" style="2936" customWidth="1"/>
    <col min="13837" max="13837" width="13.75" style="2936" customWidth="1"/>
    <col min="13838" max="14080" width="9" style="2936"/>
    <col min="14081" max="14081" width="4.875" style="2936" customWidth="1"/>
    <col min="14082" max="14082" width="13.25" style="2936" customWidth="1"/>
    <col min="14083" max="14083" width="15.625" style="2936" customWidth="1"/>
    <col min="14084" max="14084" width="9.375" style="2936" bestFit="1" customWidth="1"/>
    <col min="14085" max="14085" width="13.5" style="2936" customWidth="1"/>
    <col min="14086" max="14086" width="9" style="2936"/>
    <col min="14087" max="14087" width="9.375" style="2936" bestFit="1" customWidth="1"/>
    <col min="14088" max="14089" width="9" style="2936"/>
    <col min="14090" max="14090" width="9.375" style="2936" bestFit="1" customWidth="1"/>
    <col min="14091" max="14091" width="4" style="2936" customWidth="1"/>
    <col min="14092" max="14092" width="5.125" style="2936" customWidth="1"/>
    <col min="14093" max="14093" width="13.75" style="2936" customWidth="1"/>
    <col min="14094" max="14336" width="9" style="2936"/>
    <col min="14337" max="14337" width="4.875" style="2936" customWidth="1"/>
    <col min="14338" max="14338" width="13.25" style="2936" customWidth="1"/>
    <col min="14339" max="14339" width="15.625" style="2936" customWidth="1"/>
    <col min="14340" max="14340" width="9.375" style="2936" bestFit="1" customWidth="1"/>
    <col min="14341" max="14341" width="13.5" style="2936" customWidth="1"/>
    <col min="14342" max="14342" width="9" style="2936"/>
    <col min="14343" max="14343" width="9.375" style="2936" bestFit="1" customWidth="1"/>
    <col min="14344" max="14345" width="9" style="2936"/>
    <col min="14346" max="14346" width="9.375" style="2936" bestFit="1" customWidth="1"/>
    <col min="14347" max="14347" width="4" style="2936" customWidth="1"/>
    <col min="14348" max="14348" width="5.125" style="2936" customWidth="1"/>
    <col min="14349" max="14349" width="13.75" style="2936" customWidth="1"/>
    <col min="14350" max="14592" width="9" style="2936"/>
    <col min="14593" max="14593" width="4.875" style="2936" customWidth="1"/>
    <col min="14594" max="14594" width="13.25" style="2936" customWidth="1"/>
    <col min="14595" max="14595" width="15.625" style="2936" customWidth="1"/>
    <col min="14596" max="14596" width="9.375" style="2936" bestFit="1" customWidth="1"/>
    <col min="14597" max="14597" width="13.5" style="2936" customWidth="1"/>
    <col min="14598" max="14598" width="9" style="2936"/>
    <col min="14599" max="14599" width="9.375" style="2936" bestFit="1" customWidth="1"/>
    <col min="14600" max="14601" width="9" style="2936"/>
    <col min="14602" max="14602" width="9.375" style="2936" bestFit="1" customWidth="1"/>
    <col min="14603" max="14603" width="4" style="2936" customWidth="1"/>
    <col min="14604" max="14604" width="5.125" style="2936" customWidth="1"/>
    <col min="14605" max="14605" width="13.75" style="2936" customWidth="1"/>
    <col min="14606" max="14848" width="9" style="2936"/>
    <col min="14849" max="14849" width="4.875" style="2936" customWidth="1"/>
    <col min="14850" max="14850" width="13.25" style="2936" customWidth="1"/>
    <col min="14851" max="14851" width="15.625" style="2936" customWidth="1"/>
    <col min="14852" max="14852" width="9.375" style="2936" bestFit="1" customWidth="1"/>
    <col min="14853" max="14853" width="13.5" style="2936" customWidth="1"/>
    <col min="14854" max="14854" width="9" style="2936"/>
    <col min="14855" max="14855" width="9.375" style="2936" bestFit="1" customWidth="1"/>
    <col min="14856" max="14857" width="9" style="2936"/>
    <col min="14858" max="14858" width="9.375" style="2936" bestFit="1" customWidth="1"/>
    <col min="14859" max="14859" width="4" style="2936" customWidth="1"/>
    <col min="14860" max="14860" width="5.125" style="2936" customWidth="1"/>
    <col min="14861" max="14861" width="13.75" style="2936" customWidth="1"/>
    <col min="14862" max="15104" width="9" style="2936"/>
    <col min="15105" max="15105" width="4.875" style="2936" customWidth="1"/>
    <col min="15106" max="15106" width="13.25" style="2936" customWidth="1"/>
    <col min="15107" max="15107" width="15.625" style="2936" customWidth="1"/>
    <col min="15108" max="15108" width="9.375" style="2936" bestFit="1" customWidth="1"/>
    <col min="15109" max="15109" width="13.5" style="2936" customWidth="1"/>
    <col min="15110" max="15110" width="9" style="2936"/>
    <col min="15111" max="15111" width="9.375" style="2936" bestFit="1" customWidth="1"/>
    <col min="15112" max="15113" width="9" style="2936"/>
    <col min="15114" max="15114" width="9.375" style="2936" bestFit="1" customWidth="1"/>
    <col min="15115" max="15115" width="4" style="2936" customWidth="1"/>
    <col min="15116" max="15116" width="5.125" style="2936" customWidth="1"/>
    <col min="15117" max="15117" width="13.75" style="2936" customWidth="1"/>
    <col min="15118" max="15360" width="9" style="2936"/>
    <col min="15361" max="15361" width="4.875" style="2936" customWidth="1"/>
    <col min="15362" max="15362" width="13.25" style="2936" customWidth="1"/>
    <col min="15363" max="15363" width="15.625" style="2936" customWidth="1"/>
    <col min="15364" max="15364" width="9.375" style="2936" bestFit="1" customWidth="1"/>
    <col min="15365" max="15365" width="13.5" style="2936" customWidth="1"/>
    <col min="15366" max="15366" width="9" style="2936"/>
    <col min="15367" max="15367" width="9.375" style="2936" bestFit="1" customWidth="1"/>
    <col min="15368" max="15369" width="9" style="2936"/>
    <col min="15370" max="15370" width="9.375" style="2936" bestFit="1" customWidth="1"/>
    <col min="15371" max="15371" width="4" style="2936" customWidth="1"/>
    <col min="15372" max="15372" width="5.125" style="2936" customWidth="1"/>
    <col min="15373" max="15373" width="13.75" style="2936" customWidth="1"/>
    <col min="15374" max="15616" width="9" style="2936"/>
    <col min="15617" max="15617" width="4.875" style="2936" customWidth="1"/>
    <col min="15618" max="15618" width="13.25" style="2936" customWidth="1"/>
    <col min="15619" max="15619" width="15.625" style="2936" customWidth="1"/>
    <col min="15620" max="15620" width="9.375" style="2936" bestFit="1" customWidth="1"/>
    <col min="15621" max="15621" width="13.5" style="2936" customWidth="1"/>
    <col min="15622" max="15622" width="9" style="2936"/>
    <col min="15623" max="15623" width="9.375" style="2936" bestFit="1" customWidth="1"/>
    <col min="15624" max="15625" width="9" style="2936"/>
    <col min="15626" max="15626" width="9.375" style="2936" bestFit="1" customWidth="1"/>
    <col min="15627" max="15627" width="4" style="2936" customWidth="1"/>
    <col min="15628" max="15628" width="5.125" style="2936" customWidth="1"/>
    <col min="15629" max="15629" width="13.75" style="2936" customWidth="1"/>
    <col min="15630" max="15872" width="9" style="2936"/>
    <col min="15873" max="15873" width="4.875" style="2936" customWidth="1"/>
    <col min="15874" max="15874" width="13.25" style="2936" customWidth="1"/>
    <col min="15875" max="15875" width="15.625" style="2936" customWidth="1"/>
    <col min="15876" max="15876" width="9.375" style="2936" bestFit="1" customWidth="1"/>
    <col min="15877" max="15877" width="13.5" style="2936" customWidth="1"/>
    <col min="15878" max="15878" width="9" style="2936"/>
    <col min="15879" max="15879" width="9.375" style="2936" bestFit="1" customWidth="1"/>
    <col min="15880" max="15881" width="9" style="2936"/>
    <col min="15882" max="15882" width="9.375" style="2936" bestFit="1" customWidth="1"/>
    <col min="15883" max="15883" width="4" style="2936" customWidth="1"/>
    <col min="15884" max="15884" width="5.125" style="2936" customWidth="1"/>
    <col min="15885" max="15885" width="13.75" style="2936" customWidth="1"/>
    <col min="15886" max="16128" width="9" style="2936"/>
    <col min="16129" max="16129" width="4.875" style="2936" customWidth="1"/>
    <col min="16130" max="16130" width="13.25" style="2936" customWidth="1"/>
    <col min="16131" max="16131" width="15.625" style="2936" customWidth="1"/>
    <col min="16132" max="16132" width="9.375" style="2936" bestFit="1" customWidth="1"/>
    <col min="16133" max="16133" width="13.5" style="2936" customWidth="1"/>
    <col min="16134" max="16134" width="9" style="2936"/>
    <col min="16135" max="16135" width="9.375" style="2936" bestFit="1" customWidth="1"/>
    <col min="16136" max="16137" width="9" style="2936"/>
    <col min="16138" max="16138" width="9.375" style="2936" bestFit="1" customWidth="1"/>
    <col min="16139" max="16139" width="4" style="2936" customWidth="1"/>
    <col min="16140" max="16140" width="5.125" style="2936" customWidth="1"/>
    <col min="16141" max="16141" width="13.75" style="2936" customWidth="1"/>
    <col min="16142" max="16384" width="9" style="2936"/>
  </cols>
  <sheetData>
    <row r="1" spans="1:257" s="2996" customFormat="1" ht="14.25" thickBot="1">
      <c r="A1" s="2995"/>
      <c r="B1" s="2997" t="s">
        <v>2785</v>
      </c>
      <c r="C1" s="3001">
        <f>项目基本情况!D3</f>
        <v>43444</v>
      </c>
      <c r="H1" s="2935">
        <f>IF(C1&gt;C13,0,MATCH(C1,C$13:C$100,-1))+IF(SUMIF(C13:C100,C1,D13:D100)=0,13,12)</f>
        <v>13</v>
      </c>
      <c r="I1" s="2935">
        <f>MATCH(C2,H3:H7,1)+IF(SUMIF(H3:H7,C2,I3:I7)=0,2,1)</f>
        <v>5</v>
      </c>
      <c r="J1" s="2994">
        <f ca="1">MATCH(C3,H3:H7,1)+IF(SUMIF(H3:H7,C3,J3:J7)=0,2,1)</f>
        <v>2</v>
      </c>
      <c r="N1" s="2935">
        <f>IF(C1&gt;M13,0,MATCH(C1,M$13:M$100,-1))+IF(SUMIF(M13:M100,C1,N13:N100)=0,13,12)</f>
        <v>13</v>
      </c>
      <c r="P1" s="2995"/>
      <c r="Q1" s="2995"/>
      <c r="R1" s="2995"/>
      <c r="S1" s="2995"/>
      <c r="T1" s="2995"/>
      <c r="U1" s="2995"/>
      <c r="V1" s="2995"/>
      <c r="W1" s="2995"/>
      <c r="X1" s="2995"/>
      <c r="Y1" s="2995"/>
      <c r="Z1" s="2995"/>
      <c r="AA1" s="2995"/>
      <c r="AB1" s="2995"/>
      <c r="AC1" s="2995"/>
      <c r="AD1" s="2995"/>
      <c r="AE1" s="2995"/>
      <c r="AF1" s="2995"/>
      <c r="AG1" s="2995"/>
      <c r="AH1" s="2995"/>
      <c r="AI1" s="2995"/>
      <c r="AJ1" s="2995"/>
      <c r="AK1" s="2995"/>
      <c r="AL1" s="2995"/>
      <c r="AM1" s="2995"/>
      <c r="AN1" s="2995"/>
      <c r="AO1" s="2995"/>
      <c r="AP1" s="2995"/>
      <c r="AQ1" s="2995"/>
      <c r="AR1" s="2995"/>
      <c r="AS1" s="2995"/>
      <c r="AT1" s="2995"/>
      <c r="AU1" s="2995"/>
      <c r="AV1" s="2995"/>
      <c r="AW1" s="2995"/>
      <c r="AX1" s="2995"/>
      <c r="AY1" s="2995"/>
      <c r="AZ1" s="2995"/>
      <c r="BA1" s="2995"/>
      <c r="BB1" s="2995"/>
      <c r="BC1" s="2995"/>
      <c r="BD1" s="2995"/>
      <c r="BE1" s="2995"/>
      <c r="BF1" s="2995"/>
      <c r="BG1" s="2995"/>
      <c r="BH1" s="2995"/>
      <c r="BI1" s="2995"/>
      <c r="BJ1" s="2995"/>
      <c r="BK1" s="2995"/>
      <c r="BL1" s="2995"/>
      <c r="BM1" s="2995"/>
      <c r="BN1" s="2995"/>
      <c r="BO1" s="2995"/>
      <c r="BP1" s="2995"/>
      <c r="BQ1" s="2995"/>
      <c r="BR1" s="2995"/>
      <c r="BS1" s="2995"/>
      <c r="BT1" s="2995"/>
      <c r="BU1" s="2995"/>
      <c r="BV1" s="2995"/>
      <c r="BW1" s="2995"/>
      <c r="BX1" s="2995"/>
      <c r="BY1" s="2995"/>
      <c r="BZ1" s="2995"/>
      <c r="CA1" s="2995"/>
      <c r="CB1" s="2995"/>
      <c r="CC1" s="2995"/>
      <c r="CD1" s="2995"/>
      <c r="CE1" s="2995"/>
      <c r="CF1" s="2995"/>
      <c r="CG1" s="2995"/>
      <c r="CH1" s="2995"/>
      <c r="CI1" s="2995"/>
      <c r="CJ1" s="2995"/>
      <c r="CK1" s="2995"/>
      <c r="CL1" s="2995"/>
      <c r="CM1" s="2995"/>
      <c r="CN1" s="2995"/>
      <c r="CO1" s="2995"/>
      <c r="CP1" s="2995"/>
      <c r="CQ1" s="2995"/>
      <c r="CR1" s="2995"/>
      <c r="CS1" s="2995"/>
      <c r="CT1" s="2995"/>
      <c r="CU1" s="2995"/>
      <c r="CV1" s="2995"/>
      <c r="CW1" s="2995"/>
      <c r="CX1" s="2995"/>
      <c r="CY1" s="2995"/>
      <c r="CZ1" s="2995"/>
      <c r="DA1" s="2995"/>
      <c r="DB1" s="2995"/>
      <c r="DC1" s="2995"/>
      <c r="DD1" s="2995"/>
      <c r="DE1" s="2995"/>
      <c r="DF1" s="2995"/>
      <c r="DG1" s="2995"/>
      <c r="DH1" s="2995"/>
      <c r="DI1" s="2995"/>
      <c r="DJ1" s="2995"/>
      <c r="DK1" s="2995"/>
      <c r="DL1" s="2995"/>
      <c r="DM1" s="2995"/>
      <c r="DN1" s="2995"/>
      <c r="DO1" s="2995"/>
      <c r="DP1" s="2995"/>
      <c r="DQ1" s="2995"/>
      <c r="DR1" s="2995"/>
      <c r="DS1" s="2995"/>
      <c r="DT1" s="2995"/>
      <c r="DU1" s="2995"/>
      <c r="DV1" s="2995"/>
      <c r="DW1" s="2995"/>
      <c r="DX1" s="2995"/>
      <c r="DY1" s="2995"/>
      <c r="DZ1" s="2995"/>
      <c r="EA1" s="2995"/>
      <c r="EB1" s="2995"/>
      <c r="EC1" s="2995"/>
      <c r="ED1" s="2995"/>
      <c r="EE1" s="2995"/>
      <c r="EF1" s="2995"/>
      <c r="EG1" s="2995"/>
      <c r="EH1" s="2995"/>
      <c r="EI1" s="2995"/>
      <c r="EJ1" s="2995"/>
      <c r="EK1" s="2995"/>
      <c r="EL1" s="2995"/>
      <c r="EM1" s="2995"/>
      <c r="EN1" s="2995"/>
      <c r="EO1" s="2995"/>
      <c r="EP1" s="2995"/>
      <c r="EQ1" s="2995"/>
      <c r="ER1" s="2995"/>
      <c r="ES1" s="2995"/>
      <c r="ET1" s="2995"/>
      <c r="EU1" s="2995"/>
      <c r="EV1" s="2995"/>
      <c r="EW1" s="2995"/>
      <c r="EX1" s="2995"/>
      <c r="EY1" s="2995"/>
      <c r="EZ1" s="2995"/>
      <c r="FA1" s="2995"/>
      <c r="FB1" s="2995"/>
      <c r="FC1" s="2995"/>
      <c r="FD1" s="2995"/>
      <c r="FE1" s="2995"/>
      <c r="FF1" s="2995"/>
      <c r="FG1" s="2995"/>
      <c r="FH1" s="2995"/>
      <c r="FI1" s="2995"/>
      <c r="FJ1" s="2995"/>
      <c r="FK1" s="2995"/>
      <c r="FL1" s="2995"/>
      <c r="FM1" s="2995"/>
      <c r="FN1" s="2995"/>
      <c r="FO1" s="2995"/>
      <c r="FP1" s="2995"/>
      <c r="FQ1" s="2995"/>
      <c r="FR1" s="2995"/>
      <c r="FS1" s="2995"/>
      <c r="FT1" s="2995"/>
      <c r="FU1" s="2995"/>
      <c r="FV1" s="2995"/>
      <c r="FW1" s="2995"/>
      <c r="FX1" s="2995"/>
      <c r="FY1" s="2995"/>
      <c r="FZ1" s="2995"/>
      <c r="GA1" s="2995"/>
      <c r="GB1" s="2995"/>
      <c r="GC1" s="2995"/>
      <c r="GD1" s="2995"/>
      <c r="GE1" s="2995"/>
      <c r="GF1" s="2995"/>
      <c r="GG1" s="2995"/>
      <c r="GH1" s="2995"/>
      <c r="GI1" s="2995"/>
      <c r="GJ1" s="2995"/>
      <c r="GK1" s="2995"/>
      <c r="GL1" s="2995"/>
      <c r="GM1" s="2995"/>
      <c r="GN1" s="2995"/>
      <c r="GO1" s="2995"/>
      <c r="GP1" s="2995"/>
      <c r="GQ1" s="2995"/>
      <c r="GR1" s="2995"/>
      <c r="GS1" s="2995"/>
      <c r="GT1" s="2995"/>
      <c r="GU1" s="2995"/>
      <c r="GV1" s="2995"/>
      <c r="GW1" s="2995"/>
      <c r="GX1" s="2995"/>
      <c r="GY1" s="2995"/>
      <c r="GZ1" s="2995"/>
      <c r="HA1" s="2995"/>
      <c r="HB1" s="2995"/>
      <c r="HC1" s="2995"/>
      <c r="HD1" s="2995"/>
      <c r="HE1" s="2995"/>
      <c r="HF1" s="2995"/>
      <c r="HG1" s="2995"/>
      <c r="HH1" s="2995"/>
      <c r="HI1" s="2995"/>
      <c r="HJ1" s="2995"/>
      <c r="HK1" s="2995"/>
      <c r="HL1" s="2995"/>
      <c r="HM1" s="2995"/>
      <c r="HN1" s="2995"/>
      <c r="HO1" s="2995"/>
      <c r="HP1" s="2995"/>
      <c r="HQ1" s="2995"/>
      <c r="HR1" s="2995"/>
      <c r="HS1" s="2995"/>
      <c r="HT1" s="2995"/>
      <c r="HU1" s="2995"/>
      <c r="HV1" s="2995"/>
      <c r="HW1" s="2995"/>
      <c r="HX1" s="2995"/>
      <c r="HY1" s="2995"/>
      <c r="HZ1" s="2995"/>
      <c r="IA1" s="2995"/>
      <c r="IB1" s="2995"/>
      <c r="IC1" s="2995"/>
      <c r="ID1" s="2995"/>
      <c r="IE1" s="2995"/>
      <c r="IF1" s="2995"/>
      <c r="IG1" s="2995"/>
      <c r="IH1" s="2995"/>
      <c r="II1" s="2995"/>
      <c r="IJ1" s="2995"/>
      <c r="IK1" s="2995"/>
      <c r="IL1" s="2995"/>
      <c r="IM1" s="2995"/>
      <c r="IN1" s="2995"/>
      <c r="IO1" s="2995"/>
      <c r="IP1" s="2995"/>
      <c r="IQ1" s="2995"/>
      <c r="IR1" s="2995"/>
      <c r="IS1" s="2995"/>
      <c r="IT1" s="2995"/>
      <c r="IU1" s="2995"/>
      <c r="IV1" s="2995"/>
    </row>
    <row r="2" spans="1:257" s="2993" customFormat="1" ht="15" thickTop="1" thickBot="1">
      <c r="A2" s="2937"/>
      <c r="B2" s="2998" t="s">
        <v>2816</v>
      </c>
      <c r="C2" s="3002">
        <f>'数据-取费表'!B22</f>
        <v>2</v>
      </c>
      <c r="D2" s="2997" t="s">
        <v>2786</v>
      </c>
      <c r="E2" s="3000">
        <f ca="1">INDIRECT("I"&amp;$I$1)/100</f>
        <v>4.7500000000000001E-2</v>
      </c>
      <c r="G2" s="2937"/>
      <c r="H2" s="2937"/>
      <c r="I2" s="2937" t="s">
        <v>2787</v>
      </c>
      <c r="K2" s="2937"/>
      <c r="L2" s="2937"/>
      <c r="M2" s="2937"/>
      <c r="N2" s="2937" t="s">
        <v>2788</v>
      </c>
      <c r="O2" s="2937"/>
      <c r="P2" s="2937"/>
      <c r="Q2" s="2937"/>
      <c r="R2" s="2937"/>
      <c r="S2" s="2937"/>
      <c r="T2" s="2937"/>
      <c r="U2" s="2937"/>
      <c r="V2" s="2937"/>
      <c r="W2" s="2937"/>
      <c r="X2" s="2937"/>
      <c r="Y2" s="2937"/>
      <c r="Z2" s="2937"/>
      <c r="AA2" s="2937"/>
      <c r="AB2" s="2937"/>
      <c r="AC2" s="2937"/>
      <c r="AD2" s="2937"/>
      <c r="AE2" s="2937"/>
      <c r="AF2" s="2937"/>
      <c r="AG2" s="2937"/>
      <c r="AH2" s="2937"/>
      <c r="AI2" s="2937"/>
      <c r="AJ2" s="2937"/>
      <c r="AK2" s="2937"/>
      <c r="AL2" s="2937"/>
      <c r="AM2" s="2937"/>
      <c r="AN2" s="2937"/>
      <c r="AO2" s="2937"/>
      <c r="AP2" s="2937"/>
      <c r="AQ2" s="2937"/>
      <c r="AR2" s="2937"/>
      <c r="AS2" s="2937"/>
      <c r="AT2" s="2937"/>
      <c r="AU2" s="2937"/>
      <c r="AV2" s="2937"/>
      <c r="AW2" s="2937"/>
      <c r="AX2" s="2937"/>
      <c r="AY2" s="2937"/>
      <c r="AZ2" s="2937"/>
      <c r="BA2" s="2937"/>
      <c r="BB2" s="2937"/>
      <c r="BC2" s="2937"/>
      <c r="BD2" s="2937"/>
      <c r="BE2" s="2937"/>
      <c r="BF2" s="2937"/>
      <c r="BG2" s="2937"/>
      <c r="BH2" s="2937"/>
      <c r="BI2" s="2937"/>
      <c r="BJ2" s="2937"/>
      <c r="BK2" s="2937"/>
      <c r="BL2" s="2937"/>
      <c r="BM2" s="2937"/>
      <c r="BN2" s="2937"/>
      <c r="BO2" s="2937"/>
      <c r="BP2" s="2937"/>
      <c r="BQ2" s="2937"/>
      <c r="BR2" s="2937"/>
      <c r="BS2" s="2937"/>
      <c r="BT2" s="2937"/>
      <c r="BU2" s="2937"/>
      <c r="BV2" s="2937"/>
      <c r="BW2" s="2937"/>
      <c r="BX2" s="2937"/>
      <c r="BY2" s="2937"/>
      <c r="BZ2" s="2937"/>
      <c r="CA2" s="2937"/>
      <c r="CB2" s="2937"/>
      <c r="CC2" s="2937"/>
      <c r="CD2" s="2937"/>
      <c r="CE2" s="2937"/>
      <c r="CF2" s="2937"/>
      <c r="CG2" s="2937"/>
      <c r="CH2" s="2937"/>
      <c r="CI2" s="2937"/>
      <c r="CJ2" s="2937"/>
      <c r="CK2" s="2937"/>
      <c r="CL2" s="2937"/>
      <c r="CM2" s="2937"/>
      <c r="CN2" s="2937"/>
      <c r="CO2" s="2937"/>
      <c r="CP2" s="2937"/>
      <c r="CQ2" s="2937"/>
      <c r="CR2" s="2937"/>
      <c r="CS2" s="2937"/>
      <c r="CT2" s="2937"/>
      <c r="CU2" s="2937"/>
      <c r="CV2" s="2937"/>
      <c r="CW2" s="2937"/>
      <c r="CX2" s="2937"/>
      <c r="CY2" s="2937"/>
      <c r="CZ2" s="2937"/>
      <c r="DA2" s="2937"/>
      <c r="DB2" s="2937"/>
      <c r="DC2" s="2937"/>
      <c r="DD2" s="2937"/>
      <c r="DE2" s="2937"/>
      <c r="DF2" s="2937"/>
      <c r="DG2" s="2937"/>
      <c r="DH2" s="2937"/>
      <c r="DI2" s="2937"/>
      <c r="DJ2" s="2937"/>
      <c r="DK2" s="2937"/>
      <c r="DL2" s="2937"/>
      <c r="DM2" s="2937"/>
      <c r="DN2" s="2937"/>
      <c r="DO2" s="2937"/>
      <c r="DP2" s="2937"/>
      <c r="DQ2" s="2937"/>
      <c r="DR2" s="2937"/>
      <c r="DS2" s="2937"/>
      <c r="DT2" s="2937"/>
      <c r="DU2" s="2937"/>
      <c r="DV2" s="2937"/>
      <c r="DW2" s="2937"/>
      <c r="DX2" s="2937"/>
      <c r="DY2" s="2937"/>
      <c r="DZ2" s="2937"/>
      <c r="EA2" s="2937"/>
      <c r="EB2" s="2937"/>
      <c r="EC2" s="2937"/>
      <c r="ED2" s="2937"/>
      <c r="EE2" s="2937"/>
      <c r="EF2" s="2937"/>
      <c r="EG2" s="2937"/>
      <c r="EH2" s="2937"/>
      <c r="EI2" s="2937"/>
      <c r="EJ2" s="2937"/>
      <c r="EK2" s="2937"/>
      <c r="EL2" s="2937"/>
      <c r="EM2" s="2937"/>
      <c r="EN2" s="2937"/>
      <c r="EO2" s="2937"/>
      <c r="EP2" s="2937"/>
      <c r="EQ2" s="2937"/>
      <c r="ER2" s="2937"/>
      <c r="ES2" s="2937"/>
      <c r="ET2" s="2937"/>
      <c r="EU2" s="2937"/>
      <c r="EV2" s="2937"/>
      <c r="EW2" s="2937"/>
      <c r="EX2" s="2937"/>
      <c r="EY2" s="2937"/>
      <c r="EZ2" s="2937"/>
      <c r="FA2" s="2937"/>
      <c r="FB2" s="2937"/>
      <c r="FC2" s="2937"/>
      <c r="FD2" s="2937"/>
      <c r="FE2" s="2937"/>
      <c r="FF2" s="2937"/>
      <c r="FG2" s="2937"/>
      <c r="FH2" s="2937"/>
      <c r="FI2" s="2937"/>
      <c r="FJ2" s="2937"/>
      <c r="FK2" s="2937"/>
      <c r="FL2" s="2937"/>
      <c r="FM2" s="2937"/>
      <c r="FN2" s="2937"/>
      <c r="FO2" s="2937"/>
      <c r="FP2" s="2937"/>
      <c r="FQ2" s="2937"/>
      <c r="FR2" s="2937"/>
      <c r="FS2" s="2937"/>
      <c r="FT2" s="2937"/>
      <c r="FU2" s="2937"/>
      <c r="FV2" s="2937"/>
      <c r="FW2" s="2937"/>
      <c r="FX2" s="2937"/>
      <c r="FY2" s="2937"/>
      <c r="FZ2" s="2937"/>
      <c r="GA2" s="2937"/>
      <c r="GB2" s="2937"/>
      <c r="GC2" s="2937"/>
      <c r="GD2" s="2937"/>
      <c r="GE2" s="2937"/>
      <c r="GF2" s="2937"/>
      <c r="GG2" s="2937"/>
      <c r="GH2" s="2937"/>
      <c r="GI2" s="2937"/>
      <c r="GJ2" s="2937"/>
      <c r="GK2" s="2937"/>
      <c r="GL2" s="2937"/>
      <c r="GM2" s="2937"/>
      <c r="GN2" s="2937"/>
      <c r="GO2" s="2937"/>
      <c r="GP2" s="2937"/>
      <c r="GQ2" s="2937"/>
      <c r="GR2" s="2937"/>
      <c r="GS2" s="2937"/>
      <c r="GT2" s="2937"/>
      <c r="GU2" s="2937"/>
      <c r="GV2" s="2937"/>
      <c r="GW2" s="2937"/>
      <c r="GX2" s="2937"/>
      <c r="GY2" s="2937"/>
      <c r="GZ2" s="2937"/>
      <c r="HA2" s="2937"/>
      <c r="HB2" s="2937"/>
      <c r="HC2" s="2937"/>
      <c r="HD2" s="2937"/>
      <c r="HE2" s="2937"/>
      <c r="HF2" s="2937"/>
      <c r="HG2" s="2937"/>
      <c r="HH2" s="2937"/>
      <c r="HI2" s="2937"/>
      <c r="HJ2" s="2937"/>
      <c r="HK2" s="2937"/>
      <c r="HL2" s="2937"/>
      <c r="HM2" s="2937"/>
      <c r="HN2" s="2937"/>
      <c r="HO2" s="2937"/>
      <c r="HP2" s="2937"/>
      <c r="HQ2" s="2937"/>
      <c r="HR2" s="2937"/>
      <c r="HS2" s="2937"/>
      <c r="HT2" s="2937"/>
      <c r="HU2" s="2937"/>
      <c r="HV2" s="2937"/>
      <c r="HW2" s="2937"/>
      <c r="HX2" s="2937"/>
      <c r="HY2" s="2937"/>
      <c r="HZ2" s="2937"/>
      <c r="IA2" s="2937"/>
      <c r="IB2" s="2937"/>
      <c r="IC2" s="2937"/>
      <c r="ID2" s="2937"/>
      <c r="IE2" s="2937"/>
      <c r="IF2" s="2937"/>
      <c r="IG2" s="2937"/>
      <c r="IH2" s="2937"/>
      <c r="II2" s="2937"/>
      <c r="IJ2" s="2937"/>
      <c r="IK2" s="2937"/>
      <c r="IL2" s="2937"/>
      <c r="IM2" s="2937"/>
      <c r="IN2" s="2937"/>
      <c r="IO2" s="2937"/>
      <c r="IP2" s="2937"/>
      <c r="IQ2" s="2937"/>
      <c r="IR2" s="2937"/>
      <c r="IS2" s="2937"/>
      <c r="IT2" s="2937"/>
      <c r="IU2" s="2937"/>
      <c r="IV2" s="2937"/>
      <c r="IW2" s="2937"/>
    </row>
    <row r="3" spans="1:257" s="2993" customFormat="1">
      <c r="A3" s="2938"/>
      <c r="B3" s="2997" t="s">
        <v>2818</v>
      </c>
      <c r="C3" s="2999">
        <f>'数据-取费表'!B19</f>
        <v>0</v>
      </c>
      <c r="D3" s="2997" t="s">
        <v>2786</v>
      </c>
      <c r="E3" s="3000">
        <f ca="1">INDIRECT("J"&amp;$J$1)/100</f>
        <v>0</v>
      </c>
      <c r="G3" s="2939" t="s">
        <v>2789</v>
      </c>
      <c r="H3" s="2940">
        <v>0</v>
      </c>
      <c r="I3" s="2941">
        <f ca="1">INDIRECT("d"&amp;$H$1)</f>
        <v>4.3499999999999996</v>
      </c>
      <c r="J3" s="2941">
        <f ca="1">INDIRECT("d"&amp;$H$1)</f>
        <v>4.3499999999999996</v>
      </c>
      <c r="K3" s="2938"/>
      <c r="L3" s="2938"/>
      <c r="M3" s="2942">
        <v>0.5</v>
      </c>
      <c r="N3" s="2943">
        <f ca="1">INDIRECT("p"&amp;$N$1)</f>
        <v>1.3</v>
      </c>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38"/>
      <c r="AO3" s="2938"/>
      <c r="AP3" s="2938"/>
      <c r="AQ3" s="2938"/>
      <c r="AR3" s="2938"/>
      <c r="AS3" s="2938"/>
      <c r="AT3" s="2938"/>
      <c r="AU3" s="2938"/>
      <c r="AV3" s="2938"/>
      <c r="AW3" s="2938"/>
      <c r="AX3" s="2938"/>
      <c r="AY3" s="2938"/>
      <c r="AZ3" s="2938"/>
      <c r="BA3" s="2938"/>
      <c r="BB3" s="2938"/>
      <c r="BC3" s="2938"/>
      <c r="BD3" s="2938"/>
      <c r="BE3" s="2938"/>
      <c r="BF3" s="2938"/>
      <c r="BG3" s="2938"/>
      <c r="BH3" s="2938"/>
      <c r="BI3" s="2938"/>
      <c r="BJ3" s="2938"/>
      <c r="BK3" s="2938"/>
      <c r="BL3" s="2938"/>
      <c r="BM3" s="2938"/>
      <c r="BN3" s="2938"/>
      <c r="BO3" s="2938"/>
      <c r="BP3" s="2938"/>
      <c r="BQ3" s="2938"/>
      <c r="BR3" s="2938"/>
      <c r="BS3" s="2938"/>
      <c r="BT3" s="2938"/>
      <c r="BU3" s="2938"/>
      <c r="BV3" s="2938"/>
      <c r="BW3" s="2938"/>
      <c r="BX3" s="2938"/>
      <c r="BY3" s="2938"/>
      <c r="BZ3" s="2938"/>
      <c r="CA3" s="2938"/>
      <c r="CB3" s="2938"/>
      <c r="CC3" s="2938"/>
      <c r="CD3" s="2938"/>
      <c r="CE3" s="2938"/>
      <c r="CF3" s="2938"/>
      <c r="CG3" s="2938"/>
      <c r="CH3" s="2938"/>
      <c r="CI3" s="2938"/>
      <c r="CJ3" s="2938"/>
      <c r="CK3" s="2938"/>
      <c r="CL3" s="2938"/>
      <c r="CM3" s="2938"/>
      <c r="CN3" s="2938"/>
      <c r="CO3" s="2938"/>
      <c r="CP3" s="2938"/>
      <c r="CQ3" s="2938"/>
      <c r="CR3" s="2938"/>
      <c r="CS3" s="2938"/>
      <c r="CT3" s="2938"/>
      <c r="CU3" s="2938"/>
      <c r="CV3" s="2938"/>
      <c r="CW3" s="2938"/>
      <c r="CX3" s="2938"/>
      <c r="CY3" s="2938"/>
      <c r="CZ3" s="2938"/>
      <c r="DA3" s="2938"/>
      <c r="DB3" s="2938"/>
      <c r="DC3" s="2938"/>
      <c r="DD3" s="2938"/>
      <c r="DE3" s="2938"/>
      <c r="DF3" s="2938"/>
      <c r="DG3" s="2938"/>
      <c r="DH3" s="2938"/>
      <c r="DI3" s="2938"/>
      <c r="DJ3" s="2938"/>
      <c r="DK3" s="2938"/>
      <c r="DL3" s="2938"/>
      <c r="DM3" s="2938"/>
      <c r="DN3" s="2938"/>
      <c r="DO3" s="2938"/>
      <c r="DP3" s="2938"/>
      <c r="DQ3" s="2938"/>
      <c r="DR3" s="2938"/>
      <c r="DS3" s="2938"/>
      <c r="DT3" s="2938"/>
      <c r="DU3" s="2938"/>
      <c r="DV3" s="2938"/>
      <c r="DW3" s="2938"/>
      <c r="DX3" s="2938"/>
      <c r="DY3" s="2938"/>
      <c r="DZ3" s="2938"/>
      <c r="EA3" s="2938"/>
      <c r="EB3" s="2938"/>
      <c r="EC3" s="2938"/>
      <c r="ED3" s="2938"/>
      <c r="EE3" s="2938"/>
      <c r="EF3" s="2938"/>
      <c r="EG3" s="2938"/>
      <c r="EH3" s="2938"/>
      <c r="EI3" s="2938"/>
      <c r="EJ3" s="2938"/>
      <c r="EK3" s="2938"/>
      <c r="EL3" s="2938"/>
      <c r="EM3" s="2938"/>
      <c r="EN3" s="2938"/>
      <c r="EO3" s="2938"/>
      <c r="EP3" s="2938"/>
      <c r="EQ3" s="2938"/>
      <c r="ER3" s="2938"/>
      <c r="ES3" s="2938"/>
      <c r="ET3" s="2938"/>
      <c r="EU3" s="2938"/>
      <c r="EV3" s="2938"/>
      <c r="EW3" s="2938"/>
      <c r="EX3" s="2938"/>
      <c r="EY3" s="2938"/>
      <c r="EZ3" s="2938"/>
      <c r="FA3" s="2938"/>
      <c r="FB3" s="2938"/>
      <c r="FC3" s="2938"/>
      <c r="FD3" s="2938"/>
      <c r="FE3" s="2938"/>
      <c r="FF3" s="2938"/>
      <c r="FG3" s="2938"/>
      <c r="FH3" s="2938"/>
      <c r="FI3" s="2938"/>
      <c r="FJ3" s="2938"/>
      <c r="FK3" s="2938"/>
      <c r="FL3" s="2938"/>
      <c r="FM3" s="2938"/>
      <c r="FN3" s="2938"/>
      <c r="FO3" s="2938"/>
      <c r="FP3" s="2938"/>
      <c r="FQ3" s="2938"/>
      <c r="FR3" s="2938"/>
      <c r="FS3" s="2938"/>
      <c r="FT3" s="2938"/>
      <c r="FU3" s="2938"/>
      <c r="FV3" s="2938"/>
      <c r="FW3" s="2938"/>
      <c r="FX3" s="2938"/>
      <c r="FY3" s="2938"/>
      <c r="FZ3" s="2938"/>
      <c r="GA3" s="2938"/>
      <c r="GB3" s="2938"/>
      <c r="GC3" s="2938"/>
      <c r="GD3" s="2938"/>
      <c r="GE3" s="2938"/>
      <c r="GF3" s="2938"/>
      <c r="GG3" s="2938"/>
      <c r="GH3" s="2938"/>
      <c r="GI3" s="2938"/>
      <c r="GJ3" s="2938"/>
      <c r="GK3" s="2938"/>
      <c r="GL3" s="2938"/>
      <c r="GM3" s="2938"/>
      <c r="GN3" s="2938"/>
      <c r="GO3" s="2938"/>
      <c r="GP3" s="2938"/>
      <c r="GQ3" s="2938"/>
      <c r="GR3" s="2938"/>
      <c r="GS3" s="2938"/>
      <c r="GT3" s="2938"/>
      <c r="GU3" s="2938"/>
      <c r="GV3" s="2938"/>
      <c r="GW3" s="2938"/>
      <c r="GX3" s="2938"/>
      <c r="GY3" s="2938"/>
      <c r="GZ3" s="2938"/>
      <c r="HA3" s="2938"/>
      <c r="HB3" s="2938"/>
      <c r="HC3" s="2938"/>
      <c r="HD3" s="2938"/>
      <c r="HE3" s="2938"/>
      <c r="HF3" s="2938"/>
      <c r="HG3" s="2938"/>
      <c r="HH3" s="2938"/>
      <c r="HI3" s="2938"/>
      <c r="HJ3" s="2938"/>
      <c r="HK3" s="2938"/>
      <c r="HL3" s="2938"/>
      <c r="HM3" s="2938"/>
      <c r="HN3" s="2938"/>
      <c r="HO3" s="2938"/>
      <c r="HP3" s="2938"/>
      <c r="HQ3" s="2938"/>
      <c r="HR3" s="2938"/>
      <c r="HS3" s="2938"/>
      <c r="HT3" s="2938"/>
      <c r="HU3" s="2938"/>
      <c r="HV3" s="2938"/>
      <c r="HW3" s="2938"/>
      <c r="HX3" s="2938"/>
      <c r="HY3" s="2938"/>
      <c r="HZ3" s="2938"/>
      <c r="IA3" s="2938"/>
      <c r="IB3" s="2938"/>
      <c r="IC3" s="2938"/>
      <c r="ID3" s="2938"/>
      <c r="IE3" s="2938"/>
      <c r="IF3" s="2938"/>
      <c r="IG3" s="2938"/>
      <c r="IH3" s="2938"/>
      <c r="II3" s="2938"/>
      <c r="IJ3" s="2938"/>
      <c r="IK3" s="2938"/>
      <c r="IL3" s="2938"/>
      <c r="IM3" s="2938"/>
      <c r="IN3" s="2938"/>
      <c r="IO3" s="2938"/>
      <c r="IP3" s="2938"/>
      <c r="IQ3" s="2938"/>
      <c r="IR3" s="2938"/>
      <c r="IS3" s="2938"/>
      <c r="IT3" s="2938"/>
      <c r="IU3" s="2938"/>
      <c r="IV3" s="2938"/>
    </row>
    <row r="4" spans="1:257" s="2993" customFormat="1">
      <c r="A4" s="2938"/>
      <c r="B4" s="2997" t="s">
        <v>2817</v>
      </c>
      <c r="C4" s="3000">
        <f ca="1">N4/100</f>
        <v>1.4999999999999999E-2</v>
      </c>
      <c r="G4" s="2945" t="s">
        <v>2790</v>
      </c>
      <c r="H4" s="2946">
        <v>0.5</v>
      </c>
      <c r="I4" s="2947">
        <f ca="1">INDIRECT("e"&amp;$H$1)</f>
        <v>4.3499999999999996</v>
      </c>
      <c r="J4" s="2947">
        <f ca="1">INDIRECT("e"&amp;$H$1)</f>
        <v>4.3499999999999996</v>
      </c>
      <c r="K4" s="2938"/>
      <c r="L4" s="2938"/>
      <c r="M4" s="2948">
        <v>1</v>
      </c>
      <c r="N4" s="2949">
        <f ca="1">INDIRECT("q"&amp;$N$1)</f>
        <v>1.5</v>
      </c>
      <c r="O4" s="2938"/>
      <c r="P4" s="2938"/>
      <c r="Q4" s="2938"/>
      <c r="R4" s="2938"/>
      <c r="S4" s="2938"/>
      <c r="T4" s="2938"/>
      <c r="U4" s="2938"/>
      <c r="V4" s="2938"/>
      <c r="W4" s="2938"/>
      <c r="X4" s="2938"/>
      <c r="Y4" s="2938"/>
      <c r="Z4" s="2938"/>
      <c r="AA4" s="2938"/>
      <c r="AB4" s="2938"/>
      <c r="AC4" s="2938"/>
      <c r="AD4" s="2938"/>
      <c r="AE4" s="2938"/>
      <c r="AF4" s="2938"/>
      <c r="AG4" s="2938"/>
      <c r="AH4" s="2938"/>
      <c r="AI4" s="2938"/>
      <c r="AJ4" s="2938"/>
      <c r="AK4" s="2938"/>
      <c r="AL4" s="2938"/>
      <c r="AM4" s="2938"/>
      <c r="AN4" s="2938"/>
      <c r="AO4" s="2938"/>
      <c r="AP4" s="2938"/>
      <c r="AQ4" s="2938"/>
      <c r="AR4" s="2938"/>
      <c r="AS4" s="2938"/>
      <c r="AT4" s="2938"/>
      <c r="AU4" s="2938"/>
      <c r="AV4" s="2938"/>
      <c r="AW4" s="2938"/>
      <c r="AX4" s="2938"/>
      <c r="AY4" s="2938"/>
      <c r="AZ4" s="2938"/>
      <c r="BA4" s="2938"/>
      <c r="BB4" s="2938"/>
      <c r="BC4" s="2938"/>
      <c r="BD4" s="2938"/>
      <c r="BE4" s="2938"/>
      <c r="BF4" s="2938"/>
      <c r="BG4" s="2938"/>
      <c r="BH4" s="2938"/>
      <c r="BI4" s="2938"/>
      <c r="BJ4" s="2938"/>
      <c r="BK4" s="2938"/>
      <c r="BL4" s="2938"/>
      <c r="BM4" s="2938"/>
      <c r="BN4" s="2938"/>
      <c r="BO4" s="2938"/>
      <c r="BP4" s="2938"/>
      <c r="BQ4" s="2938"/>
      <c r="BR4" s="2938"/>
      <c r="BS4" s="2938"/>
      <c r="BT4" s="2938"/>
      <c r="BU4" s="2938"/>
      <c r="BV4" s="2938"/>
      <c r="BW4" s="2938"/>
      <c r="BX4" s="2938"/>
      <c r="BY4" s="2938"/>
      <c r="BZ4" s="2938"/>
      <c r="CA4" s="2938"/>
      <c r="CB4" s="2938"/>
      <c r="CC4" s="2938"/>
      <c r="CD4" s="2938"/>
      <c r="CE4" s="2938"/>
      <c r="CF4" s="2938"/>
      <c r="CG4" s="2938"/>
      <c r="CH4" s="2938"/>
      <c r="CI4" s="2938"/>
      <c r="CJ4" s="2938"/>
      <c r="CK4" s="2938"/>
      <c r="CL4" s="2938"/>
      <c r="CM4" s="2938"/>
      <c r="CN4" s="2938"/>
      <c r="CO4" s="2938"/>
      <c r="CP4" s="2938"/>
      <c r="CQ4" s="2938"/>
      <c r="CR4" s="2938"/>
      <c r="CS4" s="2938"/>
      <c r="CT4" s="2938"/>
      <c r="CU4" s="2938"/>
      <c r="CV4" s="2938"/>
      <c r="CW4" s="2938"/>
      <c r="CX4" s="2938"/>
      <c r="CY4" s="2938"/>
      <c r="CZ4" s="2938"/>
      <c r="DA4" s="2938"/>
      <c r="DB4" s="2938"/>
      <c r="DC4" s="2938"/>
      <c r="DD4" s="2938"/>
      <c r="DE4" s="2938"/>
      <c r="DF4" s="2938"/>
      <c r="DG4" s="2938"/>
      <c r="DH4" s="2938"/>
      <c r="DI4" s="2938"/>
      <c r="DJ4" s="2938"/>
      <c r="DK4" s="2938"/>
      <c r="DL4" s="2938"/>
      <c r="DM4" s="2938"/>
      <c r="DN4" s="2938"/>
      <c r="DO4" s="2938"/>
      <c r="DP4" s="2938"/>
      <c r="DQ4" s="2938"/>
      <c r="DR4" s="2938"/>
      <c r="DS4" s="2938"/>
      <c r="DT4" s="2938"/>
      <c r="DU4" s="2938"/>
      <c r="DV4" s="2938"/>
      <c r="DW4" s="2938"/>
      <c r="DX4" s="2938"/>
      <c r="DY4" s="2938"/>
      <c r="DZ4" s="2938"/>
      <c r="EA4" s="2938"/>
      <c r="EB4" s="2938"/>
      <c r="EC4" s="2938"/>
      <c r="ED4" s="2938"/>
      <c r="EE4" s="2938"/>
      <c r="EF4" s="2938"/>
      <c r="EG4" s="2938"/>
      <c r="EH4" s="2938"/>
      <c r="EI4" s="2938"/>
      <c r="EJ4" s="2938"/>
      <c r="EK4" s="2938"/>
      <c r="EL4" s="2938"/>
      <c r="EM4" s="2938"/>
      <c r="EN4" s="2938"/>
      <c r="EO4" s="2938"/>
      <c r="EP4" s="2938"/>
      <c r="EQ4" s="2938"/>
      <c r="ER4" s="2938"/>
      <c r="ES4" s="2938"/>
      <c r="ET4" s="2938"/>
      <c r="EU4" s="2938"/>
      <c r="EV4" s="2938"/>
      <c r="EW4" s="2938"/>
      <c r="EX4" s="2938"/>
      <c r="EY4" s="2938"/>
      <c r="EZ4" s="2938"/>
      <c r="FA4" s="2938"/>
      <c r="FB4" s="2938"/>
      <c r="FC4" s="2938"/>
      <c r="FD4" s="2938"/>
      <c r="FE4" s="2938"/>
      <c r="FF4" s="2938"/>
      <c r="FG4" s="2938"/>
      <c r="FH4" s="2938"/>
      <c r="FI4" s="2938"/>
      <c r="FJ4" s="2938"/>
      <c r="FK4" s="2938"/>
      <c r="FL4" s="2938"/>
      <c r="FM4" s="2938"/>
      <c r="FN4" s="2938"/>
      <c r="FO4" s="2938"/>
      <c r="FP4" s="2938"/>
      <c r="FQ4" s="2938"/>
      <c r="FR4" s="2938"/>
      <c r="FS4" s="2938"/>
      <c r="FT4" s="2938"/>
      <c r="FU4" s="2938"/>
      <c r="FV4" s="2938"/>
      <c r="FW4" s="2938"/>
      <c r="FX4" s="2938"/>
      <c r="FY4" s="2938"/>
      <c r="FZ4" s="2938"/>
      <c r="GA4" s="2938"/>
      <c r="GB4" s="2938"/>
      <c r="GC4" s="2938"/>
      <c r="GD4" s="2938"/>
      <c r="GE4" s="2938"/>
      <c r="GF4" s="2938"/>
      <c r="GG4" s="2938"/>
      <c r="GH4" s="2938"/>
      <c r="GI4" s="2938"/>
      <c r="GJ4" s="2938"/>
      <c r="GK4" s="2938"/>
      <c r="GL4" s="2938"/>
      <c r="GM4" s="2938"/>
      <c r="GN4" s="2938"/>
      <c r="GO4" s="2938"/>
      <c r="GP4" s="2938"/>
      <c r="GQ4" s="2938"/>
      <c r="GR4" s="2938"/>
      <c r="GS4" s="2938"/>
      <c r="GT4" s="2938"/>
      <c r="GU4" s="2938"/>
      <c r="GV4" s="2938"/>
      <c r="GW4" s="2938"/>
      <c r="GX4" s="2938"/>
      <c r="GY4" s="2938"/>
      <c r="GZ4" s="2938"/>
      <c r="HA4" s="2938"/>
      <c r="HB4" s="2938"/>
      <c r="HC4" s="2938"/>
      <c r="HD4" s="2938"/>
      <c r="HE4" s="2938"/>
      <c r="HF4" s="2938"/>
      <c r="HG4" s="2938"/>
      <c r="HH4" s="2938"/>
      <c r="HI4" s="2938"/>
      <c r="HJ4" s="2938"/>
      <c r="HK4" s="2938"/>
      <c r="HL4" s="2938"/>
      <c r="HM4" s="2938"/>
      <c r="HN4" s="2938"/>
      <c r="HO4" s="2938"/>
      <c r="HP4" s="2938"/>
      <c r="HQ4" s="2938"/>
      <c r="HR4" s="2938"/>
      <c r="HS4" s="2938"/>
      <c r="HT4" s="2938"/>
      <c r="HU4" s="2938"/>
      <c r="HV4" s="2938"/>
      <c r="HW4" s="2938"/>
      <c r="HX4" s="2938"/>
      <c r="HY4" s="2938"/>
      <c r="HZ4" s="2938"/>
      <c r="IA4" s="2938"/>
      <c r="IB4" s="2938"/>
      <c r="IC4" s="2938"/>
      <c r="ID4" s="2938"/>
      <c r="IE4" s="2938"/>
      <c r="IF4" s="2938"/>
      <c r="IG4" s="2938"/>
      <c r="IH4" s="2938"/>
      <c r="II4" s="2938"/>
      <c r="IJ4" s="2938"/>
      <c r="IK4" s="2938"/>
      <c r="IL4" s="2938"/>
      <c r="IM4" s="2938"/>
      <c r="IN4" s="2938"/>
      <c r="IO4" s="2938"/>
      <c r="IP4" s="2938"/>
      <c r="IQ4" s="2938"/>
      <c r="IR4" s="2938"/>
      <c r="IS4" s="2938"/>
      <c r="IT4" s="2938"/>
      <c r="IU4" s="2938"/>
      <c r="IV4" s="2938"/>
    </row>
    <row r="5" spans="1:257" s="2993" customFormat="1">
      <c r="A5" s="2938"/>
      <c r="G5" s="2945" t="s">
        <v>2791</v>
      </c>
      <c r="H5" s="2946">
        <v>1</v>
      </c>
      <c r="I5" s="2947">
        <f ca="1">INDIRECT("f"&amp;$H$1)</f>
        <v>4.75</v>
      </c>
      <c r="J5" s="2947">
        <f ca="1">INDIRECT("f"&amp;$H$1)</f>
        <v>4.75</v>
      </c>
      <c r="K5" s="2938"/>
      <c r="L5" s="2938"/>
      <c r="M5" s="2948">
        <v>2</v>
      </c>
      <c r="N5" s="2949">
        <f ca="1">INDIRECT("r"&amp;$N$1)</f>
        <v>2.1</v>
      </c>
      <c r="O5" s="2938"/>
      <c r="P5" s="2938"/>
      <c r="Q5" s="2938"/>
      <c r="R5" s="2938"/>
      <c r="S5" s="2938"/>
      <c r="T5" s="2938"/>
      <c r="U5" s="2938"/>
      <c r="V5" s="2938"/>
      <c r="W5" s="2938"/>
      <c r="X5" s="2938"/>
      <c r="Y5" s="2938"/>
      <c r="Z5" s="2938"/>
      <c r="AA5" s="2938"/>
      <c r="AB5" s="2938"/>
      <c r="AC5" s="2938"/>
      <c r="AD5" s="2938"/>
      <c r="AE5" s="2938"/>
      <c r="AF5" s="2938"/>
      <c r="AG5" s="2938"/>
      <c r="AH5" s="2938"/>
      <c r="AI5" s="2938"/>
      <c r="AJ5" s="2938"/>
      <c r="AK5" s="2938"/>
      <c r="AL5" s="2938"/>
      <c r="AM5" s="2938"/>
      <c r="AN5" s="2938"/>
      <c r="AO5" s="2938"/>
      <c r="AP5" s="2938"/>
      <c r="AQ5" s="2938"/>
      <c r="AR5" s="2938"/>
      <c r="AS5" s="2938"/>
      <c r="AT5" s="2938"/>
      <c r="AU5" s="2938"/>
      <c r="AV5" s="2938"/>
      <c r="AW5" s="2938"/>
      <c r="AX5" s="2938"/>
      <c r="AY5" s="2938"/>
      <c r="AZ5" s="2938"/>
      <c r="BA5" s="2938"/>
      <c r="BB5" s="2938"/>
      <c r="BC5" s="2938"/>
      <c r="BD5" s="2938"/>
      <c r="BE5" s="2938"/>
      <c r="BF5" s="2938"/>
      <c r="BG5" s="2938"/>
      <c r="BH5" s="2938"/>
      <c r="BI5" s="2938"/>
      <c r="BJ5" s="2938"/>
      <c r="BK5" s="2938"/>
      <c r="BL5" s="2938"/>
      <c r="BM5" s="2938"/>
      <c r="BN5" s="2938"/>
      <c r="BO5" s="2938"/>
      <c r="BP5" s="2938"/>
      <c r="BQ5" s="2938"/>
      <c r="BR5" s="2938"/>
      <c r="BS5" s="2938"/>
      <c r="BT5" s="2938"/>
      <c r="BU5" s="2938"/>
      <c r="BV5" s="2938"/>
      <c r="BW5" s="2938"/>
      <c r="BX5" s="2938"/>
      <c r="BY5" s="2938"/>
      <c r="BZ5" s="2938"/>
      <c r="CA5" s="2938"/>
      <c r="CB5" s="2938"/>
      <c r="CC5" s="2938"/>
      <c r="CD5" s="2938"/>
      <c r="CE5" s="2938"/>
      <c r="CF5" s="2938"/>
      <c r="CG5" s="2938"/>
      <c r="CH5" s="2938"/>
      <c r="CI5" s="2938"/>
      <c r="CJ5" s="2938"/>
      <c r="CK5" s="2938"/>
      <c r="CL5" s="2938"/>
      <c r="CM5" s="2938"/>
      <c r="CN5" s="2938"/>
      <c r="CO5" s="2938"/>
      <c r="CP5" s="2938"/>
      <c r="CQ5" s="2938"/>
      <c r="CR5" s="2938"/>
      <c r="CS5" s="2938"/>
      <c r="CT5" s="2938"/>
      <c r="CU5" s="2938"/>
      <c r="CV5" s="2938"/>
      <c r="CW5" s="2938"/>
      <c r="CX5" s="2938"/>
      <c r="CY5" s="2938"/>
      <c r="CZ5" s="2938"/>
      <c r="DA5" s="2938"/>
      <c r="DB5" s="2938"/>
      <c r="DC5" s="2938"/>
      <c r="DD5" s="2938"/>
      <c r="DE5" s="2938"/>
      <c r="DF5" s="2938"/>
      <c r="DG5" s="2938"/>
      <c r="DH5" s="2938"/>
      <c r="DI5" s="2938"/>
      <c r="DJ5" s="2938"/>
      <c r="DK5" s="2938"/>
      <c r="DL5" s="2938"/>
      <c r="DM5" s="2938"/>
      <c r="DN5" s="2938"/>
      <c r="DO5" s="2938"/>
      <c r="DP5" s="2938"/>
      <c r="DQ5" s="2938"/>
      <c r="DR5" s="2938"/>
      <c r="DS5" s="2938"/>
      <c r="DT5" s="2938"/>
      <c r="DU5" s="2938"/>
      <c r="DV5" s="2938"/>
      <c r="DW5" s="2938"/>
      <c r="DX5" s="2938"/>
      <c r="DY5" s="2938"/>
      <c r="DZ5" s="2938"/>
      <c r="EA5" s="2938"/>
      <c r="EB5" s="2938"/>
      <c r="EC5" s="2938"/>
      <c r="ED5" s="2938"/>
      <c r="EE5" s="2938"/>
      <c r="EF5" s="2938"/>
      <c r="EG5" s="2938"/>
      <c r="EH5" s="2938"/>
      <c r="EI5" s="2938"/>
      <c r="EJ5" s="2938"/>
      <c r="EK5" s="2938"/>
      <c r="EL5" s="2938"/>
      <c r="EM5" s="2938"/>
      <c r="EN5" s="2938"/>
      <c r="EO5" s="2938"/>
      <c r="EP5" s="2938"/>
      <c r="EQ5" s="2938"/>
      <c r="ER5" s="2938"/>
      <c r="ES5" s="2938"/>
      <c r="ET5" s="2938"/>
      <c r="EU5" s="2938"/>
      <c r="EV5" s="2938"/>
      <c r="EW5" s="2938"/>
      <c r="EX5" s="2938"/>
      <c r="EY5" s="2938"/>
      <c r="EZ5" s="2938"/>
      <c r="FA5" s="2938"/>
      <c r="FB5" s="2938"/>
      <c r="FC5" s="2938"/>
      <c r="FD5" s="2938"/>
      <c r="FE5" s="2938"/>
      <c r="FF5" s="2938"/>
      <c r="FG5" s="2938"/>
      <c r="FH5" s="2938"/>
      <c r="FI5" s="2938"/>
      <c r="FJ5" s="2938"/>
      <c r="FK5" s="2938"/>
      <c r="FL5" s="2938"/>
      <c r="FM5" s="2938"/>
      <c r="FN5" s="2938"/>
      <c r="FO5" s="2938"/>
      <c r="FP5" s="2938"/>
      <c r="FQ5" s="2938"/>
      <c r="FR5" s="2938"/>
      <c r="FS5" s="2938"/>
      <c r="FT5" s="2938"/>
      <c r="FU5" s="2938"/>
      <c r="FV5" s="2938"/>
      <c r="FW5" s="2938"/>
      <c r="FX5" s="2938"/>
      <c r="FY5" s="2938"/>
      <c r="FZ5" s="2938"/>
      <c r="GA5" s="2938"/>
      <c r="GB5" s="2938"/>
      <c r="GC5" s="2938"/>
      <c r="GD5" s="2938"/>
      <c r="GE5" s="2938"/>
      <c r="GF5" s="2938"/>
      <c r="GG5" s="2938"/>
      <c r="GH5" s="2938"/>
      <c r="GI5" s="2938"/>
      <c r="GJ5" s="2938"/>
      <c r="GK5" s="2938"/>
      <c r="GL5" s="2938"/>
      <c r="GM5" s="2938"/>
      <c r="GN5" s="2938"/>
      <c r="GO5" s="2938"/>
      <c r="GP5" s="2938"/>
      <c r="GQ5" s="2938"/>
      <c r="GR5" s="2938"/>
      <c r="GS5" s="2938"/>
      <c r="GT5" s="2938"/>
      <c r="GU5" s="2938"/>
      <c r="GV5" s="2938"/>
      <c r="GW5" s="2938"/>
      <c r="GX5" s="2938"/>
      <c r="GY5" s="2938"/>
      <c r="GZ5" s="2938"/>
      <c r="HA5" s="2938"/>
      <c r="HB5" s="2938"/>
      <c r="HC5" s="2938"/>
      <c r="HD5" s="2938"/>
      <c r="HE5" s="2938"/>
      <c r="HF5" s="2938"/>
      <c r="HG5" s="2938"/>
      <c r="HH5" s="2938"/>
      <c r="HI5" s="2938"/>
      <c r="HJ5" s="2938"/>
      <c r="HK5" s="2938"/>
      <c r="HL5" s="2938"/>
      <c r="HM5" s="2938"/>
      <c r="HN5" s="2938"/>
      <c r="HO5" s="2938"/>
      <c r="HP5" s="2938"/>
      <c r="HQ5" s="2938"/>
      <c r="HR5" s="2938"/>
      <c r="HS5" s="2938"/>
      <c r="HT5" s="2938"/>
      <c r="HU5" s="2938"/>
      <c r="HV5" s="2938"/>
      <c r="HW5" s="2938"/>
      <c r="HX5" s="2938"/>
      <c r="HY5" s="2938"/>
      <c r="HZ5" s="2938"/>
      <c r="IA5" s="2938"/>
      <c r="IB5" s="2938"/>
      <c r="IC5" s="2938"/>
      <c r="ID5" s="2938"/>
      <c r="IE5" s="2938"/>
      <c r="IF5" s="2938"/>
      <c r="IG5" s="2938"/>
      <c r="IH5" s="2938"/>
      <c r="II5" s="2938"/>
      <c r="IJ5" s="2938"/>
      <c r="IK5" s="2938"/>
      <c r="IL5" s="2938"/>
      <c r="IM5" s="2938"/>
      <c r="IN5" s="2938"/>
      <c r="IO5" s="2938"/>
      <c r="IP5" s="2938"/>
      <c r="IQ5" s="2938"/>
      <c r="IR5" s="2938"/>
      <c r="IS5" s="2938"/>
      <c r="IT5" s="2938"/>
      <c r="IU5" s="2938"/>
      <c r="IV5" s="2938"/>
    </row>
    <row r="6" spans="1:257" s="2993" customFormat="1">
      <c r="A6" s="2938"/>
      <c r="G6" s="2945" t="s">
        <v>2792</v>
      </c>
      <c r="H6" s="2946">
        <v>3</v>
      </c>
      <c r="I6" s="2947">
        <f ca="1">INDIRECT("g"&amp;$H$1)</f>
        <v>4.75</v>
      </c>
      <c r="J6" s="2947">
        <f ca="1">INDIRECT("g"&amp;$H$1)</f>
        <v>4.75</v>
      </c>
      <c r="K6" s="2938"/>
      <c r="L6" s="2938"/>
      <c r="M6" s="2948">
        <v>3</v>
      </c>
      <c r="N6" s="2949">
        <f ca="1">INDIRECT("s"&amp;$N$1)</f>
        <v>2.75</v>
      </c>
      <c r="O6" s="2938"/>
      <c r="P6" s="2938"/>
      <c r="Q6" s="2938"/>
      <c r="R6" s="2938"/>
      <c r="S6" s="2938"/>
      <c r="T6" s="2938"/>
      <c r="U6" s="2938"/>
      <c r="V6" s="2938"/>
      <c r="W6" s="2938"/>
      <c r="X6" s="2938"/>
      <c r="Y6" s="2938"/>
      <c r="Z6" s="2938"/>
      <c r="AA6" s="2938"/>
      <c r="AB6" s="2938"/>
      <c r="AC6" s="2938"/>
      <c r="AD6" s="2938"/>
      <c r="AE6" s="2938"/>
      <c r="AF6" s="2938"/>
      <c r="AG6" s="2938"/>
      <c r="AH6" s="2938"/>
      <c r="AI6" s="2938"/>
      <c r="AJ6" s="2938"/>
      <c r="AK6" s="2938"/>
      <c r="AL6" s="2938"/>
      <c r="AM6" s="2938"/>
      <c r="AN6" s="2938"/>
      <c r="AO6" s="2938"/>
      <c r="AP6" s="2938"/>
      <c r="AQ6" s="2938"/>
      <c r="AR6" s="2938"/>
      <c r="AS6" s="2938"/>
      <c r="AT6" s="2938"/>
      <c r="AU6" s="2938"/>
      <c r="AV6" s="2938"/>
      <c r="AW6" s="2938"/>
      <c r="AX6" s="2938"/>
      <c r="AY6" s="2938"/>
      <c r="AZ6" s="2938"/>
      <c r="BA6" s="2938"/>
      <c r="BB6" s="2938"/>
      <c r="BC6" s="2938"/>
      <c r="BD6" s="2938"/>
      <c r="BE6" s="2938"/>
      <c r="BF6" s="2938"/>
      <c r="BG6" s="2938"/>
      <c r="BH6" s="2938"/>
      <c r="BI6" s="2938"/>
      <c r="BJ6" s="2938"/>
      <c r="BK6" s="2938"/>
      <c r="BL6" s="2938"/>
      <c r="BM6" s="2938"/>
      <c r="BN6" s="2938"/>
      <c r="BO6" s="2938"/>
      <c r="BP6" s="2938"/>
      <c r="BQ6" s="2938"/>
      <c r="BR6" s="2938"/>
      <c r="BS6" s="2938"/>
      <c r="BT6" s="2938"/>
      <c r="BU6" s="2938"/>
      <c r="BV6" s="2938"/>
      <c r="BW6" s="2938"/>
      <c r="BX6" s="2938"/>
      <c r="BY6" s="2938"/>
      <c r="BZ6" s="2938"/>
      <c r="CA6" s="2938"/>
      <c r="CB6" s="2938"/>
      <c r="CC6" s="2938"/>
      <c r="CD6" s="2938"/>
      <c r="CE6" s="2938"/>
      <c r="CF6" s="2938"/>
      <c r="CG6" s="2938"/>
      <c r="CH6" s="2938"/>
      <c r="CI6" s="2938"/>
      <c r="CJ6" s="2938"/>
      <c r="CK6" s="2938"/>
      <c r="CL6" s="2938"/>
      <c r="CM6" s="2938"/>
      <c r="CN6" s="2938"/>
      <c r="CO6" s="2938"/>
      <c r="CP6" s="2938"/>
      <c r="CQ6" s="2938"/>
      <c r="CR6" s="2938"/>
      <c r="CS6" s="2938"/>
      <c r="CT6" s="2938"/>
      <c r="CU6" s="2938"/>
      <c r="CV6" s="2938"/>
      <c r="CW6" s="2938"/>
      <c r="CX6" s="2938"/>
      <c r="CY6" s="2938"/>
      <c r="CZ6" s="2938"/>
      <c r="DA6" s="2938"/>
      <c r="DB6" s="2938"/>
      <c r="DC6" s="2938"/>
      <c r="DD6" s="2938"/>
      <c r="DE6" s="2938"/>
      <c r="DF6" s="2938"/>
      <c r="DG6" s="2938"/>
      <c r="DH6" s="2938"/>
      <c r="DI6" s="2938"/>
      <c r="DJ6" s="2938"/>
      <c r="DK6" s="2938"/>
      <c r="DL6" s="2938"/>
      <c r="DM6" s="2938"/>
      <c r="DN6" s="2938"/>
      <c r="DO6" s="2938"/>
      <c r="DP6" s="2938"/>
      <c r="DQ6" s="2938"/>
      <c r="DR6" s="2938"/>
      <c r="DS6" s="2938"/>
      <c r="DT6" s="2938"/>
      <c r="DU6" s="2938"/>
      <c r="DV6" s="2938"/>
      <c r="DW6" s="2938"/>
      <c r="DX6" s="2938"/>
      <c r="DY6" s="2938"/>
      <c r="DZ6" s="2938"/>
      <c r="EA6" s="2938"/>
      <c r="EB6" s="2938"/>
      <c r="EC6" s="2938"/>
      <c r="ED6" s="2938"/>
      <c r="EE6" s="2938"/>
      <c r="EF6" s="2938"/>
      <c r="EG6" s="2938"/>
      <c r="EH6" s="2938"/>
      <c r="EI6" s="2938"/>
      <c r="EJ6" s="2938"/>
      <c r="EK6" s="2938"/>
      <c r="EL6" s="2938"/>
      <c r="EM6" s="2938"/>
      <c r="EN6" s="2938"/>
      <c r="EO6" s="2938"/>
      <c r="EP6" s="2938"/>
      <c r="EQ6" s="2938"/>
      <c r="ER6" s="2938"/>
      <c r="ES6" s="2938"/>
      <c r="ET6" s="2938"/>
      <c r="EU6" s="2938"/>
      <c r="EV6" s="2938"/>
      <c r="EW6" s="2938"/>
      <c r="EX6" s="2938"/>
      <c r="EY6" s="2938"/>
      <c r="EZ6" s="2938"/>
      <c r="FA6" s="2938"/>
      <c r="FB6" s="2938"/>
      <c r="FC6" s="2938"/>
      <c r="FD6" s="2938"/>
      <c r="FE6" s="2938"/>
      <c r="FF6" s="2938"/>
      <c r="FG6" s="2938"/>
      <c r="FH6" s="2938"/>
      <c r="FI6" s="2938"/>
      <c r="FJ6" s="2938"/>
      <c r="FK6" s="2938"/>
      <c r="FL6" s="2938"/>
      <c r="FM6" s="2938"/>
      <c r="FN6" s="2938"/>
      <c r="FO6" s="2938"/>
      <c r="FP6" s="2938"/>
      <c r="FQ6" s="2938"/>
      <c r="FR6" s="2938"/>
      <c r="FS6" s="2938"/>
      <c r="FT6" s="2938"/>
      <c r="FU6" s="2938"/>
      <c r="FV6" s="2938"/>
      <c r="FW6" s="2938"/>
      <c r="FX6" s="2938"/>
      <c r="FY6" s="2938"/>
      <c r="FZ6" s="2938"/>
      <c r="GA6" s="2938"/>
      <c r="GB6" s="2938"/>
      <c r="GC6" s="2938"/>
      <c r="GD6" s="2938"/>
      <c r="GE6" s="2938"/>
      <c r="GF6" s="2938"/>
      <c r="GG6" s="2938"/>
      <c r="GH6" s="2938"/>
      <c r="GI6" s="2938"/>
      <c r="GJ6" s="2938"/>
      <c r="GK6" s="2938"/>
      <c r="GL6" s="2938"/>
      <c r="GM6" s="2938"/>
      <c r="GN6" s="2938"/>
      <c r="GO6" s="2938"/>
      <c r="GP6" s="2938"/>
      <c r="GQ6" s="2938"/>
      <c r="GR6" s="2938"/>
      <c r="GS6" s="2938"/>
      <c r="GT6" s="2938"/>
      <c r="GU6" s="2938"/>
      <c r="GV6" s="2938"/>
      <c r="GW6" s="2938"/>
      <c r="GX6" s="2938"/>
      <c r="GY6" s="2938"/>
      <c r="GZ6" s="2938"/>
      <c r="HA6" s="2938"/>
      <c r="HB6" s="2938"/>
      <c r="HC6" s="2938"/>
      <c r="HD6" s="2938"/>
      <c r="HE6" s="2938"/>
      <c r="HF6" s="2938"/>
      <c r="HG6" s="2938"/>
      <c r="HH6" s="2938"/>
      <c r="HI6" s="2938"/>
      <c r="HJ6" s="2938"/>
      <c r="HK6" s="2938"/>
      <c r="HL6" s="2938"/>
      <c r="HM6" s="2938"/>
      <c r="HN6" s="2938"/>
      <c r="HO6" s="2938"/>
      <c r="HP6" s="2938"/>
      <c r="HQ6" s="2938"/>
      <c r="HR6" s="2938"/>
      <c r="HS6" s="2938"/>
      <c r="HT6" s="2938"/>
      <c r="HU6" s="2938"/>
      <c r="HV6" s="2938"/>
      <c r="HW6" s="2938"/>
      <c r="HX6" s="2938"/>
      <c r="HY6" s="2938"/>
      <c r="HZ6" s="2938"/>
      <c r="IA6" s="2938"/>
      <c r="IB6" s="2938"/>
      <c r="IC6" s="2938"/>
      <c r="ID6" s="2938"/>
      <c r="IE6" s="2938"/>
      <c r="IF6" s="2938"/>
      <c r="IG6" s="2938"/>
      <c r="IH6" s="2938"/>
      <c r="II6" s="2938"/>
      <c r="IJ6" s="2938"/>
      <c r="IK6" s="2938"/>
      <c r="IL6" s="2938"/>
      <c r="IM6" s="2938"/>
      <c r="IN6" s="2938"/>
      <c r="IO6" s="2938"/>
      <c r="IP6" s="2938"/>
      <c r="IQ6" s="2938"/>
      <c r="IR6" s="2938"/>
      <c r="IS6" s="2938"/>
      <c r="IT6" s="2938"/>
      <c r="IU6" s="2938"/>
      <c r="IV6" s="2938"/>
    </row>
    <row r="7" spans="1:257" s="2993" customFormat="1" ht="14.25" thickBot="1">
      <c r="A7" s="2938"/>
      <c r="G7" s="2950" t="s">
        <v>2793</v>
      </c>
      <c r="H7" s="2951">
        <v>5</v>
      </c>
      <c r="I7" s="2952">
        <f ca="1">INDIRECT("h"&amp;$H$1)</f>
        <v>4.9000000000000004</v>
      </c>
      <c r="J7" s="2952">
        <f ca="1">INDIRECT("h"&amp;$H$1)</f>
        <v>4.9000000000000004</v>
      </c>
      <c r="K7" s="2938"/>
      <c r="L7" s="2938"/>
      <c r="M7" s="2953">
        <v>5</v>
      </c>
      <c r="N7" s="2954">
        <f ca="1">INDIRECT("t"&amp;$N$1)</f>
        <v>0</v>
      </c>
      <c r="O7" s="2938"/>
      <c r="P7" s="2938"/>
      <c r="Q7" s="2938"/>
      <c r="R7" s="2938"/>
      <c r="S7" s="2938"/>
      <c r="T7" s="2938"/>
      <c r="U7" s="2938"/>
      <c r="V7" s="2938"/>
      <c r="W7" s="2938"/>
      <c r="X7" s="2938"/>
      <c r="Y7" s="2938"/>
      <c r="Z7" s="2938"/>
      <c r="AA7" s="2938"/>
      <c r="AB7" s="2938"/>
      <c r="AC7" s="2938"/>
      <c r="AD7" s="2938"/>
      <c r="AE7" s="2938"/>
      <c r="AF7" s="2938"/>
      <c r="AG7" s="2938"/>
      <c r="AH7" s="2938"/>
      <c r="AI7" s="2938"/>
      <c r="AJ7" s="2938"/>
      <c r="AK7" s="2938"/>
      <c r="AL7" s="2938"/>
      <c r="AM7" s="2938"/>
      <c r="AN7" s="2938"/>
      <c r="AO7" s="2938"/>
      <c r="AP7" s="2938"/>
      <c r="AQ7" s="2938"/>
      <c r="AR7" s="2938"/>
      <c r="AS7" s="2938"/>
      <c r="AT7" s="2938"/>
      <c r="AU7" s="2938"/>
      <c r="AV7" s="2938"/>
      <c r="AW7" s="2938"/>
      <c r="AX7" s="2938"/>
      <c r="AY7" s="2938"/>
      <c r="AZ7" s="2938"/>
      <c r="BA7" s="2938"/>
      <c r="BB7" s="2938"/>
      <c r="BC7" s="2938"/>
      <c r="BD7" s="2938"/>
      <c r="BE7" s="2938"/>
      <c r="BF7" s="2938"/>
      <c r="BG7" s="2938"/>
      <c r="BH7" s="2938"/>
      <c r="BI7" s="2938"/>
      <c r="BJ7" s="2938"/>
      <c r="BK7" s="2938"/>
      <c r="BL7" s="2938"/>
      <c r="BM7" s="2938"/>
      <c r="BN7" s="2938"/>
      <c r="BO7" s="2938"/>
      <c r="BP7" s="2938"/>
      <c r="BQ7" s="2938"/>
      <c r="BR7" s="2938"/>
      <c r="BS7" s="2938"/>
      <c r="BT7" s="2938"/>
      <c r="BU7" s="2938"/>
      <c r="BV7" s="2938"/>
      <c r="BW7" s="2938"/>
      <c r="BX7" s="2938"/>
      <c r="BY7" s="2938"/>
      <c r="BZ7" s="2938"/>
      <c r="CA7" s="2938"/>
      <c r="CB7" s="2938"/>
      <c r="CC7" s="2938"/>
      <c r="CD7" s="2938"/>
      <c r="CE7" s="2938"/>
      <c r="CF7" s="2938"/>
      <c r="CG7" s="2938"/>
      <c r="CH7" s="2938"/>
      <c r="CI7" s="2938"/>
      <c r="CJ7" s="2938"/>
      <c r="CK7" s="2938"/>
      <c r="CL7" s="2938"/>
      <c r="CM7" s="2938"/>
      <c r="CN7" s="2938"/>
      <c r="CO7" s="2938"/>
      <c r="CP7" s="2938"/>
      <c r="CQ7" s="2938"/>
      <c r="CR7" s="2938"/>
      <c r="CS7" s="2938"/>
      <c r="CT7" s="2938"/>
      <c r="CU7" s="2938"/>
      <c r="CV7" s="2938"/>
      <c r="CW7" s="2938"/>
      <c r="CX7" s="2938"/>
      <c r="CY7" s="2938"/>
      <c r="CZ7" s="2938"/>
      <c r="DA7" s="2938"/>
      <c r="DB7" s="2938"/>
      <c r="DC7" s="2938"/>
      <c r="DD7" s="2938"/>
      <c r="DE7" s="2938"/>
      <c r="DF7" s="2938"/>
      <c r="DG7" s="2938"/>
      <c r="DH7" s="2938"/>
      <c r="DI7" s="2938"/>
      <c r="DJ7" s="2938"/>
      <c r="DK7" s="2938"/>
      <c r="DL7" s="2938"/>
      <c r="DM7" s="2938"/>
      <c r="DN7" s="2938"/>
      <c r="DO7" s="2938"/>
      <c r="DP7" s="2938"/>
      <c r="DQ7" s="2938"/>
      <c r="DR7" s="2938"/>
      <c r="DS7" s="2938"/>
      <c r="DT7" s="2938"/>
      <c r="DU7" s="2938"/>
      <c r="DV7" s="2938"/>
      <c r="DW7" s="2938"/>
      <c r="DX7" s="2938"/>
      <c r="DY7" s="2938"/>
      <c r="DZ7" s="2938"/>
      <c r="EA7" s="2938"/>
      <c r="EB7" s="2938"/>
      <c r="EC7" s="2938"/>
      <c r="ED7" s="2938"/>
      <c r="EE7" s="2938"/>
      <c r="EF7" s="2938"/>
      <c r="EG7" s="2938"/>
      <c r="EH7" s="2938"/>
      <c r="EI7" s="2938"/>
      <c r="EJ7" s="2938"/>
      <c r="EK7" s="2938"/>
      <c r="EL7" s="2938"/>
      <c r="EM7" s="2938"/>
      <c r="EN7" s="2938"/>
      <c r="EO7" s="2938"/>
      <c r="EP7" s="2938"/>
      <c r="EQ7" s="2938"/>
      <c r="ER7" s="2938"/>
      <c r="ES7" s="2938"/>
      <c r="ET7" s="2938"/>
      <c r="EU7" s="2938"/>
      <c r="EV7" s="2938"/>
      <c r="EW7" s="2938"/>
      <c r="EX7" s="2938"/>
      <c r="EY7" s="2938"/>
      <c r="EZ7" s="2938"/>
      <c r="FA7" s="2938"/>
      <c r="FB7" s="2938"/>
      <c r="FC7" s="2938"/>
      <c r="FD7" s="2938"/>
      <c r="FE7" s="2938"/>
      <c r="FF7" s="2938"/>
      <c r="FG7" s="2938"/>
      <c r="FH7" s="2938"/>
      <c r="FI7" s="2938"/>
      <c r="FJ7" s="2938"/>
      <c r="FK7" s="2938"/>
      <c r="FL7" s="2938"/>
      <c r="FM7" s="2938"/>
      <c r="FN7" s="2938"/>
      <c r="FO7" s="2938"/>
      <c r="FP7" s="2938"/>
      <c r="FQ7" s="2938"/>
      <c r="FR7" s="2938"/>
      <c r="FS7" s="2938"/>
      <c r="FT7" s="2938"/>
      <c r="FU7" s="2938"/>
      <c r="FV7" s="2938"/>
      <c r="FW7" s="2938"/>
      <c r="FX7" s="2938"/>
      <c r="FY7" s="2938"/>
      <c r="FZ7" s="2938"/>
      <c r="GA7" s="2938"/>
      <c r="GB7" s="2938"/>
      <c r="GC7" s="2938"/>
      <c r="GD7" s="2938"/>
      <c r="GE7" s="2938"/>
      <c r="GF7" s="2938"/>
      <c r="GG7" s="2938"/>
      <c r="GH7" s="2938"/>
      <c r="GI7" s="2938"/>
      <c r="GJ7" s="2938"/>
      <c r="GK7" s="2938"/>
      <c r="GL7" s="2938"/>
      <c r="GM7" s="2938"/>
      <c r="GN7" s="2938"/>
      <c r="GO7" s="2938"/>
      <c r="GP7" s="2938"/>
      <c r="GQ7" s="2938"/>
      <c r="GR7" s="2938"/>
      <c r="GS7" s="2938"/>
      <c r="GT7" s="2938"/>
      <c r="GU7" s="2938"/>
      <c r="GV7" s="2938"/>
      <c r="GW7" s="2938"/>
      <c r="GX7" s="2938"/>
      <c r="GY7" s="2938"/>
      <c r="GZ7" s="2938"/>
      <c r="HA7" s="2938"/>
      <c r="HB7" s="2938"/>
      <c r="HC7" s="2938"/>
      <c r="HD7" s="2938"/>
      <c r="HE7" s="2938"/>
      <c r="HF7" s="2938"/>
      <c r="HG7" s="2938"/>
      <c r="HH7" s="2938"/>
      <c r="HI7" s="2938"/>
      <c r="HJ7" s="2938"/>
      <c r="HK7" s="2938"/>
      <c r="HL7" s="2938"/>
      <c r="HM7" s="2938"/>
      <c r="HN7" s="2938"/>
      <c r="HO7" s="2938"/>
      <c r="HP7" s="2938"/>
      <c r="HQ7" s="2938"/>
      <c r="HR7" s="2938"/>
      <c r="HS7" s="2938"/>
      <c r="HT7" s="2938"/>
      <c r="HU7" s="2938"/>
      <c r="HV7" s="2938"/>
      <c r="HW7" s="2938"/>
      <c r="HX7" s="2938"/>
      <c r="HY7" s="2938"/>
      <c r="HZ7" s="2938"/>
      <c r="IA7" s="2938"/>
      <c r="IB7" s="2938"/>
      <c r="IC7" s="2938"/>
      <c r="ID7" s="2938"/>
      <c r="IE7" s="2938"/>
      <c r="IF7" s="2938"/>
      <c r="IG7" s="2938"/>
      <c r="IH7" s="2938"/>
      <c r="II7" s="2938"/>
      <c r="IJ7" s="2938"/>
      <c r="IK7" s="2938"/>
      <c r="IL7" s="2938"/>
      <c r="IM7" s="2938"/>
      <c r="IN7" s="2938"/>
      <c r="IO7" s="2938"/>
      <c r="IP7" s="2938"/>
      <c r="IQ7" s="2938"/>
      <c r="IR7" s="2938"/>
      <c r="IS7" s="2938"/>
      <c r="IT7" s="2938"/>
      <c r="IU7" s="2938"/>
      <c r="IV7" s="2938"/>
    </row>
    <row r="8" spans="1:257">
      <c r="A8" s="2955"/>
      <c r="B8" s="2956"/>
      <c r="C8" s="2957"/>
      <c r="D8" s="2938"/>
      <c r="E8" s="2938"/>
      <c r="F8" s="2938"/>
      <c r="G8" s="2938"/>
      <c r="H8" s="2938"/>
      <c r="I8" s="2938"/>
      <c r="J8" s="2938"/>
      <c r="L8" s="2938"/>
      <c r="M8" s="2938"/>
      <c r="N8" s="2938"/>
      <c r="O8" s="2938"/>
      <c r="P8" s="2938"/>
      <c r="Q8" s="2938"/>
      <c r="R8" s="2938"/>
      <c r="S8" s="2938"/>
      <c r="T8" s="2938"/>
      <c r="U8" s="2938"/>
      <c r="V8" s="2938"/>
      <c r="W8" s="2938"/>
      <c r="X8" s="2938"/>
      <c r="Y8" s="2938"/>
      <c r="Z8" s="2938"/>
    </row>
    <row r="9" spans="1:257" ht="20.25">
      <c r="A9" s="2958"/>
      <c r="B9" s="2959" t="s">
        <v>2794</v>
      </c>
      <c r="C9" s="2960"/>
      <c r="D9" s="2961"/>
      <c r="E9" s="2961"/>
      <c r="F9" s="2961"/>
      <c r="G9" s="2961"/>
      <c r="H9" s="2961"/>
      <c r="I9" s="2961"/>
      <c r="J9" s="2961"/>
      <c r="K9" s="2961"/>
      <c r="L9" s="2961"/>
      <c r="M9" s="2961"/>
      <c r="N9" s="2961"/>
      <c r="O9" s="2961"/>
      <c r="P9" s="2961"/>
      <c r="Q9" s="2961"/>
      <c r="R9" s="2961"/>
      <c r="S9" s="2961"/>
      <c r="T9" s="2961"/>
      <c r="U9" s="2961"/>
      <c r="V9" s="2961"/>
      <c r="W9" s="2961"/>
      <c r="X9" s="2961"/>
      <c r="Y9" s="2961"/>
      <c r="Z9" s="2961"/>
      <c r="AA9" s="2962"/>
      <c r="AB9" s="2962"/>
      <c r="AC9" s="2962"/>
      <c r="AD9" s="2962"/>
      <c r="AE9" s="2962"/>
      <c r="AF9" s="2962"/>
      <c r="AG9" s="2962"/>
      <c r="AH9" s="2962"/>
      <c r="AI9" s="2962"/>
      <c r="AJ9" s="2962"/>
      <c r="AK9" s="2962"/>
      <c r="AL9" s="2962"/>
      <c r="AM9" s="2962"/>
      <c r="AN9" s="2962"/>
      <c r="AO9" s="2962"/>
      <c r="AP9" s="2962"/>
      <c r="AQ9" s="2962"/>
      <c r="AR9" s="2962"/>
      <c r="AS9" s="2962"/>
      <c r="AT9" s="2962"/>
      <c r="AU9" s="2962"/>
      <c r="AV9" s="2962"/>
      <c r="AW9" s="2962"/>
      <c r="AX9" s="2962"/>
      <c r="AY9" s="2962"/>
      <c r="AZ9" s="2962"/>
      <c r="BA9" s="2962"/>
      <c r="BB9" s="2962"/>
      <c r="BC9" s="2962"/>
      <c r="BD9" s="2962"/>
      <c r="BE9" s="2962"/>
      <c r="BF9" s="2962"/>
      <c r="BG9" s="2962"/>
      <c r="BH9" s="2962"/>
      <c r="BI9" s="2962"/>
      <c r="BJ9" s="2962"/>
      <c r="BK9" s="2962"/>
      <c r="BL9" s="2962"/>
      <c r="BM9" s="2962"/>
      <c r="BN9" s="2962"/>
      <c r="BO9" s="2962"/>
      <c r="BP9" s="2962"/>
      <c r="BQ9" s="2962"/>
      <c r="BR9" s="2962"/>
      <c r="BS9" s="2962"/>
      <c r="BT9" s="2962"/>
      <c r="BU9" s="2962"/>
      <c r="BV9" s="2962"/>
      <c r="BW9" s="2962"/>
      <c r="BX9" s="2962"/>
      <c r="BY9" s="2962"/>
      <c r="BZ9" s="2962"/>
      <c r="CA9" s="2962"/>
      <c r="CB9" s="2962"/>
      <c r="CC9" s="2962"/>
      <c r="CD9" s="2962"/>
      <c r="CE9" s="2962"/>
      <c r="CF9" s="2962"/>
      <c r="CG9" s="2962"/>
      <c r="CH9" s="2962"/>
      <c r="CI9" s="2962"/>
      <c r="CJ9" s="2962"/>
      <c r="CK9" s="2962"/>
      <c r="CL9" s="2962"/>
      <c r="CM9" s="2962"/>
      <c r="CN9" s="2962"/>
      <c r="CO9" s="2962"/>
      <c r="CP9" s="2962"/>
      <c r="CQ9" s="2962"/>
      <c r="CR9" s="2962"/>
      <c r="CS9" s="2962"/>
      <c r="CT9" s="2962"/>
      <c r="CU9" s="2962"/>
      <c r="CV9" s="2962"/>
      <c r="CW9" s="2962"/>
      <c r="CX9" s="2962"/>
      <c r="CY9" s="2962"/>
      <c r="CZ9" s="2962"/>
      <c r="DA9" s="2962"/>
      <c r="DB9" s="2962"/>
      <c r="DC9" s="2962"/>
      <c r="DD9" s="2962"/>
      <c r="DE9" s="2962"/>
      <c r="DF9" s="2962"/>
      <c r="DG9" s="2962"/>
      <c r="DH9" s="2962"/>
      <c r="DI9" s="2962"/>
      <c r="DJ9" s="2962"/>
      <c r="DK9" s="2962"/>
      <c r="DL9" s="2962"/>
      <c r="DM9" s="2962"/>
      <c r="DN9" s="2962"/>
      <c r="DO9" s="2962"/>
      <c r="DP9" s="2962"/>
      <c r="DQ9" s="2962"/>
      <c r="DR9" s="2962"/>
      <c r="DS9" s="2962"/>
      <c r="DT9" s="2962"/>
      <c r="DU9" s="2962"/>
      <c r="DV9" s="2962"/>
      <c r="DW9" s="2962"/>
      <c r="DX9" s="2962"/>
      <c r="DY9" s="2962"/>
      <c r="DZ9" s="2962"/>
      <c r="EA9" s="2962"/>
      <c r="EB9" s="2962"/>
      <c r="EC9" s="2962"/>
      <c r="ED9" s="2962"/>
      <c r="EE9" s="2962"/>
      <c r="EF9" s="2962"/>
      <c r="EG9" s="2962"/>
      <c r="EH9" s="2962"/>
      <c r="EI9" s="2962"/>
      <c r="EJ9" s="2962"/>
      <c r="EK9" s="2962"/>
      <c r="EL9" s="2962"/>
      <c r="EM9" s="2962"/>
      <c r="EN9" s="2962"/>
      <c r="EO9" s="2962"/>
      <c r="EP9" s="2962"/>
      <c r="EQ9" s="2962"/>
      <c r="ER9" s="2962"/>
      <c r="ES9" s="2962"/>
      <c r="ET9" s="2962"/>
      <c r="EU9" s="2962"/>
      <c r="EV9" s="2962"/>
      <c r="EW9" s="2962"/>
      <c r="EX9" s="2962"/>
      <c r="EY9" s="2962"/>
      <c r="EZ9" s="2962"/>
      <c r="FA9" s="2962"/>
      <c r="FB9" s="2962"/>
      <c r="FC9" s="2962"/>
      <c r="FD9" s="2962"/>
      <c r="FE9" s="2962"/>
      <c r="FF9" s="2962"/>
      <c r="FG9" s="2962"/>
      <c r="FH9" s="2962"/>
      <c r="FI9" s="2962"/>
      <c r="FJ9" s="2962"/>
      <c r="FK9" s="2962"/>
      <c r="FL9" s="2962"/>
      <c r="FM9" s="2962"/>
      <c r="FN9" s="2962"/>
      <c r="FO9" s="2962"/>
      <c r="FP9" s="2962"/>
      <c r="FQ9" s="2962"/>
      <c r="FR9" s="2962"/>
      <c r="FS9" s="2962"/>
      <c r="FT9" s="2962"/>
      <c r="FU9" s="2962"/>
      <c r="FV9" s="2962"/>
      <c r="FW9" s="2962"/>
      <c r="FX9" s="2962"/>
      <c r="FY9" s="2962"/>
      <c r="FZ9" s="2962"/>
      <c r="GA9" s="2962"/>
      <c r="GB9" s="2962"/>
      <c r="GC9" s="2962"/>
      <c r="GD9" s="2962"/>
      <c r="GE9" s="2962"/>
      <c r="GF9" s="2962"/>
      <c r="GG9" s="2962"/>
      <c r="GH9" s="2962"/>
      <c r="GI9" s="2962"/>
      <c r="GJ9" s="2962"/>
      <c r="GK9" s="2962"/>
      <c r="GL9" s="2962"/>
      <c r="GM9" s="2962"/>
      <c r="GN9" s="2962"/>
      <c r="GO9" s="2962"/>
      <c r="GP9" s="2962"/>
      <c r="GQ9" s="2962"/>
      <c r="GR9" s="2962"/>
      <c r="GS9" s="2962"/>
      <c r="GT9" s="2962"/>
      <c r="GU9" s="2962"/>
      <c r="GV9" s="2962"/>
      <c r="GW9" s="2962"/>
      <c r="GX9" s="2962"/>
      <c r="GY9" s="2962"/>
      <c r="GZ9" s="2962"/>
      <c r="HA9" s="2962"/>
      <c r="HB9" s="2962"/>
      <c r="HC9" s="2962"/>
      <c r="HD9" s="2962"/>
      <c r="HE9" s="2962"/>
      <c r="HF9" s="2962"/>
      <c r="HG9" s="2962"/>
      <c r="HH9" s="2962"/>
      <c r="HI9" s="2962"/>
      <c r="HJ9" s="2962"/>
      <c r="HK9" s="2962"/>
      <c r="HL9" s="2962"/>
      <c r="HM9" s="2962"/>
      <c r="HN9" s="2962"/>
      <c r="HO9" s="2962"/>
      <c r="HP9" s="2962"/>
      <c r="HQ9" s="2962"/>
      <c r="HR9" s="2962"/>
      <c r="HS9" s="2962"/>
      <c r="HT9" s="2962"/>
      <c r="HU9" s="2962"/>
      <c r="HV9" s="2962"/>
      <c r="HW9" s="2962"/>
      <c r="HX9" s="2962"/>
      <c r="HY9" s="2962"/>
      <c r="HZ9" s="2962"/>
      <c r="IA9" s="2962"/>
      <c r="IB9" s="2962"/>
      <c r="IC9" s="2962"/>
      <c r="ID9" s="2962"/>
      <c r="IE9" s="2962"/>
      <c r="IF9" s="2962"/>
      <c r="IG9" s="2962"/>
      <c r="IH9" s="2962"/>
      <c r="II9" s="2962"/>
      <c r="IJ9" s="2962"/>
      <c r="IK9" s="2962"/>
      <c r="IL9" s="2962"/>
      <c r="IM9" s="2962"/>
      <c r="IN9" s="2962"/>
      <c r="IO9" s="2962"/>
      <c r="IP9" s="2962"/>
      <c r="IQ9" s="2962"/>
      <c r="IR9" s="2962"/>
      <c r="IS9" s="2962"/>
      <c r="IT9" s="2962"/>
      <c r="IU9" s="2962"/>
      <c r="IV9" s="2962"/>
      <c r="IW9" s="2963"/>
    </row>
    <row r="10" spans="1:257" ht="22.5">
      <c r="A10" s="2964"/>
      <c r="B10" s="2965" t="s">
        <v>2795</v>
      </c>
      <c r="C10" s="2964"/>
      <c r="D10" s="2964"/>
      <c r="E10" s="2964"/>
      <c r="F10" s="2964"/>
      <c r="G10" s="2964"/>
      <c r="H10" s="2964"/>
      <c r="I10" s="2938"/>
      <c r="J10" s="2938"/>
      <c r="K10" s="2964"/>
      <c r="L10" s="2965" t="s">
        <v>2796</v>
      </c>
      <c r="M10" s="2964"/>
      <c r="N10" s="2964"/>
      <c r="O10" s="2964"/>
      <c r="P10" s="2964"/>
      <c r="Q10" s="2964"/>
      <c r="R10" s="2964"/>
      <c r="S10" s="2964"/>
      <c r="T10" s="2964"/>
      <c r="U10" s="2964"/>
      <c r="V10" s="2964"/>
      <c r="W10" s="2964"/>
      <c r="X10" s="2964"/>
      <c r="Y10" s="2964"/>
      <c r="Z10" s="2964"/>
      <c r="AA10" s="2966"/>
      <c r="AB10" s="2966"/>
      <c r="AC10" s="2966"/>
      <c r="AD10" s="2966"/>
      <c r="AE10" s="2966"/>
      <c r="AF10" s="2966"/>
      <c r="AG10" s="2966"/>
      <c r="AH10" s="2966"/>
      <c r="AI10" s="2966"/>
      <c r="AJ10" s="2966"/>
      <c r="AK10" s="2966"/>
      <c r="AL10" s="2966"/>
      <c r="AM10" s="2966"/>
      <c r="AN10" s="2966"/>
      <c r="AO10" s="2966"/>
      <c r="AP10" s="2966"/>
      <c r="AQ10" s="2966"/>
      <c r="AR10" s="2966"/>
      <c r="AS10" s="2966"/>
      <c r="AT10" s="2966"/>
      <c r="AU10" s="2966"/>
      <c r="AV10" s="2966"/>
      <c r="AW10" s="2966"/>
      <c r="AX10" s="2966"/>
      <c r="AY10" s="2966"/>
      <c r="AZ10" s="2966"/>
      <c r="BA10" s="2966"/>
      <c r="BB10" s="2966"/>
      <c r="BC10" s="2966"/>
      <c r="BD10" s="2966"/>
      <c r="BE10" s="2966"/>
      <c r="BF10" s="2966"/>
      <c r="BG10" s="2966"/>
      <c r="BH10" s="2966"/>
      <c r="BI10" s="2966"/>
      <c r="BJ10" s="2966"/>
      <c r="BK10" s="2966"/>
      <c r="BL10" s="2966"/>
      <c r="BM10" s="2966"/>
      <c r="BN10" s="2966"/>
      <c r="BO10" s="2966"/>
      <c r="BP10" s="2966"/>
      <c r="BQ10" s="2966"/>
      <c r="BR10" s="2966"/>
      <c r="BS10" s="2966"/>
      <c r="BT10" s="2966"/>
      <c r="BU10" s="2966"/>
      <c r="BV10" s="2966"/>
      <c r="BW10" s="2966"/>
      <c r="BX10" s="2966"/>
      <c r="BY10" s="2966"/>
      <c r="BZ10" s="2966"/>
      <c r="CA10" s="2966"/>
      <c r="CB10" s="2966"/>
      <c r="CC10" s="2966"/>
      <c r="CD10" s="2966"/>
      <c r="CE10" s="2966"/>
      <c r="CF10" s="2966"/>
      <c r="CG10" s="2966"/>
      <c r="CH10" s="2966"/>
      <c r="CI10" s="2966"/>
      <c r="CJ10" s="2966"/>
      <c r="CK10" s="2966"/>
      <c r="CL10" s="2966"/>
      <c r="CM10" s="2966"/>
      <c r="CN10" s="2966"/>
      <c r="CO10" s="2966"/>
      <c r="CP10" s="2966"/>
      <c r="CQ10" s="2966"/>
      <c r="CR10" s="2966"/>
      <c r="CS10" s="2966"/>
      <c r="CT10" s="2966"/>
      <c r="CU10" s="2966"/>
      <c r="CV10" s="2966"/>
      <c r="CW10" s="2966"/>
      <c r="CX10" s="2966"/>
      <c r="CY10" s="2966"/>
      <c r="CZ10" s="2966"/>
      <c r="DA10" s="2966"/>
      <c r="DB10" s="2966"/>
      <c r="DC10" s="2966"/>
      <c r="DD10" s="2966"/>
      <c r="DE10" s="2966"/>
      <c r="DF10" s="2966"/>
      <c r="DG10" s="2966"/>
      <c r="DH10" s="2966"/>
      <c r="DI10" s="2966"/>
      <c r="DJ10" s="2966"/>
      <c r="DK10" s="2966"/>
      <c r="DL10" s="2966"/>
      <c r="DM10" s="2966"/>
      <c r="DN10" s="2966"/>
      <c r="DO10" s="2966"/>
      <c r="DP10" s="2966"/>
      <c r="DQ10" s="2966"/>
      <c r="DR10" s="2966"/>
      <c r="DS10" s="2966"/>
      <c r="DT10" s="2966"/>
      <c r="DU10" s="2966"/>
      <c r="DV10" s="2966"/>
      <c r="DW10" s="2966"/>
      <c r="DX10" s="2966"/>
      <c r="DY10" s="2966"/>
      <c r="DZ10" s="2966"/>
      <c r="EA10" s="2966"/>
      <c r="EB10" s="2966"/>
      <c r="EC10" s="2966"/>
      <c r="ED10" s="2966"/>
      <c r="EE10" s="2966"/>
      <c r="EF10" s="2966"/>
      <c r="EG10" s="2966"/>
      <c r="EH10" s="2966"/>
      <c r="EI10" s="2966"/>
      <c r="EJ10" s="2966"/>
      <c r="EK10" s="2966"/>
      <c r="EL10" s="2966"/>
      <c r="EM10" s="2966"/>
      <c r="EN10" s="2966"/>
      <c r="EO10" s="2966"/>
      <c r="EP10" s="2966"/>
      <c r="EQ10" s="2966"/>
      <c r="ER10" s="2966"/>
      <c r="ES10" s="2966"/>
      <c r="ET10" s="2966"/>
      <c r="EU10" s="2966"/>
      <c r="EV10" s="2966"/>
      <c r="EW10" s="2966"/>
      <c r="EX10" s="2966"/>
      <c r="EY10" s="2966"/>
      <c r="EZ10" s="2966"/>
      <c r="FA10" s="2966"/>
      <c r="FB10" s="2966"/>
      <c r="FC10" s="2966"/>
      <c r="FD10" s="2966"/>
      <c r="FE10" s="2966"/>
      <c r="FF10" s="2966"/>
      <c r="FG10" s="2966"/>
      <c r="FH10" s="2966"/>
      <c r="FI10" s="2966"/>
      <c r="FJ10" s="2966"/>
      <c r="FK10" s="2966"/>
      <c r="FL10" s="2966"/>
      <c r="FM10" s="2966"/>
      <c r="FN10" s="2966"/>
      <c r="FO10" s="2966"/>
      <c r="FP10" s="2966"/>
      <c r="FQ10" s="2966"/>
      <c r="FR10" s="2966"/>
      <c r="FS10" s="2966"/>
      <c r="FT10" s="2966"/>
      <c r="FU10" s="2966"/>
      <c r="FV10" s="2966"/>
      <c r="FW10" s="2966"/>
      <c r="FX10" s="2966"/>
      <c r="FY10" s="2966"/>
      <c r="FZ10" s="2966"/>
      <c r="GA10" s="2966"/>
      <c r="GB10" s="2966"/>
      <c r="GC10" s="2966"/>
      <c r="GD10" s="2966"/>
      <c r="GE10" s="2966"/>
      <c r="GF10" s="2966"/>
      <c r="GG10" s="2966"/>
      <c r="GH10" s="2966"/>
      <c r="GI10" s="2966"/>
      <c r="GJ10" s="2966"/>
      <c r="GK10" s="2966"/>
      <c r="GL10" s="2966"/>
      <c r="GM10" s="2966"/>
      <c r="GN10" s="2966"/>
      <c r="GO10" s="2966"/>
      <c r="GP10" s="2966"/>
      <c r="GQ10" s="2966"/>
      <c r="GR10" s="2966"/>
      <c r="GS10" s="2966"/>
      <c r="GT10" s="2966"/>
      <c r="GU10" s="2966"/>
      <c r="GV10" s="2966"/>
      <c r="GW10" s="2966"/>
      <c r="GX10" s="2966"/>
      <c r="GY10" s="2966"/>
      <c r="GZ10" s="2966"/>
      <c r="HA10" s="2966"/>
      <c r="HB10" s="2966"/>
      <c r="HC10" s="2966"/>
      <c r="HD10" s="2966"/>
      <c r="HE10" s="2966"/>
      <c r="HF10" s="2966"/>
      <c r="HG10" s="2966"/>
      <c r="HH10" s="2966"/>
      <c r="HI10" s="2966"/>
      <c r="HJ10" s="2966"/>
      <c r="HK10" s="2966"/>
      <c r="HL10" s="2966"/>
      <c r="HM10" s="2966"/>
      <c r="HN10" s="2966"/>
      <c r="HO10" s="2966"/>
      <c r="HP10" s="2966"/>
      <c r="HQ10" s="2966"/>
      <c r="HR10" s="2966"/>
      <c r="HS10" s="2966"/>
      <c r="HT10" s="2966"/>
      <c r="HU10" s="2966"/>
      <c r="HV10" s="2966"/>
      <c r="HW10" s="2966"/>
      <c r="HX10" s="2966"/>
      <c r="HY10" s="2966"/>
      <c r="HZ10" s="2966"/>
      <c r="IA10" s="2966"/>
      <c r="IB10" s="2966"/>
      <c r="IC10" s="2966"/>
      <c r="ID10" s="2966"/>
      <c r="IE10" s="2966"/>
      <c r="IF10" s="2966"/>
      <c r="IG10" s="2966"/>
      <c r="IH10" s="2966"/>
      <c r="II10" s="2966"/>
      <c r="IJ10" s="2966"/>
      <c r="IK10" s="2966"/>
      <c r="IL10" s="2966"/>
      <c r="IM10" s="2966"/>
      <c r="IN10" s="2966"/>
      <c r="IO10" s="2966"/>
      <c r="IP10" s="2966"/>
      <c r="IQ10" s="2966"/>
      <c r="IR10" s="2966"/>
      <c r="IS10" s="2966"/>
      <c r="IT10" s="2966"/>
      <c r="IU10" s="2966"/>
      <c r="IV10" s="2966"/>
    </row>
    <row r="11" spans="1:257">
      <c r="A11" s="2967"/>
      <c r="B11" s="2968" t="s">
        <v>2797</v>
      </c>
      <c r="C11" s="2969" t="s">
        <v>2798</v>
      </c>
      <c r="D11" s="2970" t="s">
        <v>2799</v>
      </c>
      <c r="E11" s="2971"/>
      <c r="F11" s="2970" t="s">
        <v>2800</v>
      </c>
      <c r="G11" s="2972"/>
      <c r="H11" s="2971"/>
      <c r="I11" s="2970" t="s">
        <v>2801</v>
      </c>
      <c r="J11" s="2971"/>
      <c r="K11" s="2967"/>
      <c r="L11" s="2968" t="s">
        <v>2797</v>
      </c>
      <c r="M11" s="2969" t="s">
        <v>2798</v>
      </c>
      <c r="N11" s="2968" t="s">
        <v>2802</v>
      </c>
      <c r="O11" s="2970" t="s">
        <v>2803</v>
      </c>
      <c r="P11" s="2972"/>
      <c r="Q11" s="2972"/>
      <c r="R11" s="2972"/>
      <c r="S11" s="2972"/>
      <c r="T11" s="2971"/>
      <c r="U11" s="2970" t="s">
        <v>2804</v>
      </c>
      <c r="V11" s="2972"/>
      <c r="W11" s="2971"/>
      <c r="X11" s="2968" t="s">
        <v>2805</v>
      </c>
      <c r="Y11" s="2968" t="s">
        <v>2806</v>
      </c>
      <c r="Z11" s="2968" t="s">
        <v>2807</v>
      </c>
      <c r="AA11" s="2973"/>
      <c r="AB11" s="2973"/>
      <c r="AC11" s="2973"/>
      <c r="AD11" s="2973"/>
      <c r="AE11" s="2973"/>
      <c r="AF11" s="2973"/>
      <c r="AG11" s="2973"/>
      <c r="AH11" s="2973"/>
      <c r="AI11" s="2973"/>
      <c r="AJ11" s="2973"/>
      <c r="AK11" s="2973"/>
      <c r="AL11" s="2973"/>
      <c r="AM11" s="2973"/>
      <c r="AN11" s="2973"/>
      <c r="AO11" s="2973"/>
      <c r="AP11" s="2973"/>
      <c r="AQ11" s="2973"/>
      <c r="AR11" s="2973"/>
      <c r="AS11" s="2973"/>
      <c r="AT11" s="2973"/>
      <c r="AU11" s="2973"/>
      <c r="AV11" s="2973"/>
      <c r="AW11" s="2973"/>
      <c r="AX11" s="2973"/>
      <c r="AY11" s="2973"/>
      <c r="AZ11" s="2973"/>
      <c r="BA11" s="2973"/>
      <c r="BB11" s="2973"/>
      <c r="BC11" s="2973"/>
      <c r="BD11" s="2973"/>
      <c r="BE11" s="2973"/>
      <c r="BF11" s="2973"/>
      <c r="BG11" s="2973"/>
      <c r="BH11" s="2973"/>
      <c r="BI11" s="2973"/>
      <c r="BJ11" s="2973"/>
      <c r="BK11" s="2973"/>
      <c r="BL11" s="2973"/>
      <c r="BM11" s="2973"/>
      <c r="BN11" s="2973"/>
      <c r="BO11" s="2973"/>
      <c r="BP11" s="2973"/>
      <c r="BQ11" s="2973"/>
      <c r="BR11" s="2973"/>
      <c r="BS11" s="2973"/>
      <c r="BT11" s="2973"/>
      <c r="BU11" s="2973"/>
      <c r="BV11" s="2973"/>
      <c r="BW11" s="2973"/>
      <c r="BX11" s="2973"/>
      <c r="BY11" s="2973"/>
      <c r="BZ11" s="2973"/>
      <c r="CA11" s="2973"/>
      <c r="CB11" s="2973"/>
      <c r="CC11" s="2973"/>
      <c r="CD11" s="2973"/>
      <c r="CE11" s="2973"/>
      <c r="CF11" s="2973"/>
      <c r="CG11" s="2973"/>
      <c r="CH11" s="2973"/>
      <c r="CI11" s="2973"/>
      <c r="CJ11" s="2973"/>
      <c r="CK11" s="2973"/>
      <c r="CL11" s="2973"/>
      <c r="CM11" s="2973"/>
      <c r="CN11" s="2973"/>
      <c r="CO11" s="2973"/>
      <c r="CP11" s="2973"/>
      <c r="CQ11" s="2973"/>
      <c r="CR11" s="2973"/>
      <c r="CS11" s="2973"/>
      <c r="CT11" s="2973"/>
      <c r="CU11" s="2973"/>
      <c r="CV11" s="2973"/>
      <c r="CW11" s="2973"/>
      <c r="CX11" s="2973"/>
      <c r="CY11" s="2973"/>
      <c r="CZ11" s="2973"/>
      <c r="DA11" s="2973"/>
      <c r="DB11" s="2973"/>
      <c r="DC11" s="2973"/>
      <c r="DD11" s="2973"/>
      <c r="DE11" s="2973"/>
      <c r="DF11" s="2973"/>
      <c r="DG11" s="2973"/>
      <c r="DH11" s="2973"/>
      <c r="DI11" s="2973"/>
      <c r="DJ11" s="2973"/>
      <c r="DK11" s="2973"/>
      <c r="DL11" s="2973"/>
      <c r="DM11" s="2973"/>
      <c r="DN11" s="2973"/>
      <c r="DO11" s="2973"/>
      <c r="DP11" s="2973"/>
      <c r="DQ11" s="2973"/>
      <c r="DR11" s="2973"/>
      <c r="DS11" s="2973"/>
      <c r="DT11" s="2973"/>
      <c r="DU11" s="2973"/>
      <c r="DV11" s="2973"/>
      <c r="DW11" s="2973"/>
      <c r="DX11" s="2973"/>
      <c r="DY11" s="2973"/>
      <c r="DZ11" s="2973"/>
      <c r="EA11" s="2973"/>
      <c r="EB11" s="2973"/>
      <c r="EC11" s="2973"/>
      <c r="ED11" s="2973"/>
      <c r="EE11" s="2973"/>
      <c r="EF11" s="2973"/>
      <c r="EG11" s="2973"/>
      <c r="EH11" s="2973"/>
      <c r="EI11" s="2973"/>
      <c r="EJ11" s="2973"/>
      <c r="EK11" s="2973"/>
      <c r="EL11" s="2973"/>
      <c r="EM11" s="2973"/>
      <c r="EN11" s="2973"/>
      <c r="EO11" s="2973"/>
      <c r="EP11" s="2973"/>
      <c r="EQ11" s="2973"/>
      <c r="ER11" s="2973"/>
      <c r="ES11" s="2973"/>
      <c r="ET11" s="2973"/>
      <c r="EU11" s="2973"/>
      <c r="EV11" s="2973"/>
      <c r="EW11" s="2973"/>
      <c r="EX11" s="2973"/>
      <c r="EY11" s="2973"/>
      <c r="EZ11" s="2973"/>
      <c r="FA11" s="2973"/>
      <c r="FB11" s="2973"/>
      <c r="FC11" s="2973"/>
      <c r="FD11" s="2973"/>
      <c r="FE11" s="2973"/>
      <c r="FF11" s="2973"/>
      <c r="FG11" s="2973"/>
      <c r="FH11" s="2973"/>
      <c r="FI11" s="2973"/>
      <c r="FJ11" s="2973"/>
      <c r="FK11" s="2973"/>
      <c r="FL11" s="2973"/>
      <c r="FM11" s="2973"/>
      <c r="FN11" s="2973"/>
      <c r="FO11" s="2973"/>
      <c r="FP11" s="2973"/>
      <c r="FQ11" s="2973"/>
      <c r="FR11" s="2973"/>
      <c r="FS11" s="2973"/>
      <c r="FT11" s="2973"/>
      <c r="FU11" s="2973"/>
      <c r="FV11" s="2973"/>
      <c r="FW11" s="2973"/>
      <c r="FX11" s="2973"/>
      <c r="FY11" s="2973"/>
      <c r="FZ11" s="2973"/>
      <c r="GA11" s="2973"/>
      <c r="GB11" s="2973"/>
      <c r="GC11" s="2973"/>
      <c r="GD11" s="2973"/>
      <c r="GE11" s="2973"/>
      <c r="GF11" s="2973"/>
      <c r="GG11" s="2973"/>
      <c r="GH11" s="2973"/>
      <c r="GI11" s="2973"/>
      <c r="GJ11" s="2973"/>
      <c r="GK11" s="2973"/>
      <c r="GL11" s="2973"/>
      <c r="GM11" s="2973"/>
      <c r="GN11" s="2973"/>
      <c r="GO11" s="2973"/>
      <c r="GP11" s="2973"/>
      <c r="GQ11" s="2973"/>
      <c r="GR11" s="2973"/>
      <c r="GS11" s="2973"/>
      <c r="GT11" s="2973"/>
      <c r="GU11" s="2973"/>
      <c r="GV11" s="2973"/>
      <c r="GW11" s="2973"/>
      <c r="GX11" s="2973"/>
      <c r="GY11" s="2973"/>
      <c r="GZ11" s="2973"/>
      <c r="HA11" s="2973"/>
      <c r="HB11" s="2973"/>
      <c r="HC11" s="2973"/>
      <c r="HD11" s="2973"/>
      <c r="HE11" s="2973"/>
      <c r="HF11" s="2973"/>
      <c r="HG11" s="2973"/>
      <c r="HH11" s="2973"/>
      <c r="HI11" s="2973"/>
      <c r="HJ11" s="2973"/>
      <c r="HK11" s="2973"/>
      <c r="HL11" s="2973"/>
      <c r="HM11" s="2973"/>
      <c r="HN11" s="2973"/>
      <c r="HO11" s="2973"/>
      <c r="HP11" s="2973"/>
      <c r="HQ11" s="2973"/>
      <c r="HR11" s="2973"/>
      <c r="HS11" s="2973"/>
      <c r="HT11" s="2973"/>
      <c r="HU11" s="2973"/>
      <c r="HV11" s="2973"/>
      <c r="HW11" s="2973"/>
      <c r="HX11" s="2973"/>
      <c r="HY11" s="2973"/>
      <c r="HZ11" s="2973"/>
      <c r="IA11" s="2973"/>
      <c r="IB11" s="2973"/>
      <c r="IC11" s="2973"/>
      <c r="ID11" s="2973"/>
      <c r="IE11" s="2973"/>
      <c r="IF11" s="2973"/>
      <c r="IG11" s="2973"/>
      <c r="IH11" s="2973"/>
      <c r="II11" s="2973"/>
      <c r="IJ11" s="2973"/>
      <c r="IK11" s="2973"/>
      <c r="IL11" s="2973"/>
      <c r="IM11" s="2973"/>
      <c r="IN11" s="2973"/>
      <c r="IO11" s="2973"/>
      <c r="IP11" s="2973"/>
      <c r="IQ11" s="2973"/>
      <c r="IR11" s="2973"/>
      <c r="IS11" s="2973"/>
      <c r="IT11" s="2973"/>
      <c r="IU11" s="2973"/>
      <c r="IV11" s="2973"/>
    </row>
    <row r="12" spans="1:257">
      <c r="A12" s="2974"/>
      <c r="B12" s="2975"/>
      <c r="C12" s="2976"/>
      <c r="D12" s="2977" t="s">
        <v>2808</v>
      </c>
      <c r="E12" s="2977" t="s">
        <v>2809</v>
      </c>
      <c r="F12" s="2977" t="s">
        <v>2810</v>
      </c>
      <c r="G12" s="2977" t="s">
        <v>2811</v>
      </c>
      <c r="H12" s="2977" t="s">
        <v>2793</v>
      </c>
      <c r="I12" s="2978" t="s">
        <v>2812</v>
      </c>
      <c r="J12" s="2978" t="s">
        <v>2812</v>
      </c>
      <c r="K12" s="2974"/>
      <c r="L12" s="2975"/>
      <c r="M12" s="2976"/>
      <c r="N12" s="2975"/>
      <c r="O12" s="2978" t="s">
        <v>2813</v>
      </c>
      <c r="P12" s="2978">
        <v>0.5</v>
      </c>
      <c r="Q12" s="2978">
        <v>1</v>
      </c>
      <c r="R12" s="2978">
        <v>2</v>
      </c>
      <c r="S12" s="2978">
        <v>3</v>
      </c>
      <c r="T12" s="2978">
        <v>5</v>
      </c>
      <c r="U12" s="2978">
        <v>1</v>
      </c>
      <c r="V12" s="2978">
        <v>3</v>
      </c>
      <c r="W12" s="2978">
        <v>5</v>
      </c>
      <c r="X12" s="2975"/>
      <c r="Y12" s="2975"/>
      <c r="Z12" s="2975"/>
      <c r="AA12" s="2979"/>
      <c r="AB12" s="2979"/>
      <c r="AC12" s="2979"/>
      <c r="AD12" s="2979"/>
      <c r="AE12" s="2979"/>
      <c r="AF12" s="2979"/>
      <c r="AG12" s="2979"/>
      <c r="AH12" s="2979"/>
      <c r="AI12" s="2979"/>
      <c r="AJ12" s="2979"/>
      <c r="AK12" s="2979"/>
      <c r="AL12" s="2979"/>
      <c r="AM12" s="2979"/>
      <c r="AN12" s="2979"/>
      <c r="AO12" s="2979"/>
      <c r="AP12" s="2979"/>
      <c r="AQ12" s="2979"/>
      <c r="AR12" s="2979"/>
      <c r="AS12" s="2979"/>
      <c r="AT12" s="2979"/>
      <c r="AU12" s="2979"/>
      <c r="AV12" s="2979"/>
      <c r="AW12" s="2979"/>
      <c r="AX12" s="2979"/>
      <c r="AY12" s="2979"/>
      <c r="AZ12" s="2979"/>
      <c r="BA12" s="2979"/>
      <c r="BB12" s="2979"/>
      <c r="BC12" s="2979"/>
      <c r="BD12" s="2979"/>
      <c r="BE12" s="2979"/>
      <c r="BF12" s="2979"/>
      <c r="BG12" s="2979"/>
      <c r="BH12" s="2979"/>
      <c r="BI12" s="2979"/>
      <c r="BJ12" s="2979"/>
      <c r="BK12" s="2979"/>
      <c r="BL12" s="2979"/>
      <c r="BM12" s="2979"/>
      <c r="BN12" s="2979"/>
      <c r="BO12" s="2979"/>
      <c r="BP12" s="2979"/>
      <c r="BQ12" s="2979"/>
      <c r="BR12" s="2979"/>
      <c r="BS12" s="2979"/>
      <c r="BT12" s="2979"/>
      <c r="BU12" s="2979"/>
      <c r="BV12" s="2979"/>
      <c r="BW12" s="2979"/>
      <c r="BX12" s="2979"/>
      <c r="BY12" s="2979"/>
      <c r="BZ12" s="2979"/>
      <c r="CA12" s="2979"/>
      <c r="CB12" s="2979"/>
      <c r="CC12" s="2979"/>
      <c r="CD12" s="2979"/>
      <c r="CE12" s="2979"/>
      <c r="CF12" s="2979"/>
      <c r="CG12" s="2979"/>
      <c r="CH12" s="2979"/>
      <c r="CI12" s="2979"/>
      <c r="CJ12" s="2979"/>
      <c r="CK12" s="2979"/>
      <c r="CL12" s="2979"/>
      <c r="CM12" s="2979"/>
      <c r="CN12" s="2979"/>
      <c r="CO12" s="2979"/>
      <c r="CP12" s="2979"/>
      <c r="CQ12" s="2979"/>
      <c r="CR12" s="2979"/>
      <c r="CS12" s="2979"/>
      <c r="CT12" s="2979"/>
      <c r="CU12" s="2979"/>
      <c r="CV12" s="2979"/>
      <c r="CW12" s="2979"/>
      <c r="CX12" s="2979"/>
      <c r="CY12" s="2979"/>
      <c r="CZ12" s="2979"/>
      <c r="DA12" s="2979"/>
      <c r="DB12" s="2979"/>
      <c r="DC12" s="2979"/>
      <c r="DD12" s="2979"/>
      <c r="DE12" s="2979"/>
      <c r="DF12" s="2979"/>
      <c r="DG12" s="2979"/>
      <c r="DH12" s="2979"/>
      <c r="DI12" s="2979"/>
      <c r="DJ12" s="2979"/>
      <c r="DK12" s="2979"/>
      <c r="DL12" s="2979"/>
      <c r="DM12" s="2979"/>
      <c r="DN12" s="2979"/>
      <c r="DO12" s="2979"/>
      <c r="DP12" s="2979"/>
      <c r="DQ12" s="2979"/>
      <c r="DR12" s="2979"/>
      <c r="DS12" s="2979"/>
      <c r="DT12" s="2979"/>
      <c r="DU12" s="2979"/>
      <c r="DV12" s="2979"/>
      <c r="DW12" s="2979"/>
      <c r="DX12" s="2979"/>
      <c r="DY12" s="2979"/>
      <c r="DZ12" s="2979"/>
      <c r="EA12" s="2979"/>
      <c r="EB12" s="2979"/>
      <c r="EC12" s="2979"/>
      <c r="ED12" s="2979"/>
      <c r="EE12" s="2979"/>
      <c r="EF12" s="2979"/>
      <c r="EG12" s="2979"/>
      <c r="EH12" s="2979"/>
      <c r="EI12" s="2979"/>
      <c r="EJ12" s="2979"/>
      <c r="EK12" s="2979"/>
      <c r="EL12" s="2979"/>
      <c r="EM12" s="2979"/>
      <c r="EN12" s="2979"/>
      <c r="EO12" s="2979"/>
      <c r="EP12" s="2979"/>
      <c r="EQ12" s="2979"/>
      <c r="ER12" s="2979"/>
      <c r="ES12" s="2979"/>
      <c r="ET12" s="2979"/>
      <c r="EU12" s="2979"/>
      <c r="EV12" s="2979"/>
      <c r="EW12" s="2979"/>
      <c r="EX12" s="2979"/>
      <c r="EY12" s="2979"/>
      <c r="EZ12" s="2979"/>
      <c r="FA12" s="2979"/>
      <c r="FB12" s="2979"/>
      <c r="FC12" s="2979"/>
      <c r="FD12" s="2979"/>
      <c r="FE12" s="2979"/>
      <c r="FF12" s="2979"/>
      <c r="FG12" s="2979"/>
      <c r="FH12" s="2979"/>
      <c r="FI12" s="2979"/>
      <c r="FJ12" s="2979"/>
      <c r="FK12" s="2979"/>
      <c r="FL12" s="2979"/>
      <c r="FM12" s="2979"/>
      <c r="FN12" s="2979"/>
      <c r="FO12" s="2979"/>
      <c r="FP12" s="2979"/>
      <c r="FQ12" s="2979"/>
      <c r="FR12" s="2979"/>
      <c r="FS12" s="2979"/>
      <c r="FT12" s="2979"/>
      <c r="FU12" s="2979"/>
      <c r="FV12" s="2979"/>
      <c r="FW12" s="2979"/>
      <c r="FX12" s="2979"/>
      <c r="FY12" s="2979"/>
      <c r="FZ12" s="2979"/>
      <c r="GA12" s="2979"/>
      <c r="GB12" s="2979"/>
      <c r="GC12" s="2979"/>
      <c r="GD12" s="2979"/>
      <c r="GE12" s="2979"/>
      <c r="GF12" s="2979"/>
      <c r="GG12" s="2979"/>
      <c r="GH12" s="2979"/>
      <c r="GI12" s="2979"/>
      <c r="GJ12" s="2979"/>
      <c r="GK12" s="2979"/>
      <c r="GL12" s="2979"/>
      <c r="GM12" s="2979"/>
      <c r="GN12" s="2979"/>
      <c r="GO12" s="2979"/>
      <c r="GP12" s="2979"/>
      <c r="GQ12" s="2979"/>
      <c r="GR12" s="2979"/>
      <c r="GS12" s="2979"/>
      <c r="GT12" s="2979"/>
      <c r="GU12" s="2979"/>
      <c r="GV12" s="2979"/>
      <c r="GW12" s="2979"/>
      <c r="GX12" s="2979"/>
      <c r="GY12" s="2979"/>
      <c r="GZ12" s="2979"/>
      <c r="HA12" s="2979"/>
      <c r="HB12" s="2979"/>
      <c r="HC12" s="2979"/>
      <c r="HD12" s="2979"/>
      <c r="HE12" s="2979"/>
      <c r="HF12" s="2979"/>
      <c r="HG12" s="2979"/>
      <c r="HH12" s="2979"/>
      <c r="HI12" s="2979"/>
      <c r="HJ12" s="2979"/>
      <c r="HK12" s="2979"/>
      <c r="HL12" s="2979"/>
      <c r="HM12" s="2979"/>
      <c r="HN12" s="2979"/>
      <c r="HO12" s="2979"/>
      <c r="HP12" s="2979"/>
      <c r="HQ12" s="2979"/>
      <c r="HR12" s="2979"/>
      <c r="HS12" s="2979"/>
      <c r="HT12" s="2979"/>
      <c r="HU12" s="2979"/>
      <c r="HV12" s="2979"/>
      <c r="HW12" s="2979"/>
      <c r="HX12" s="2979"/>
      <c r="HY12" s="2979"/>
      <c r="HZ12" s="2979"/>
      <c r="IA12" s="2979"/>
      <c r="IB12" s="2979"/>
      <c r="IC12" s="2979"/>
      <c r="ID12" s="2979"/>
      <c r="IE12" s="2979"/>
      <c r="IF12" s="2979"/>
      <c r="IG12" s="2979"/>
      <c r="IH12" s="2979"/>
      <c r="II12" s="2979"/>
      <c r="IJ12" s="2979"/>
      <c r="IK12" s="2979"/>
      <c r="IL12" s="2979"/>
      <c r="IM12" s="2979"/>
      <c r="IN12" s="2979"/>
      <c r="IO12" s="2979"/>
      <c r="IP12" s="2979"/>
      <c r="IQ12" s="2979"/>
      <c r="IR12" s="2979"/>
      <c r="IS12" s="2979"/>
      <c r="IT12" s="2979"/>
      <c r="IU12" s="2979"/>
      <c r="IV12" s="2979"/>
    </row>
    <row r="13" spans="1:257" ht="14.25">
      <c r="A13" s="2980"/>
      <c r="B13" s="2981" t="s">
        <v>2814</v>
      </c>
      <c r="C13" s="2982">
        <v>42301</v>
      </c>
      <c r="D13" s="2983">
        <v>4.3499999999999996</v>
      </c>
      <c r="E13" s="2983">
        <v>4.3499999999999996</v>
      </c>
      <c r="F13" s="2983">
        <v>4.75</v>
      </c>
      <c r="G13" s="2983">
        <v>4.75</v>
      </c>
      <c r="H13" s="2983">
        <v>4.9000000000000004</v>
      </c>
      <c r="I13" s="2983">
        <v>2.75</v>
      </c>
      <c r="J13" s="2983">
        <v>3.25</v>
      </c>
      <c r="K13" s="2980"/>
      <c r="L13" s="2981" t="s">
        <v>2814</v>
      </c>
      <c r="M13" s="2984">
        <v>42301</v>
      </c>
      <c r="N13" s="2983">
        <v>0.35</v>
      </c>
      <c r="O13" s="2983">
        <v>1.1000000000000001</v>
      </c>
      <c r="P13" s="2983">
        <v>1.3</v>
      </c>
      <c r="Q13" s="2983">
        <v>1.5</v>
      </c>
      <c r="R13" s="2983">
        <v>2.1</v>
      </c>
      <c r="S13" s="2983">
        <v>2.75</v>
      </c>
      <c r="T13" s="2983"/>
      <c r="U13" s="2983"/>
      <c r="V13" s="2983"/>
      <c r="W13" s="2983"/>
      <c r="X13" s="2983"/>
      <c r="Y13" s="2983"/>
      <c r="Z13" s="2983"/>
      <c r="AA13" s="2985"/>
      <c r="AB13" s="2985"/>
      <c r="AC13" s="2985"/>
      <c r="AD13" s="2985"/>
      <c r="AE13" s="2985"/>
      <c r="AF13" s="2985"/>
      <c r="AG13" s="2985"/>
      <c r="AH13" s="2985"/>
      <c r="AI13" s="2985"/>
      <c r="AJ13" s="2985"/>
      <c r="AK13" s="2985"/>
      <c r="AL13" s="2985"/>
      <c r="AM13" s="2985"/>
      <c r="AN13" s="2985"/>
      <c r="AO13" s="2985"/>
      <c r="AP13" s="2985"/>
      <c r="AQ13" s="2985"/>
      <c r="AR13" s="2985"/>
      <c r="AS13" s="2985"/>
      <c r="AT13" s="2985"/>
      <c r="AU13" s="2985"/>
      <c r="AV13" s="2985"/>
      <c r="AW13" s="2985"/>
      <c r="AX13" s="2985"/>
      <c r="AY13" s="2985"/>
      <c r="AZ13" s="2985"/>
      <c r="BA13" s="2985"/>
      <c r="BB13" s="2985"/>
      <c r="BC13" s="2985"/>
      <c r="BD13" s="2985"/>
      <c r="BE13" s="2985"/>
      <c r="BF13" s="2985"/>
      <c r="BG13" s="2985"/>
      <c r="BH13" s="2985"/>
      <c r="BI13" s="2985"/>
      <c r="BJ13" s="2985"/>
      <c r="BK13" s="2985"/>
      <c r="BL13" s="2985"/>
      <c r="BM13" s="2985"/>
      <c r="BN13" s="2985"/>
      <c r="BO13" s="2985"/>
      <c r="BP13" s="2985"/>
      <c r="BQ13" s="2985"/>
      <c r="BR13" s="2985"/>
      <c r="BS13" s="2985"/>
      <c r="BT13" s="2985"/>
      <c r="BU13" s="2985"/>
      <c r="BV13" s="2985"/>
      <c r="BW13" s="2985"/>
      <c r="BX13" s="2985"/>
      <c r="BY13" s="2985"/>
      <c r="BZ13" s="2985"/>
      <c r="CA13" s="2985"/>
      <c r="CB13" s="2985"/>
      <c r="CC13" s="2985"/>
      <c r="CD13" s="2985"/>
      <c r="CE13" s="2985"/>
      <c r="CF13" s="2985"/>
      <c r="CG13" s="2985"/>
      <c r="CH13" s="2985"/>
      <c r="CI13" s="2985"/>
      <c r="CJ13" s="2985"/>
      <c r="CK13" s="2985"/>
      <c r="CL13" s="2985"/>
      <c r="CM13" s="2985"/>
      <c r="CN13" s="2985"/>
      <c r="CO13" s="2985"/>
      <c r="CP13" s="2985"/>
      <c r="CQ13" s="2985"/>
      <c r="CR13" s="2985"/>
      <c r="CS13" s="2985"/>
      <c r="CT13" s="2985"/>
      <c r="CU13" s="2985"/>
      <c r="CV13" s="2985"/>
      <c r="CW13" s="2985"/>
      <c r="CX13" s="2985"/>
      <c r="CY13" s="2985"/>
      <c r="CZ13" s="2985"/>
      <c r="DA13" s="2985"/>
      <c r="DB13" s="2985"/>
      <c r="DC13" s="2985"/>
      <c r="DD13" s="2985"/>
      <c r="DE13" s="2985"/>
      <c r="DF13" s="2985"/>
      <c r="DG13" s="2985"/>
      <c r="DH13" s="2985"/>
      <c r="DI13" s="2985"/>
      <c r="DJ13" s="2985"/>
      <c r="DK13" s="2985"/>
      <c r="DL13" s="2985"/>
      <c r="DM13" s="2985"/>
      <c r="DN13" s="2985"/>
      <c r="DO13" s="2985"/>
      <c r="DP13" s="2985"/>
      <c r="DQ13" s="2985"/>
      <c r="DR13" s="2985"/>
      <c r="DS13" s="2985"/>
      <c r="DT13" s="2985"/>
      <c r="DU13" s="2985"/>
      <c r="DV13" s="2985"/>
      <c r="DW13" s="2985"/>
      <c r="DX13" s="2985"/>
      <c r="DY13" s="2985"/>
      <c r="DZ13" s="2985"/>
      <c r="EA13" s="2985"/>
      <c r="EB13" s="2985"/>
      <c r="EC13" s="2985"/>
      <c r="ED13" s="2985"/>
      <c r="EE13" s="2985"/>
      <c r="EF13" s="2985"/>
      <c r="EG13" s="2985"/>
      <c r="EH13" s="2985"/>
      <c r="EI13" s="2985"/>
      <c r="EJ13" s="2985"/>
      <c r="EK13" s="2985"/>
      <c r="EL13" s="2985"/>
      <c r="EM13" s="2985"/>
      <c r="EN13" s="2985"/>
      <c r="EO13" s="2985"/>
      <c r="EP13" s="2985"/>
      <c r="EQ13" s="2985"/>
      <c r="ER13" s="2985"/>
      <c r="ES13" s="2985"/>
      <c r="ET13" s="2985"/>
      <c r="EU13" s="2985"/>
      <c r="EV13" s="2985"/>
      <c r="EW13" s="2985"/>
      <c r="EX13" s="2985"/>
      <c r="EY13" s="2985"/>
      <c r="EZ13" s="2985"/>
      <c r="FA13" s="2985"/>
      <c r="FB13" s="2985"/>
      <c r="FC13" s="2985"/>
      <c r="FD13" s="2985"/>
      <c r="FE13" s="2985"/>
      <c r="FF13" s="2985"/>
      <c r="FG13" s="2985"/>
      <c r="FH13" s="2985"/>
      <c r="FI13" s="2985"/>
      <c r="FJ13" s="2985"/>
      <c r="FK13" s="2985"/>
      <c r="FL13" s="2985"/>
      <c r="FM13" s="2985"/>
      <c r="FN13" s="2985"/>
      <c r="FO13" s="2985"/>
      <c r="FP13" s="2985"/>
      <c r="FQ13" s="2985"/>
      <c r="FR13" s="2985"/>
      <c r="FS13" s="2985"/>
      <c r="FT13" s="2985"/>
      <c r="FU13" s="2985"/>
      <c r="FV13" s="2985"/>
      <c r="FW13" s="2985"/>
      <c r="FX13" s="2985"/>
      <c r="FY13" s="2985"/>
      <c r="FZ13" s="2985"/>
      <c r="GA13" s="2985"/>
      <c r="GB13" s="2985"/>
      <c r="GC13" s="2985"/>
      <c r="GD13" s="2985"/>
      <c r="GE13" s="2985"/>
      <c r="GF13" s="2985"/>
      <c r="GG13" s="2985"/>
      <c r="GH13" s="2985"/>
      <c r="GI13" s="2985"/>
      <c r="GJ13" s="2985"/>
      <c r="GK13" s="2985"/>
      <c r="GL13" s="2985"/>
      <c r="GM13" s="2985"/>
      <c r="GN13" s="2985"/>
      <c r="GO13" s="2985"/>
      <c r="GP13" s="2985"/>
      <c r="GQ13" s="2985"/>
      <c r="GR13" s="2985"/>
      <c r="GS13" s="2985"/>
      <c r="GT13" s="2985"/>
      <c r="GU13" s="2985"/>
      <c r="GV13" s="2985"/>
      <c r="GW13" s="2985"/>
      <c r="GX13" s="2985"/>
      <c r="GY13" s="2985"/>
      <c r="GZ13" s="2985"/>
      <c r="HA13" s="2985"/>
      <c r="HB13" s="2985"/>
      <c r="HC13" s="2985"/>
      <c r="HD13" s="2985"/>
      <c r="HE13" s="2985"/>
      <c r="HF13" s="2985"/>
      <c r="HG13" s="2985"/>
      <c r="HH13" s="2985"/>
      <c r="HI13" s="2985"/>
      <c r="HJ13" s="2985"/>
      <c r="HK13" s="2985"/>
      <c r="HL13" s="2985"/>
      <c r="HM13" s="2985"/>
      <c r="HN13" s="2985"/>
      <c r="HO13" s="2985"/>
      <c r="HP13" s="2985"/>
      <c r="HQ13" s="2985"/>
      <c r="HR13" s="2985"/>
      <c r="HS13" s="2985"/>
      <c r="HT13" s="2985"/>
      <c r="HU13" s="2985"/>
      <c r="HV13" s="2985"/>
      <c r="HW13" s="2985"/>
      <c r="HX13" s="2985"/>
      <c r="HY13" s="2985"/>
      <c r="HZ13" s="2985"/>
      <c r="IA13" s="2985"/>
      <c r="IB13" s="2985"/>
      <c r="IC13" s="2985"/>
      <c r="ID13" s="2985"/>
      <c r="IE13" s="2985"/>
      <c r="IF13" s="2985"/>
      <c r="IG13" s="2985"/>
      <c r="IH13" s="2985"/>
      <c r="II13" s="2985"/>
      <c r="IJ13" s="2985"/>
      <c r="IK13" s="2985"/>
      <c r="IL13" s="2985"/>
      <c r="IM13" s="2985"/>
      <c r="IN13" s="2985"/>
      <c r="IO13" s="2985"/>
      <c r="IP13" s="2985"/>
      <c r="IQ13" s="2985"/>
      <c r="IR13" s="2985"/>
      <c r="IS13" s="2985"/>
      <c r="IT13" s="2985"/>
      <c r="IU13" s="2985"/>
      <c r="IV13" s="2985"/>
      <c r="IW13" s="2986"/>
    </row>
    <row r="14" spans="1:257">
      <c r="B14" s="2987"/>
      <c r="C14" s="2988">
        <v>42242</v>
      </c>
      <c r="D14" s="2987">
        <v>4.5999999999999996</v>
      </c>
      <c r="E14" s="2987">
        <v>4.5999999999999996</v>
      </c>
      <c r="F14" s="2987">
        <v>5</v>
      </c>
      <c r="G14" s="2987">
        <v>5</v>
      </c>
      <c r="H14" s="2987">
        <v>5.15</v>
      </c>
      <c r="I14" s="2987">
        <v>2.75</v>
      </c>
      <c r="J14" s="2987">
        <v>3.25</v>
      </c>
      <c r="L14" s="2987"/>
      <c r="M14" s="2988">
        <v>42242</v>
      </c>
      <c r="N14" s="2987">
        <v>0.35</v>
      </c>
      <c r="O14" s="2987">
        <v>1.35</v>
      </c>
      <c r="P14" s="2987">
        <v>1.55</v>
      </c>
      <c r="Q14" s="2987">
        <v>1.75</v>
      </c>
      <c r="R14" s="2987">
        <v>2.35</v>
      </c>
      <c r="S14" s="2987">
        <v>3</v>
      </c>
      <c r="T14" s="2987"/>
      <c r="U14" s="2987"/>
      <c r="V14" s="2987"/>
      <c r="W14" s="2987"/>
      <c r="X14" s="2987"/>
      <c r="Y14" s="2987"/>
      <c r="Z14" s="2987"/>
    </row>
    <row r="15" spans="1:257">
      <c r="B15" s="2987"/>
      <c r="C15" s="2988">
        <v>42183</v>
      </c>
      <c r="D15" s="2987">
        <v>4.8499999999999996</v>
      </c>
      <c r="E15" s="2987">
        <v>4.8499999999999996</v>
      </c>
      <c r="F15" s="2987">
        <v>5.25</v>
      </c>
      <c r="G15" s="2987">
        <v>5.25</v>
      </c>
      <c r="H15" s="2987">
        <v>5.4</v>
      </c>
      <c r="I15" s="2987">
        <v>3</v>
      </c>
      <c r="J15" s="2987">
        <v>3.5</v>
      </c>
      <c r="L15" s="2987"/>
      <c r="M15" s="2988">
        <v>42183</v>
      </c>
      <c r="N15" s="2987">
        <v>0.35</v>
      </c>
      <c r="O15" s="2987">
        <v>1.6</v>
      </c>
      <c r="P15" s="2987">
        <v>1.8</v>
      </c>
      <c r="Q15" s="2987">
        <v>2</v>
      </c>
      <c r="R15" s="2987">
        <v>2.6</v>
      </c>
      <c r="S15" s="2987">
        <v>3.25</v>
      </c>
      <c r="T15" s="2987"/>
      <c r="U15" s="2987"/>
      <c r="V15" s="2987"/>
      <c r="W15" s="2987"/>
      <c r="X15" s="2987"/>
      <c r="Y15" s="2987"/>
      <c r="Z15" s="2987"/>
    </row>
    <row r="16" spans="1:257">
      <c r="B16" s="2987"/>
      <c r="C16" s="2988">
        <v>42135</v>
      </c>
      <c r="D16" s="2987">
        <v>5.0999999999999996</v>
      </c>
      <c r="E16" s="2987">
        <v>5.0999999999999996</v>
      </c>
      <c r="F16" s="2987">
        <v>5.5</v>
      </c>
      <c r="G16" s="2987">
        <v>5.5</v>
      </c>
      <c r="H16" s="2987">
        <v>5.65</v>
      </c>
      <c r="I16" s="2987">
        <v>3.25</v>
      </c>
      <c r="J16" s="2987">
        <v>3.75</v>
      </c>
      <c r="L16" s="2987"/>
      <c r="M16" s="2988">
        <v>42135</v>
      </c>
      <c r="N16" s="2987">
        <v>0.35</v>
      </c>
      <c r="O16" s="2987">
        <v>1.85</v>
      </c>
      <c r="P16" s="2987">
        <v>2.0499999999999998</v>
      </c>
      <c r="Q16" s="2987">
        <v>2.25</v>
      </c>
      <c r="R16" s="2987">
        <v>2.85</v>
      </c>
      <c r="S16" s="2987">
        <v>3.5</v>
      </c>
      <c r="T16" s="2987"/>
      <c r="U16" s="2987"/>
      <c r="V16" s="2987"/>
      <c r="W16" s="2987"/>
      <c r="X16" s="2987"/>
      <c r="Y16" s="2987"/>
      <c r="Z16" s="2987"/>
    </row>
    <row r="17" spans="2:26">
      <c r="B17" s="2987"/>
      <c r="C17" s="2988">
        <v>42064</v>
      </c>
      <c r="D17" s="2987">
        <v>5.35</v>
      </c>
      <c r="E17" s="2987">
        <v>5.35</v>
      </c>
      <c r="F17" s="2987">
        <v>5.75</v>
      </c>
      <c r="G17" s="2987">
        <v>5.75</v>
      </c>
      <c r="H17" s="2987">
        <v>5.9</v>
      </c>
      <c r="I17" s="2987"/>
      <c r="J17" s="2987"/>
      <c r="L17" s="2987"/>
      <c r="M17" s="2988">
        <v>42064</v>
      </c>
      <c r="N17" s="2987">
        <v>0.35</v>
      </c>
      <c r="O17" s="2987">
        <v>2.1</v>
      </c>
      <c r="P17" s="2987">
        <v>2.2999999999999998</v>
      </c>
      <c r="Q17" s="2987">
        <v>2.5</v>
      </c>
      <c r="R17" s="2987">
        <v>3.1</v>
      </c>
      <c r="S17" s="2987">
        <v>3.75</v>
      </c>
      <c r="T17" s="2987">
        <v>4.5</v>
      </c>
      <c r="U17" s="2987">
        <v>2.35</v>
      </c>
      <c r="V17" s="2987">
        <v>2.5499999999999998</v>
      </c>
      <c r="W17" s="2987">
        <v>2.75</v>
      </c>
      <c r="X17" s="2987"/>
      <c r="Y17" s="2987">
        <v>0.8</v>
      </c>
      <c r="Z17" s="2987">
        <v>1.35</v>
      </c>
    </row>
    <row r="18" spans="2:26" ht="15">
      <c r="B18" s="2987"/>
      <c r="C18" s="2988">
        <v>41965</v>
      </c>
      <c r="D18" s="2987">
        <v>5.6</v>
      </c>
      <c r="E18" s="2987">
        <v>5.6</v>
      </c>
      <c r="F18" s="2987">
        <v>6</v>
      </c>
      <c r="G18" s="2987">
        <v>6</v>
      </c>
      <c r="H18" s="2987">
        <v>6.15</v>
      </c>
      <c r="I18" s="2987"/>
      <c r="J18" s="2987"/>
      <c r="L18" s="2987"/>
      <c r="M18" s="2988">
        <v>41965</v>
      </c>
      <c r="N18" s="2987">
        <v>0.35</v>
      </c>
      <c r="O18" s="2987">
        <v>2.35</v>
      </c>
      <c r="P18" s="2987">
        <v>2.5499999999999998</v>
      </c>
      <c r="Q18" s="2987">
        <v>2.75</v>
      </c>
      <c r="R18" s="2987">
        <v>3.35</v>
      </c>
      <c r="S18" s="2987">
        <v>4</v>
      </c>
      <c r="T18" s="2987">
        <v>4.75</v>
      </c>
      <c r="U18" s="2989">
        <v>2.35</v>
      </c>
      <c r="V18" s="2989">
        <v>2.5499999999999998</v>
      </c>
      <c r="W18" s="2989">
        <v>2.75</v>
      </c>
      <c r="X18" s="2987"/>
      <c r="Y18" s="2989">
        <v>0.8</v>
      </c>
      <c r="Z18" s="2989">
        <v>1.35</v>
      </c>
    </row>
    <row r="19" spans="2:26">
      <c r="B19" s="2987"/>
      <c r="C19" s="2988">
        <v>41096</v>
      </c>
      <c r="D19" s="2987">
        <v>5.6</v>
      </c>
      <c r="E19" s="2987">
        <v>6</v>
      </c>
      <c r="F19" s="2987">
        <v>6.15</v>
      </c>
      <c r="G19" s="2987">
        <v>6.4</v>
      </c>
      <c r="H19" s="2987">
        <v>6.55</v>
      </c>
      <c r="I19" s="2987">
        <v>4</v>
      </c>
      <c r="J19" s="2987">
        <v>4.5</v>
      </c>
      <c r="L19" s="2987"/>
      <c r="M19" s="2988">
        <v>41096</v>
      </c>
      <c r="N19" s="2987">
        <v>0.35</v>
      </c>
      <c r="O19" s="2987">
        <v>2.6</v>
      </c>
      <c r="P19" s="2987">
        <v>2.8</v>
      </c>
      <c r="Q19" s="2987">
        <v>3</v>
      </c>
      <c r="R19" s="2987">
        <v>3.75</v>
      </c>
      <c r="S19" s="2987">
        <v>4.25</v>
      </c>
      <c r="T19" s="2987">
        <v>4.75</v>
      </c>
      <c r="U19" s="2987">
        <v>2.85</v>
      </c>
      <c r="V19" s="2987">
        <v>2.9</v>
      </c>
      <c r="W19" s="2987">
        <v>3</v>
      </c>
      <c r="X19" s="2987">
        <v>1.1499999999999999</v>
      </c>
      <c r="Y19" s="2987">
        <v>0.8</v>
      </c>
      <c r="Z19" s="2987">
        <v>1.35</v>
      </c>
    </row>
    <row r="20" spans="2:26">
      <c r="B20" s="2987"/>
      <c r="C20" s="2988">
        <v>41068</v>
      </c>
      <c r="D20" s="2987">
        <v>5.85</v>
      </c>
      <c r="E20" s="2987">
        <v>6.31</v>
      </c>
      <c r="F20" s="2987">
        <v>6.4</v>
      </c>
      <c r="G20" s="2987">
        <v>6.65</v>
      </c>
      <c r="H20" s="2987">
        <v>6.8</v>
      </c>
      <c r="I20" s="2987">
        <v>4.2</v>
      </c>
      <c r="J20" s="2987">
        <v>4.7</v>
      </c>
      <c r="L20" s="2987"/>
      <c r="M20" s="2988">
        <v>41068</v>
      </c>
      <c r="N20" s="2987">
        <v>0.4</v>
      </c>
      <c r="O20" s="2987">
        <v>2.85</v>
      </c>
      <c r="P20" s="2987">
        <v>3.05</v>
      </c>
      <c r="Q20" s="2987">
        <v>3.25</v>
      </c>
      <c r="R20" s="2987">
        <v>4.0999999999999996</v>
      </c>
      <c r="S20" s="2987">
        <v>4.6500000000000004</v>
      </c>
      <c r="T20" s="2987">
        <v>5.0999999999999996</v>
      </c>
      <c r="U20" s="2987">
        <v>3.1</v>
      </c>
      <c r="V20" s="2987">
        <v>3.15</v>
      </c>
      <c r="W20" s="2987">
        <v>3.25</v>
      </c>
      <c r="X20" s="2987">
        <v>1.31</v>
      </c>
      <c r="Y20" s="2987">
        <v>0.94</v>
      </c>
      <c r="Z20" s="2987">
        <v>1.49</v>
      </c>
    </row>
    <row r="21" spans="2:26">
      <c r="B21" s="2987"/>
      <c r="C21" s="2988">
        <v>40731</v>
      </c>
      <c r="D21" s="2987">
        <v>6.1</v>
      </c>
      <c r="E21" s="2987">
        <v>6.56</v>
      </c>
      <c r="F21" s="2987">
        <v>6.65</v>
      </c>
      <c r="G21" s="2987">
        <v>6.9</v>
      </c>
      <c r="H21" s="2987">
        <v>7.05</v>
      </c>
      <c r="I21" s="2987">
        <v>4.45</v>
      </c>
      <c r="J21" s="2987">
        <v>4.9000000000000004</v>
      </c>
      <c r="L21" s="2987"/>
      <c r="M21" s="2988">
        <v>40731</v>
      </c>
      <c r="N21" s="2987">
        <v>0.5</v>
      </c>
      <c r="O21" s="2987">
        <v>3.1</v>
      </c>
      <c r="P21" s="2987">
        <v>3.3</v>
      </c>
      <c r="Q21" s="2987">
        <v>3.5</v>
      </c>
      <c r="R21" s="2987">
        <v>4.4000000000000004</v>
      </c>
      <c r="S21" s="2987">
        <v>5</v>
      </c>
      <c r="T21" s="2987">
        <v>5.5</v>
      </c>
      <c r="U21" s="2987">
        <v>3.1</v>
      </c>
      <c r="V21" s="2987">
        <v>3.3</v>
      </c>
      <c r="W21" s="2987">
        <v>3.5</v>
      </c>
      <c r="X21" s="2987">
        <v>1.31</v>
      </c>
      <c r="Y21" s="2987">
        <v>0.95</v>
      </c>
      <c r="Z21" s="2987">
        <v>1.49</v>
      </c>
    </row>
    <row r="22" spans="2:26">
      <c r="B22" s="2987"/>
      <c r="C22" s="2988">
        <v>40639</v>
      </c>
      <c r="D22" s="2987">
        <v>5.85</v>
      </c>
      <c r="E22" s="2987">
        <v>6.31</v>
      </c>
      <c r="F22" s="2987">
        <v>6.4</v>
      </c>
      <c r="G22" s="2987">
        <v>6.65</v>
      </c>
      <c r="H22" s="2987">
        <v>6.8</v>
      </c>
      <c r="I22" s="2987">
        <v>4.2</v>
      </c>
      <c r="J22" s="2987">
        <v>4.7</v>
      </c>
      <c r="L22" s="2987"/>
      <c r="M22" s="2988">
        <v>40639</v>
      </c>
      <c r="N22" s="2987">
        <v>0.5</v>
      </c>
      <c r="O22" s="2987">
        <v>2.85</v>
      </c>
      <c r="P22" s="2987">
        <v>3.05</v>
      </c>
      <c r="Q22" s="2987">
        <v>3.25</v>
      </c>
      <c r="R22" s="2987">
        <v>4.1500000000000004</v>
      </c>
      <c r="S22" s="2987">
        <v>4.75</v>
      </c>
      <c r="T22" s="2987">
        <v>5.25</v>
      </c>
      <c r="U22" s="2987">
        <v>2.85</v>
      </c>
      <c r="V22" s="2987">
        <v>3.05</v>
      </c>
      <c r="W22" s="2987">
        <v>3.25</v>
      </c>
      <c r="X22" s="2987">
        <v>1.31</v>
      </c>
      <c r="Y22" s="2987">
        <v>0.95</v>
      </c>
      <c r="Z22" s="2987">
        <v>1.49</v>
      </c>
    </row>
    <row r="23" spans="2:26">
      <c r="B23" s="2987"/>
      <c r="C23" s="2988">
        <v>40583</v>
      </c>
      <c r="D23" s="2987">
        <v>5.6</v>
      </c>
      <c r="E23" s="2987">
        <v>6.06</v>
      </c>
      <c r="F23" s="2987">
        <v>6.1</v>
      </c>
      <c r="G23" s="2987">
        <v>6.45</v>
      </c>
      <c r="H23" s="2987">
        <v>6.6</v>
      </c>
      <c r="I23" s="2987">
        <v>4</v>
      </c>
      <c r="J23" s="2987">
        <v>4.5</v>
      </c>
      <c r="L23" s="2987"/>
      <c r="M23" s="2988">
        <v>40583</v>
      </c>
      <c r="N23" s="2987">
        <v>0.4</v>
      </c>
      <c r="O23" s="2987">
        <v>2.6</v>
      </c>
      <c r="P23" s="2987">
        <v>2.8</v>
      </c>
      <c r="Q23" s="2987">
        <v>3</v>
      </c>
      <c r="R23" s="2987">
        <v>3.9</v>
      </c>
      <c r="S23" s="2987">
        <v>4.5</v>
      </c>
      <c r="T23" s="2987">
        <v>5</v>
      </c>
      <c r="U23" s="2987">
        <v>2.6</v>
      </c>
      <c r="V23" s="2987">
        <v>2.8</v>
      </c>
      <c r="W23" s="2987">
        <v>3</v>
      </c>
      <c r="X23" s="2987">
        <v>1.21</v>
      </c>
      <c r="Y23" s="2987">
        <v>0.85</v>
      </c>
      <c r="Z23" s="2987">
        <v>1.39</v>
      </c>
    </row>
    <row r="24" spans="2:26">
      <c r="B24" s="2987"/>
      <c r="C24" s="2988">
        <v>40538</v>
      </c>
      <c r="D24" s="2987">
        <v>5.35</v>
      </c>
      <c r="E24" s="2987">
        <v>5.81</v>
      </c>
      <c r="F24" s="2987">
        <v>5.85</v>
      </c>
      <c r="G24" s="2987">
        <v>6.22</v>
      </c>
      <c r="H24" s="2987">
        <v>6.4</v>
      </c>
      <c r="I24" s="2987">
        <v>3.75</v>
      </c>
      <c r="J24" s="2987">
        <v>4.3</v>
      </c>
      <c r="L24" s="2987"/>
      <c r="M24" s="2988">
        <v>40538</v>
      </c>
      <c r="N24" s="2987">
        <v>0.36</v>
      </c>
      <c r="O24" s="2987">
        <v>2.25</v>
      </c>
      <c r="P24" s="2987">
        <v>2.5</v>
      </c>
      <c r="Q24" s="2987">
        <v>2.75</v>
      </c>
      <c r="R24" s="2987">
        <v>3.55</v>
      </c>
      <c r="S24" s="2987">
        <v>4.1500000000000004</v>
      </c>
      <c r="T24" s="2987">
        <v>4.55</v>
      </c>
      <c r="U24" s="2987">
        <v>2.16</v>
      </c>
      <c r="V24" s="2987">
        <v>2.5</v>
      </c>
      <c r="W24" s="2987">
        <v>2.85</v>
      </c>
      <c r="X24" s="2987">
        <v>1.17</v>
      </c>
      <c r="Y24" s="2987">
        <v>0.81</v>
      </c>
      <c r="Z24" s="2987">
        <v>1.35</v>
      </c>
    </row>
    <row r="25" spans="2:26">
      <c r="B25" s="2987"/>
      <c r="C25" s="2988">
        <v>40471</v>
      </c>
      <c r="D25" s="2987">
        <v>5.0999999999999996</v>
      </c>
      <c r="E25" s="2987">
        <v>5.56</v>
      </c>
      <c r="F25" s="2987">
        <v>5.6</v>
      </c>
      <c r="G25" s="2987">
        <v>5.96</v>
      </c>
      <c r="H25" s="2987">
        <v>6.14</v>
      </c>
      <c r="I25" s="2987">
        <v>3.5</v>
      </c>
      <c r="J25" s="2987">
        <v>4.05</v>
      </c>
      <c r="L25" s="2987"/>
      <c r="M25" s="2988">
        <v>40471</v>
      </c>
      <c r="N25" s="2987">
        <v>0.36</v>
      </c>
      <c r="O25" s="2987">
        <v>1.91</v>
      </c>
      <c r="P25" s="2987">
        <v>2.2000000000000002</v>
      </c>
      <c r="Q25" s="2987">
        <v>2.5</v>
      </c>
      <c r="R25" s="2987">
        <v>3.25</v>
      </c>
      <c r="S25" s="2987">
        <v>3.85</v>
      </c>
      <c r="T25" s="2987">
        <v>4.2</v>
      </c>
      <c r="U25" s="2987">
        <v>1.91</v>
      </c>
      <c r="V25" s="2987">
        <v>2.2000000000000002</v>
      </c>
      <c r="W25" s="2987">
        <v>2.5</v>
      </c>
      <c r="X25" s="2987">
        <v>1.17</v>
      </c>
      <c r="Y25" s="2987">
        <v>0.81</v>
      </c>
      <c r="Z25" s="2987">
        <v>1.35</v>
      </c>
    </row>
    <row r="26" spans="2:26">
      <c r="B26" s="2987"/>
      <c r="C26" s="2988">
        <v>39805</v>
      </c>
      <c r="D26" s="2987">
        <v>4.8600000000000003</v>
      </c>
      <c r="E26" s="2987">
        <v>5.31</v>
      </c>
      <c r="F26" s="2987">
        <v>5.4</v>
      </c>
      <c r="G26" s="2987">
        <v>5.76</v>
      </c>
      <c r="H26" s="2987">
        <v>5.94</v>
      </c>
      <c r="I26" s="2987">
        <v>3.33</v>
      </c>
      <c r="J26" s="2987">
        <v>3.87</v>
      </c>
      <c r="L26" s="2987"/>
      <c r="M26" s="2988">
        <v>39805</v>
      </c>
      <c r="N26" s="2987">
        <v>0.36</v>
      </c>
      <c r="O26" s="2987">
        <v>1.71</v>
      </c>
      <c r="P26" s="2987">
        <v>1.98</v>
      </c>
      <c r="Q26" s="2987">
        <v>2.25</v>
      </c>
      <c r="R26" s="2987">
        <v>2.79</v>
      </c>
      <c r="S26" s="2987">
        <v>3.33</v>
      </c>
      <c r="T26" s="2987">
        <v>3.6</v>
      </c>
      <c r="U26" s="2987">
        <v>1.71</v>
      </c>
      <c r="V26" s="2987">
        <v>1.98</v>
      </c>
      <c r="W26" s="2987">
        <v>2.25</v>
      </c>
      <c r="X26" s="2987">
        <v>1.17</v>
      </c>
      <c r="Y26" s="2987">
        <v>0.81</v>
      </c>
      <c r="Z26" s="2987">
        <v>1.35</v>
      </c>
    </row>
    <row r="27" spans="2:26">
      <c r="B27" s="2987"/>
      <c r="C27" s="2988">
        <v>39779</v>
      </c>
      <c r="D27" s="2987">
        <v>5.04</v>
      </c>
      <c r="E27" s="2987">
        <v>5.58</v>
      </c>
      <c r="F27" s="2987">
        <v>5.67</v>
      </c>
      <c r="G27" s="2987">
        <v>5.94</v>
      </c>
      <c r="H27" s="2987">
        <v>6.12</v>
      </c>
      <c r="I27" s="2987">
        <v>3.51</v>
      </c>
      <c r="J27" s="2987">
        <v>4.05</v>
      </c>
      <c r="L27" s="2987"/>
      <c r="M27" s="2988">
        <v>39779</v>
      </c>
      <c r="N27" s="2987">
        <v>0.36</v>
      </c>
      <c r="O27" s="2987">
        <v>1.98</v>
      </c>
      <c r="P27" s="2987">
        <v>2.25</v>
      </c>
      <c r="Q27" s="2987">
        <v>2.52</v>
      </c>
      <c r="R27" s="2987">
        <v>3.06</v>
      </c>
      <c r="S27" s="2987">
        <v>3.6</v>
      </c>
      <c r="T27" s="2987">
        <v>3.87</v>
      </c>
      <c r="U27" s="2987">
        <v>1.98</v>
      </c>
      <c r="V27" s="2987">
        <v>2.25</v>
      </c>
      <c r="W27" s="2987">
        <v>2.52</v>
      </c>
      <c r="X27" s="2987">
        <v>1.17</v>
      </c>
      <c r="Y27" s="2987">
        <v>0.81</v>
      </c>
      <c r="Z27" s="2987">
        <v>1.35</v>
      </c>
    </row>
    <row r="28" spans="2:26">
      <c r="B28" s="2987"/>
      <c r="C28" s="2988">
        <v>39751</v>
      </c>
      <c r="D28" s="2987">
        <v>6.03</v>
      </c>
      <c r="E28" s="2987">
        <v>6.66</v>
      </c>
      <c r="F28" s="2987">
        <v>6.75</v>
      </c>
      <c r="G28" s="2987">
        <v>7.02</v>
      </c>
      <c r="H28" s="2987">
        <v>7.2</v>
      </c>
      <c r="I28" s="2987">
        <v>4.05</v>
      </c>
      <c r="J28" s="2987">
        <v>4.59</v>
      </c>
      <c r="L28" s="2987"/>
      <c r="M28" s="2988">
        <v>39751</v>
      </c>
      <c r="N28" s="2987">
        <v>0.72</v>
      </c>
      <c r="O28" s="2987">
        <v>2.88</v>
      </c>
      <c r="P28" s="2987">
        <v>3.24</v>
      </c>
      <c r="Q28" s="2987">
        <v>3.6</v>
      </c>
      <c r="R28" s="2987">
        <v>4.1399999999999997</v>
      </c>
      <c r="S28" s="2987">
        <v>4.7699999999999996</v>
      </c>
      <c r="T28" s="2987">
        <v>5.13</v>
      </c>
      <c r="U28" s="2987">
        <v>2.88</v>
      </c>
      <c r="V28" s="2987">
        <v>3.24</v>
      </c>
      <c r="W28" s="2987">
        <v>3.6</v>
      </c>
      <c r="X28" s="2987">
        <v>1.53</v>
      </c>
      <c r="Y28" s="2987">
        <v>1.17</v>
      </c>
      <c r="Z28" s="2987">
        <v>1.71</v>
      </c>
    </row>
    <row r="29" spans="2:26">
      <c r="B29" s="2987"/>
      <c r="C29" s="2990">
        <v>39748</v>
      </c>
      <c r="D29" s="2987">
        <v>6.12</v>
      </c>
      <c r="E29" s="2987">
        <v>6.93</v>
      </c>
      <c r="F29" s="2987">
        <v>7.02</v>
      </c>
      <c r="G29" s="2987">
        <v>7.29</v>
      </c>
      <c r="H29" s="2987">
        <v>7.47</v>
      </c>
      <c r="I29" s="2987">
        <v>4.05</v>
      </c>
      <c r="J29" s="2987">
        <v>4.59</v>
      </c>
      <c r="L29" s="2987"/>
      <c r="M29" s="2990">
        <v>39736</v>
      </c>
      <c r="N29" s="2987">
        <v>0.72</v>
      </c>
      <c r="O29" s="2987">
        <v>3.15</v>
      </c>
      <c r="P29" s="2987">
        <v>3.51</v>
      </c>
      <c r="Q29" s="2987">
        <v>3.87</v>
      </c>
      <c r="R29" s="2987">
        <v>4.41</v>
      </c>
      <c r="S29" s="2987">
        <v>5.13</v>
      </c>
      <c r="T29" s="2987">
        <v>5.58</v>
      </c>
      <c r="U29" s="2987">
        <v>3.15</v>
      </c>
      <c r="V29" s="2987">
        <v>3.51</v>
      </c>
      <c r="W29" s="2987">
        <v>3.87</v>
      </c>
      <c r="X29" s="2987">
        <v>1.53</v>
      </c>
      <c r="Y29" s="2987">
        <v>1.17</v>
      </c>
      <c r="Z29" s="2987">
        <v>1.71</v>
      </c>
    </row>
    <row r="30" spans="2:26">
      <c r="B30" s="2987"/>
      <c r="C30" s="2988">
        <v>39730</v>
      </c>
      <c r="D30" s="2987">
        <v>6.12</v>
      </c>
      <c r="E30" s="2987">
        <v>6.93</v>
      </c>
      <c r="F30" s="2987">
        <v>7.02</v>
      </c>
      <c r="G30" s="2987">
        <v>7.29</v>
      </c>
      <c r="H30" s="2987">
        <v>7.47</v>
      </c>
      <c r="I30" s="2987">
        <v>4.32</v>
      </c>
      <c r="J30" s="2987">
        <v>4.8600000000000003</v>
      </c>
      <c r="L30" s="2987"/>
      <c r="M30" s="2988">
        <v>39730</v>
      </c>
      <c r="N30" s="2987">
        <v>0.72</v>
      </c>
      <c r="O30" s="2987">
        <v>3.15</v>
      </c>
      <c r="P30" s="2987">
        <v>3.51</v>
      </c>
      <c r="Q30" s="2987">
        <v>3.87</v>
      </c>
      <c r="R30" s="2987">
        <v>4.41</v>
      </c>
      <c r="S30" s="2987">
        <v>5.13</v>
      </c>
      <c r="T30" s="2987">
        <v>5.58</v>
      </c>
      <c r="U30" s="2987">
        <v>3.15</v>
      </c>
      <c r="V30" s="2987">
        <v>3.51</v>
      </c>
      <c r="W30" s="2987">
        <v>3.87</v>
      </c>
      <c r="X30" s="2987">
        <v>1.53</v>
      </c>
      <c r="Y30" s="2987">
        <v>1.17</v>
      </c>
      <c r="Z30" s="2987">
        <v>1.71</v>
      </c>
    </row>
    <row r="31" spans="2:26">
      <c r="B31" s="2987"/>
      <c r="C31" s="2988">
        <v>39707</v>
      </c>
      <c r="D31" s="2987">
        <v>6.21</v>
      </c>
      <c r="E31" s="2987">
        <v>7.2</v>
      </c>
      <c r="F31" s="2987">
        <v>7.29</v>
      </c>
      <c r="G31" s="2987">
        <v>7.56</v>
      </c>
      <c r="H31" s="2987">
        <v>7.74</v>
      </c>
      <c r="I31" s="2987">
        <v>4.59</v>
      </c>
      <c r="J31" s="2987">
        <v>5.13</v>
      </c>
      <c r="L31" s="2987"/>
      <c r="M31" s="2988">
        <v>39437</v>
      </c>
      <c r="N31" s="2987">
        <v>0.72</v>
      </c>
      <c r="O31" s="2987">
        <v>3.33</v>
      </c>
      <c r="P31" s="2987">
        <v>3.78</v>
      </c>
      <c r="Q31" s="2987">
        <v>4.1399999999999997</v>
      </c>
      <c r="R31" s="2987">
        <v>4.68</v>
      </c>
      <c r="S31" s="2987">
        <v>5.4</v>
      </c>
      <c r="T31" s="2987">
        <v>5.85</v>
      </c>
      <c r="U31" s="2987">
        <v>3.33</v>
      </c>
      <c r="V31" s="2987">
        <v>3.78</v>
      </c>
      <c r="W31" s="2987">
        <v>4.1399999999999997</v>
      </c>
      <c r="X31" s="2987">
        <v>1.53</v>
      </c>
      <c r="Y31" s="2987">
        <v>1.17</v>
      </c>
      <c r="Z31" s="2987">
        <v>1.71</v>
      </c>
    </row>
    <row r="32" spans="2:26">
      <c r="B32" s="2987"/>
      <c r="C32" s="2988">
        <v>39437</v>
      </c>
      <c r="D32" s="2987">
        <v>6.57</v>
      </c>
      <c r="E32" s="2987">
        <v>7.47</v>
      </c>
      <c r="F32" s="2987">
        <v>7.56</v>
      </c>
      <c r="G32" s="2987">
        <v>7.74</v>
      </c>
      <c r="H32" s="2987">
        <v>7.83</v>
      </c>
      <c r="I32" s="2987">
        <v>4.7699999999999996</v>
      </c>
      <c r="J32" s="2987">
        <v>5.22</v>
      </c>
      <c r="L32" s="2987"/>
      <c r="M32" s="2988">
        <v>39340</v>
      </c>
      <c r="N32" s="2987">
        <v>0.81</v>
      </c>
      <c r="O32" s="2987">
        <v>2.88</v>
      </c>
      <c r="P32" s="2987">
        <v>3.42</v>
      </c>
      <c r="Q32" s="2987">
        <v>3.87</v>
      </c>
      <c r="R32" s="2987">
        <v>4.5</v>
      </c>
      <c r="S32" s="2987">
        <v>5.22</v>
      </c>
      <c r="T32" s="2987">
        <v>5.76</v>
      </c>
      <c r="U32" s="2987">
        <v>2.88</v>
      </c>
      <c r="V32" s="2987">
        <v>3.42</v>
      </c>
      <c r="W32" s="2987">
        <v>3.87</v>
      </c>
      <c r="X32" s="2987">
        <v>1.53</v>
      </c>
      <c r="Y32" s="2987">
        <v>1.17</v>
      </c>
      <c r="Z32" s="2987">
        <v>1.71</v>
      </c>
    </row>
    <row r="33" spans="2:26">
      <c r="B33" s="2987"/>
      <c r="C33" s="2988">
        <v>39340</v>
      </c>
      <c r="D33" s="2987">
        <v>6.48</v>
      </c>
      <c r="E33" s="2987">
        <v>7.29</v>
      </c>
      <c r="F33" s="2987">
        <v>7.47</v>
      </c>
      <c r="G33" s="2987">
        <v>7.65</v>
      </c>
      <c r="H33" s="2987">
        <v>7.83</v>
      </c>
      <c r="I33" s="2987">
        <v>4.7699999999999996</v>
      </c>
      <c r="J33" s="2987">
        <v>5.22</v>
      </c>
      <c r="L33" s="2987"/>
      <c r="M33" s="2988">
        <v>39316</v>
      </c>
      <c r="N33" s="2987">
        <v>0.81</v>
      </c>
      <c r="O33" s="2987">
        <v>2.61</v>
      </c>
      <c r="P33" s="2987">
        <v>3.15</v>
      </c>
      <c r="Q33" s="2987">
        <v>3.6</v>
      </c>
      <c r="R33" s="2987">
        <v>4.2300000000000004</v>
      </c>
      <c r="S33" s="2987">
        <v>4.95</v>
      </c>
      <c r="T33" s="2987">
        <v>5.49</v>
      </c>
      <c r="U33" s="2987">
        <v>2.61</v>
      </c>
      <c r="V33" s="2987">
        <v>3.15</v>
      </c>
      <c r="W33" s="2987">
        <v>3.6</v>
      </c>
      <c r="X33" s="2987">
        <v>1.53</v>
      </c>
      <c r="Y33" s="2987">
        <v>1.17</v>
      </c>
      <c r="Z33" s="2987">
        <v>1.71</v>
      </c>
    </row>
    <row r="34" spans="2:26">
      <c r="B34" s="2987"/>
      <c r="C34" s="2988">
        <v>39316</v>
      </c>
      <c r="D34" s="2987">
        <v>6.21</v>
      </c>
      <c r="E34" s="2987">
        <v>7.02</v>
      </c>
      <c r="F34" s="2987">
        <v>7.2</v>
      </c>
      <c r="G34" s="2987">
        <v>7.38</v>
      </c>
      <c r="H34" s="2987">
        <v>7.56</v>
      </c>
      <c r="I34" s="2987">
        <v>4.59</v>
      </c>
      <c r="J34" s="2987">
        <v>5.04</v>
      </c>
      <c r="L34" s="2987"/>
      <c r="M34" s="2988">
        <v>39284</v>
      </c>
      <c r="N34" s="2987">
        <v>0.81</v>
      </c>
      <c r="O34" s="2987">
        <v>2.34</v>
      </c>
      <c r="P34" s="2987">
        <v>2.88</v>
      </c>
      <c r="Q34" s="2987">
        <v>3.33</v>
      </c>
      <c r="R34" s="2987">
        <v>3.96</v>
      </c>
      <c r="S34" s="2987">
        <v>4.68</v>
      </c>
      <c r="T34" s="2987">
        <v>5.22</v>
      </c>
      <c r="U34" s="2987">
        <v>2.34</v>
      </c>
      <c r="V34" s="2987">
        <v>2.88</v>
      </c>
      <c r="W34" s="2987">
        <v>3.33</v>
      </c>
      <c r="X34" s="2987">
        <v>1.53</v>
      </c>
      <c r="Y34" s="2987">
        <v>1.17</v>
      </c>
      <c r="Z34" s="2987">
        <v>1.71</v>
      </c>
    </row>
    <row r="35" spans="2:26">
      <c r="B35" s="2987"/>
      <c r="C35" s="2988">
        <v>39284</v>
      </c>
      <c r="D35" s="2987">
        <v>6.03</v>
      </c>
      <c r="E35" s="2987">
        <v>6.84</v>
      </c>
      <c r="F35" s="2987">
        <v>7.02</v>
      </c>
      <c r="G35" s="2987">
        <v>7.2</v>
      </c>
      <c r="H35" s="2987">
        <v>7.38</v>
      </c>
      <c r="I35" s="2987">
        <v>4.5</v>
      </c>
      <c r="J35" s="2987">
        <v>4.95</v>
      </c>
      <c r="L35" s="2987"/>
      <c r="M35" s="2988">
        <v>39221</v>
      </c>
      <c r="N35" s="2987">
        <v>0.72</v>
      </c>
      <c r="O35" s="2987">
        <v>2.0699999999999998</v>
      </c>
      <c r="P35" s="2987">
        <v>2.61</v>
      </c>
      <c r="Q35" s="2987">
        <v>3.06</v>
      </c>
      <c r="R35" s="2987">
        <v>3.69</v>
      </c>
      <c r="S35" s="2987">
        <v>4.41</v>
      </c>
      <c r="T35" s="2987">
        <v>4.95</v>
      </c>
      <c r="U35" s="2987">
        <v>2.0699999999999998</v>
      </c>
      <c r="V35" s="2987">
        <v>2.61</v>
      </c>
      <c r="W35" s="2987">
        <v>3.06</v>
      </c>
      <c r="X35" s="2987">
        <v>1.44</v>
      </c>
      <c r="Y35" s="2987">
        <v>1.08</v>
      </c>
      <c r="Z35" s="2987">
        <v>1.62</v>
      </c>
    </row>
    <row r="36" spans="2:26">
      <c r="B36" s="2987"/>
      <c r="C36" s="2988">
        <v>39221</v>
      </c>
      <c r="D36" s="2987">
        <v>5.85</v>
      </c>
      <c r="E36" s="2987">
        <v>6.57</v>
      </c>
      <c r="F36" s="2987">
        <v>6.75</v>
      </c>
      <c r="G36" s="2987">
        <v>6.93</v>
      </c>
      <c r="H36" s="2987">
        <v>7.2</v>
      </c>
      <c r="I36" s="2987">
        <v>4.41</v>
      </c>
      <c r="J36" s="2987">
        <v>4.8600000000000003</v>
      </c>
      <c r="L36" s="2987"/>
      <c r="M36" s="2988">
        <v>39159</v>
      </c>
      <c r="N36" s="2987">
        <v>0.72</v>
      </c>
      <c r="O36" s="2987">
        <v>1.98</v>
      </c>
      <c r="P36" s="2987">
        <v>2.4300000000000002</v>
      </c>
      <c r="Q36" s="2987">
        <v>2.79</v>
      </c>
      <c r="R36" s="2987">
        <v>3.33</v>
      </c>
      <c r="S36" s="2987">
        <v>3.96</v>
      </c>
      <c r="T36" s="2987">
        <v>4.41</v>
      </c>
      <c r="U36" s="2987">
        <v>1.98</v>
      </c>
      <c r="V36" s="2987">
        <v>2.4300000000000002</v>
      </c>
      <c r="W36" s="2987">
        <v>2.79</v>
      </c>
      <c r="X36" s="2987">
        <v>1.44</v>
      </c>
      <c r="Y36" s="2987">
        <v>1.08</v>
      </c>
      <c r="Z36" s="2987">
        <v>1.62</v>
      </c>
    </row>
    <row r="37" spans="2:26">
      <c r="B37" s="2987"/>
      <c r="C37" s="2988">
        <v>39159</v>
      </c>
      <c r="D37" s="2987">
        <v>5.67</v>
      </c>
      <c r="E37" s="2987">
        <v>6.39</v>
      </c>
      <c r="F37" s="2987">
        <v>6.57</v>
      </c>
      <c r="G37" s="2987">
        <v>6.75</v>
      </c>
      <c r="H37" s="2987">
        <v>7.11</v>
      </c>
      <c r="I37" s="2987">
        <v>4.32</v>
      </c>
      <c r="J37" s="2987">
        <v>4.7699999999999996</v>
      </c>
      <c r="L37" s="2987"/>
      <c r="M37" s="2988">
        <v>38948</v>
      </c>
      <c r="N37" s="2987">
        <v>0.72</v>
      </c>
      <c r="O37" s="2987">
        <v>1.8</v>
      </c>
      <c r="P37" s="2987">
        <v>2.25</v>
      </c>
      <c r="Q37" s="2987">
        <v>2.52</v>
      </c>
      <c r="R37" s="2987">
        <v>3.06</v>
      </c>
      <c r="S37" s="2987">
        <v>3.69</v>
      </c>
      <c r="T37" s="2987">
        <v>4.1399999999999997</v>
      </c>
      <c r="U37" s="2987">
        <v>1.8</v>
      </c>
      <c r="V37" s="2987">
        <v>2.25</v>
      </c>
      <c r="W37" s="2987">
        <v>2.52</v>
      </c>
      <c r="X37" s="2987">
        <v>1.44</v>
      </c>
      <c r="Y37" s="2987">
        <v>1.08</v>
      </c>
      <c r="Z37" s="2987">
        <v>1.62</v>
      </c>
    </row>
    <row r="38" spans="2:26">
      <c r="B38" s="2987"/>
      <c r="C38" s="2988">
        <v>38948</v>
      </c>
      <c r="D38" s="2987">
        <v>5.58</v>
      </c>
      <c r="E38" s="2987">
        <v>6.12</v>
      </c>
      <c r="F38" s="2987">
        <v>6.3</v>
      </c>
      <c r="G38" s="2987">
        <v>6.48</v>
      </c>
      <c r="H38" s="2987">
        <v>6.84</v>
      </c>
      <c r="I38" s="2987">
        <v>4.1399999999999997</v>
      </c>
      <c r="J38" s="2987">
        <v>4.59</v>
      </c>
      <c r="L38" s="2987"/>
      <c r="M38" s="2988">
        <v>38289</v>
      </c>
      <c r="N38" s="2987">
        <v>0.72</v>
      </c>
      <c r="O38" s="2987">
        <v>1.71</v>
      </c>
      <c r="P38" s="2987">
        <v>2.0699999999999998</v>
      </c>
      <c r="Q38" s="2987">
        <v>2.25</v>
      </c>
      <c r="R38" s="2987">
        <v>2.7</v>
      </c>
      <c r="S38" s="2987">
        <v>3.24</v>
      </c>
      <c r="T38" s="2987">
        <v>3.6</v>
      </c>
      <c r="U38" s="2987">
        <v>1.71</v>
      </c>
      <c r="V38" s="2987">
        <v>2.0699999999999998</v>
      </c>
      <c r="W38" s="2987">
        <v>2.25</v>
      </c>
      <c r="X38" s="2987">
        <v>1.44</v>
      </c>
      <c r="Y38" s="2987">
        <v>1.08</v>
      </c>
      <c r="Z38" s="2987">
        <v>1.62</v>
      </c>
    </row>
    <row r="39" spans="2:26">
      <c r="B39" s="2987"/>
      <c r="C39" s="2988">
        <v>38835</v>
      </c>
      <c r="D39" s="2987">
        <v>5.4</v>
      </c>
      <c r="E39" s="2987">
        <v>5.85</v>
      </c>
      <c r="F39" s="2987">
        <v>6.03</v>
      </c>
      <c r="G39" s="2987">
        <v>6.12</v>
      </c>
      <c r="H39" s="2987">
        <v>6.39</v>
      </c>
      <c r="I39" s="2987">
        <v>4.1399999999999997</v>
      </c>
      <c r="J39" s="2987">
        <v>4.59</v>
      </c>
      <c r="L39" s="2987"/>
      <c r="M39" s="2988">
        <v>37308</v>
      </c>
      <c r="N39" s="2987">
        <v>0.72</v>
      </c>
      <c r="O39" s="2987">
        <v>1.71</v>
      </c>
      <c r="P39" s="2987">
        <v>1.89</v>
      </c>
      <c r="Q39" s="2987">
        <v>1.98</v>
      </c>
      <c r="R39" s="2987">
        <v>2.25</v>
      </c>
      <c r="S39" s="2987">
        <v>2.52</v>
      </c>
      <c r="T39" s="2987">
        <v>2.79</v>
      </c>
      <c r="U39" s="2987">
        <v>1.71</v>
      </c>
      <c r="V39" s="2987">
        <v>1.89</v>
      </c>
      <c r="W39" s="2987">
        <v>1.98</v>
      </c>
      <c r="X39" s="2987">
        <v>1.44</v>
      </c>
      <c r="Y39" s="2987">
        <v>1.08</v>
      </c>
      <c r="Z39" s="2987">
        <v>1.62</v>
      </c>
    </row>
    <row r="40" spans="2:26">
      <c r="B40" s="2987"/>
      <c r="C40" s="2988">
        <v>38428</v>
      </c>
      <c r="D40" s="2987">
        <v>5.22</v>
      </c>
      <c r="E40" s="2987">
        <v>5.58</v>
      </c>
      <c r="F40" s="2987">
        <v>5.76</v>
      </c>
      <c r="G40" s="2987">
        <v>5.85</v>
      </c>
      <c r="H40" s="2987">
        <v>6.12</v>
      </c>
      <c r="I40" s="2987">
        <v>3.96</v>
      </c>
      <c r="J40" s="2987">
        <v>4.41</v>
      </c>
      <c r="L40" s="2987"/>
      <c r="M40" s="2988">
        <v>36321</v>
      </c>
      <c r="N40" s="2987">
        <v>0.99</v>
      </c>
      <c r="O40" s="2987">
        <v>1.98</v>
      </c>
      <c r="P40" s="2987">
        <v>2.16</v>
      </c>
      <c r="Q40" s="2987">
        <v>2.25</v>
      </c>
      <c r="R40" s="2987">
        <v>2.4300000000000002</v>
      </c>
      <c r="S40" s="2987">
        <v>2.7</v>
      </c>
      <c r="T40" s="2987">
        <v>2.88</v>
      </c>
      <c r="U40" s="2987">
        <v>1.98</v>
      </c>
      <c r="V40" s="2987">
        <v>2.16</v>
      </c>
      <c r="W40" s="2987">
        <v>2.25</v>
      </c>
      <c r="X40" s="2987">
        <v>1.71</v>
      </c>
      <c r="Y40" s="2987">
        <v>1.35</v>
      </c>
      <c r="Z40" s="2987">
        <v>1.89</v>
      </c>
    </row>
    <row r="41" spans="2:26">
      <c r="B41" s="2987"/>
      <c r="C41" s="2988">
        <v>38289</v>
      </c>
      <c r="D41" s="2987">
        <v>5.22</v>
      </c>
      <c r="E41" s="2987">
        <v>5.58</v>
      </c>
      <c r="F41" s="2987">
        <v>5.76</v>
      </c>
      <c r="G41" s="2987">
        <v>5.85</v>
      </c>
      <c r="H41" s="2987">
        <v>6.12</v>
      </c>
      <c r="I41" s="2987">
        <v>3.78</v>
      </c>
      <c r="J41" s="2987">
        <v>4.2300000000000004</v>
      </c>
      <c r="L41" s="2987"/>
      <c r="M41" s="2988">
        <v>36136</v>
      </c>
      <c r="N41" s="2987">
        <v>1.44</v>
      </c>
      <c r="O41" s="2987">
        <v>2.79</v>
      </c>
      <c r="P41" s="2987">
        <v>3.33</v>
      </c>
      <c r="Q41" s="2987">
        <v>3.78</v>
      </c>
      <c r="R41" s="2987">
        <v>3.96</v>
      </c>
      <c r="S41" s="2987">
        <v>4.1399999999999997</v>
      </c>
      <c r="T41" s="2987">
        <v>4.5</v>
      </c>
      <c r="U41" s="2987">
        <v>3.33</v>
      </c>
      <c r="V41" s="2987">
        <v>3.78</v>
      </c>
      <c r="W41" s="2987">
        <v>4.1399999999999997</v>
      </c>
      <c r="X41" s="2987">
        <v>2.16</v>
      </c>
      <c r="Y41" s="2987">
        <v>1.8</v>
      </c>
      <c r="Z41" s="2987">
        <v>2.34</v>
      </c>
    </row>
    <row r="42" spans="2:26">
      <c r="B42" s="2987"/>
      <c r="C42" s="2988">
        <v>37308</v>
      </c>
      <c r="D42" s="2987">
        <v>5.04</v>
      </c>
      <c r="E42" s="2987">
        <v>5.31</v>
      </c>
      <c r="F42" s="2987">
        <v>5.49</v>
      </c>
      <c r="G42" s="2987">
        <v>5.58</v>
      </c>
      <c r="H42" s="2987">
        <v>5.76</v>
      </c>
      <c r="I42" s="2987">
        <v>3.6</v>
      </c>
      <c r="J42" s="2987">
        <v>4.05</v>
      </c>
      <c r="L42" s="2987"/>
      <c r="M42" s="2988">
        <v>35977</v>
      </c>
      <c r="N42" s="2987">
        <v>1.44</v>
      </c>
      <c r="O42" s="2987">
        <v>2.79</v>
      </c>
      <c r="P42" s="2987">
        <v>3.96</v>
      </c>
      <c r="Q42" s="2987">
        <v>4.7699999999999996</v>
      </c>
      <c r="R42" s="2987">
        <v>4.8600000000000003</v>
      </c>
      <c r="S42" s="2987">
        <v>4.95</v>
      </c>
      <c r="T42" s="2987">
        <v>5.22</v>
      </c>
      <c r="U42" s="2987">
        <v>3.96</v>
      </c>
      <c r="V42" s="2987">
        <v>4.7699999999999996</v>
      </c>
      <c r="W42" s="2987">
        <v>4.95</v>
      </c>
      <c r="X42" s="2987" t="s">
        <v>2815</v>
      </c>
      <c r="Y42" s="2987" t="s">
        <v>2815</v>
      </c>
      <c r="Z42" s="2987" t="s">
        <v>2815</v>
      </c>
    </row>
    <row r="43" spans="2:26">
      <c r="B43" s="2987"/>
      <c r="C43" s="2988">
        <v>36321</v>
      </c>
      <c r="D43" s="2987">
        <v>5.58</v>
      </c>
      <c r="E43" s="2987">
        <v>5.85</v>
      </c>
      <c r="F43" s="2987">
        <v>5.94</v>
      </c>
      <c r="G43" s="2987">
        <v>6.03</v>
      </c>
      <c r="H43" s="2987">
        <v>6.21</v>
      </c>
      <c r="I43" s="2987">
        <v>4.1399999999999997</v>
      </c>
      <c r="J43" s="2987">
        <v>4.59</v>
      </c>
      <c r="L43" s="2987"/>
      <c r="M43" s="2988">
        <v>35879</v>
      </c>
      <c r="N43" s="2987">
        <v>1.71</v>
      </c>
      <c r="O43" s="2987">
        <v>2.88</v>
      </c>
      <c r="P43" s="2987">
        <v>4.1399999999999997</v>
      </c>
      <c r="Q43" s="2987">
        <v>5.22</v>
      </c>
      <c r="R43" s="2987">
        <v>5.58</v>
      </c>
      <c r="S43" s="2987">
        <v>6.21</v>
      </c>
      <c r="T43" s="2987">
        <v>6.66</v>
      </c>
      <c r="U43" s="2987">
        <v>4.1399999999999997</v>
      </c>
      <c r="V43" s="2987">
        <v>5.22</v>
      </c>
      <c r="W43" s="2987">
        <v>6.21</v>
      </c>
      <c r="X43" s="2987" t="s">
        <v>2815</v>
      </c>
      <c r="Y43" s="2987" t="s">
        <v>2815</v>
      </c>
      <c r="Z43" s="2987" t="s">
        <v>2815</v>
      </c>
    </row>
    <row r="44" spans="2:26">
      <c r="B44" s="2987"/>
      <c r="C44" s="2988">
        <v>36136</v>
      </c>
      <c r="D44" s="2987">
        <v>6.12</v>
      </c>
      <c r="E44" s="2987">
        <v>6.39</v>
      </c>
      <c r="F44" s="2987">
        <v>6.66</v>
      </c>
      <c r="G44" s="2987">
        <v>7.2</v>
      </c>
      <c r="H44" s="2987">
        <v>7.56</v>
      </c>
      <c r="I44" s="2987">
        <v>0</v>
      </c>
      <c r="J44" s="2987">
        <v>0</v>
      </c>
      <c r="L44" s="2987"/>
      <c r="M44" s="2988">
        <v>35726</v>
      </c>
      <c r="N44" s="2987">
        <v>1.71</v>
      </c>
      <c r="O44" s="2987">
        <v>2.88</v>
      </c>
      <c r="P44" s="2987">
        <v>4.1399999999999997</v>
      </c>
      <c r="Q44" s="2987">
        <v>5.67</v>
      </c>
      <c r="R44" s="2987">
        <v>5.94</v>
      </c>
      <c r="S44" s="2987">
        <v>6.21</v>
      </c>
      <c r="T44" s="2987">
        <v>6.66</v>
      </c>
      <c r="U44" s="2987">
        <v>4.1399999999999997</v>
      </c>
      <c r="V44" s="2987">
        <v>5.67</v>
      </c>
      <c r="W44" s="2987">
        <v>6.21</v>
      </c>
      <c r="X44" s="2987" t="s">
        <v>2815</v>
      </c>
      <c r="Y44" s="2987" t="s">
        <v>2815</v>
      </c>
      <c r="Z44" s="2987" t="s">
        <v>2815</v>
      </c>
    </row>
    <row r="45" spans="2:26">
      <c r="B45" s="2987"/>
      <c r="C45" s="2988">
        <v>35977</v>
      </c>
      <c r="D45" s="2987">
        <v>6.57</v>
      </c>
      <c r="E45" s="2987">
        <v>6.93</v>
      </c>
      <c r="F45" s="2987">
        <v>7.11</v>
      </c>
      <c r="G45" s="2987">
        <v>7.65</v>
      </c>
      <c r="H45" s="2987">
        <v>8.01</v>
      </c>
      <c r="I45" s="2987">
        <v>0</v>
      </c>
      <c r="J45" s="2987">
        <v>0</v>
      </c>
      <c r="L45" s="2987"/>
      <c r="M45" s="2988">
        <v>35300</v>
      </c>
      <c r="N45" s="2987">
        <v>1.98</v>
      </c>
      <c r="O45" s="2987">
        <v>3.33</v>
      </c>
      <c r="P45" s="2987">
        <v>5.4</v>
      </c>
      <c r="Q45" s="2987">
        <v>7.47</v>
      </c>
      <c r="R45" s="2987">
        <v>7.92</v>
      </c>
      <c r="S45" s="2987">
        <v>8.2799999999999994</v>
      </c>
      <c r="T45" s="2987">
        <v>9</v>
      </c>
      <c r="U45" s="2987">
        <v>5.4</v>
      </c>
      <c r="V45" s="2987">
        <v>7.47</v>
      </c>
      <c r="W45" s="2987">
        <v>8.2799999999999994</v>
      </c>
      <c r="X45" s="2987" t="s">
        <v>2815</v>
      </c>
      <c r="Y45" s="2987" t="s">
        <v>2815</v>
      </c>
      <c r="Z45" s="2987" t="s">
        <v>2815</v>
      </c>
    </row>
    <row r="46" spans="2:26">
      <c r="B46" s="2987"/>
      <c r="C46" s="2988">
        <v>35879</v>
      </c>
      <c r="D46" s="2987">
        <v>7.02</v>
      </c>
      <c r="E46" s="2987">
        <v>7.92</v>
      </c>
      <c r="F46" s="2987">
        <v>9</v>
      </c>
      <c r="G46" s="2987">
        <v>9.7200000000000006</v>
      </c>
      <c r="H46" s="2987">
        <v>10.35</v>
      </c>
      <c r="I46" s="2987">
        <v>0</v>
      </c>
      <c r="J46" s="2987">
        <v>0</v>
      </c>
      <c r="L46" s="2987"/>
      <c r="M46" s="2988">
        <v>35186</v>
      </c>
      <c r="N46" s="2987">
        <v>2.97</v>
      </c>
      <c r="O46" s="2987">
        <v>4.8600000000000003</v>
      </c>
      <c r="P46" s="2987">
        <v>7.2</v>
      </c>
      <c r="Q46" s="2987">
        <v>9.18</v>
      </c>
      <c r="R46" s="2987">
        <v>9.9</v>
      </c>
      <c r="S46" s="2987">
        <v>10.8</v>
      </c>
      <c r="T46" s="2987">
        <v>12.06</v>
      </c>
      <c r="U46" s="2987">
        <v>7.2</v>
      </c>
      <c r="V46" s="2987">
        <v>9.18</v>
      </c>
      <c r="W46" s="2987">
        <v>10.8</v>
      </c>
      <c r="X46" s="2987" t="s">
        <v>2815</v>
      </c>
      <c r="Y46" s="2987" t="s">
        <v>2815</v>
      </c>
      <c r="Z46" s="2987" t="s">
        <v>2815</v>
      </c>
    </row>
    <row r="47" spans="2:26">
      <c r="B47" s="2987"/>
      <c r="C47" s="2988">
        <v>35726</v>
      </c>
      <c r="D47" s="2987">
        <v>7.65</v>
      </c>
      <c r="E47" s="2987">
        <v>8.64</v>
      </c>
      <c r="F47" s="2987">
        <v>9.36</v>
      </c>
      <c r="G47" s="2987">
        <v>9.9</v>
      </c>
      <c r="H47" s="2987">
        <v>10.53</v>
      </c>
      <c r="I47" s="2987">
        <v>0</v>
      </c>
      <c r="J47" s="2987">
        <v>0</v>
      </c>
      <c r="L47" s="2987"/>
      <c r="M47" s="2988">
        <v>34161</v>
      </c>
      <c r="N47" s="2987">
        <v>3.15</v>
      </c>
      <c r="O47" s="2987">
        <v>6.66</v>
      </c>
      <c r="P47" s="2987">
        <v>9</v>
      </c>
      <c r="Q47" s="2987">
        <v>10.98</v>
      </c>
      <c r="R47" s="2987">
        <v>11.7</v>
      </c>
      <c r="S47" s="2987">
        <v>12.24</v>
      </c>
      <c r="T47" s="2987">
        <v>13.86</v>
      </c>
      <c r="U47" s="2987">
        <v>9</v>
      </c>
      <c r="V47" s="2987">
        <v>10.98</v>
      </c>
      <c r="W47" s="2987">
        <v>12.24</v>
      </c>
      <c r="X47" s="2987" t="s">
        <v>2815</v>
      </c>
      <c r="Y47" s="2987" t="s">
        <v>2815</v>
      </c>
      <c r="Z47" s="2987" t="s">
        <v>2815</v>
      </c>
    </row>
    <row r="48" spans="2:26">
      <c r="B48" s="2987"/>
      <c r="C48" s="2988">
        <v>35300</v>
      </c>
      <c r="D48" s="2987">
        <v>9.18</v>
      </c>
      <c r="E48" s="2987">
        <v>10.08</v>
      </c>
      <c r="F48" s="2987">
        <v>10.98</v>
      </c>
      <c r="G48" s="2987">
        <v>11.7</v>
      </c>
      <c r="H48" s="2987">
        <v>12.42</v>
      </c>
      <c r="I48" s="2987">
        <v>0</v>
      </c>
      <c r="J48" s="2987">
        <v>0</v>
      </c>
      <c r="L48" s="2987"/>
      <c r="M48" s="2988">
        <v>34104</v>
      </c>
      <c r="N48" s="2987">
        <v>2.16</v>
      </c>
      <c r="O48" s="2987">
        <v>4.8600000000000003</v>
      </c>
      <c r="P48" s="2987">
        <v>7.2</v>
      </c>
      <c r="Q48" s="2987">
        <v>9.18</v>
      </c>
      <c r="R48" s="2987">
        <v>9.9</v>
      </c>
      <c r="S48" s="2987">
        <v>10.8</v>
      </c>
      <c r="T48" s="2987">
        <v>12.06</v>
      </c>
      <c r="U48" s="2987">
        <v>7.2</v>
      </c>
      <c r="V48" s="2987">
        <v>9.18</v>
      </c>
      <c r="W48" s="2987">
        <v>10.8</v>
      </c>
      <c r="X48" s="2987" t="s">
        <v>2815</v>
      </c>
      <c r="Y48" s="2987" t="s">
        <v>2815</v>
      </c>
      <c r="Z48" s="2987" t="s">
        <v>2815</v>
      </c>
    </row>
    <row r="49" spans="2:26">
      <c r="B49" s="2987"/>
      <c r="C49" s="2988">
        <v>35186</v>
      </c>
      <c r="D49" s="2987">
        <v>9.7200000000000006</v>
      </c>
      <c r="E49" s="2987">
        <v>10.98</v>
      </c>
      <c r="F49" s="2987">
        <v>13.14</v>
      </c>
      <c r="G49" s="2987">
        <v>14.94</v>
      </c>
      <c r="H49" s="2987">
        <v>15.12</v>
      </c>
      <c r="I49" s="2987">
        <v>0</v>
      </c>
      <c r="J49" s="2987">
        <v>0</v>
      </c>
      <c r="L49" s="2987"/>
      <c r="M49" s="2988">
        <v>33349</v>
      </c>
      <c r="N49" s="2987">
        <v>1.8</v>
      </c>
      <c r="O49" s="2987">
        <v>3.24</v>
      </c>
      <c r="P49" s="2987">
        <v>5.4</v>
      </c>
      <c r="Q49" s="2987">
        <v>7.56</v>
      </c>
      <c r="R49" s="2987">
        <v>7.92</v>
      </c>
      <c r="S49" s="2987">
        <v>8.2799999999999994</v>
      </c>
      <c r="T49" s="2987">
        <v>9</v>
      </c>
      <c r="U49" s="2987">
        <v>6.12</v>
      </c>
      <c r="V49" s="2987">
        <v>6.84</v>
      </c>
      <c r="W49" s="2987">
        <v>7.56</v>
      </c>
      <c r="X49" s="2987" t="s">
        <v>2815</v>
      </c>
      <c r="Y49" s="2987" t="s">
        <v>2815</v>
      </c>
      <c r="Z49" s="2987" t="s">
        <v>2815</v>
      </c>
    </row>
    <row r="50" spans="2:26">
      <c r="B50" s="2987"/>
      <c r="C50" s="2988">
        <v>34881</v>
      </c>
      <c r="D50" s="2987">
        <v>10.08</v>
      </c>
      <c r="E50" s="2987">
        <v>12.06</v>
      </c>
      <c r="F50" s="2987">
        <v>13.5</v>
      </c>
      <c r="G50" s="2987">
        <v>15.12</v>
      </c>
      <c r="H50" s="2987">
        <v>15.3</v>
      </c>
      <c r="I50" s="2987">
        <v>0</v>
      </c>
      <c r="J50" s="2987">
        <v>0</v>
      </c>
      <c r="L50" s="2987"/>
      <c r="M50" s="2988">
        <v>33106</v>
      </c>
      <c r="N50" s="2987">
        <v>2.16</v>
      </c>
      <c r="O50" s="2987">
        <v>4.32</v>
      </c>
      <c r="P50" s="2987">
        <v>6.48</v>
      </c>
      <c r="Q50" s="2987">
        <v>8.64</v>
      </c>
      <c r="R50" s="2987">
        <v>9.36</v>
      </c>
      <c r="S50" s="2987">
        <v>10.08</v>
      </c>
      <c r="T50" s="2987">
        <v>11.52</v>
      </c>
      <c r="U50" s="2987">
        <v>7.2</v>
      </c>
      <c r="V50" s="2987">
        <v>8.64</v>
      </c>
      <c r="W50" s="2987">
        <v>10.08</v>
      </c>
      <c r="X50" s="2987" t="s">
        <v>2815</v>
      </c>
      <c r="Y50" s="2987" t="s">
        <v>2815</v>
      </c>
      <c r="Z50" s="2987" t="s">
        <v>2815</v>
      </c>
    </row>
    <row r="51" spans="2:26">
      <c r="B51" s="2987"/>
      <c r="C51" s="2988">
        <v>34700</v>
      </c>
      <c r="D51" s="2987">
        <v>9</v>
      </c>
      <c r="E51" s="2987">
        <v>10.98</v>
      </c>
      <c r="F51" s="2987">
        <v>12.96</v>
      </c>
      <c r="G51" s="2987">
        <v>14.58</v>
      </c>
      <c r="H51" s="2987">
        <v>14.76</v>
      </c>
      <c r="I51" s="2987">
        <v>0</v>
      </c>
      <c r="J51" s="2987">
        <v>0</v>
      </c>
      <c r="L51" s="2987"/>
      <c r="M51" s="2988">
        <v>32978</v>
      </c>
      <c r="N51" s="2987">
        <v>2.88</v>
      </c>
      <c r="O51" s="2987">
        <v>6.3</v>
      </c>
      <c r="P51" s="2987">
        <v>7.74</v>
      </c>
      <c r="Q51" s="2987">
        <v>10.08</v>
      </c>
      <c r="R51" s="2987">
        <v>10.98</v>
      </c>
      <c r="S51" s="2987">
        <v>11.88</v>
      </c>
      <c r="T51" s="2987">
        <v>13.68</v>
      </c>
      <c r="U51" s="2987" t="s">
        <v>2815</v>
      </c>
      <c r="V51" s="2987" t="s">
        <v>2815</v>
      </c>
      <c r="W51" s="2987" t="s">
        <v>2815</v>
      </c>
      <c r="X51" s="2987" t="s">
        <v>2815</v>
      </c>
      <c r="Y51" s="2987" t="s">
        <v>2815</v>
      </c>
      <c r="Z51" s="2987" t="s">
        <v>2815</v>
      </c>
    </row>
    <row r="52" spans="2:26">
      <c r="B52" s="2987"/>
      <c r="C52" s="2988">
        <v>34161</v>
      </c>
      <c r="D52" s="2987">
        <v>9</v>
      </c>
      <c r="E52" s="2987">
        <v>10.98</v>
      </c>
      <c r="F52" s="2987">
        <v>12.24</v>
      </c>
      <c r="G52" s="2987">
        <v>13.86</v>
      </c>
      <c r="H52" s="2987">
        <v>14.04</v>
      </c>
      <c r="I52" s="2987">
        <v>0</v>
      </c>
      <c r="J52" s="2987">
        <v>0</v>
      </c>
      <c r="L52" s="2987"/>
      <c r="M52" s="2988"/>
      <c r="N52" s="2987"/>
      <c r="O52" s="2987"/>
      <c r="P52" s="2987"/>
      <c r="Q52" s="2987"/>
      <c r="R52" s="2987"/>
      <c r="S52" s="2987"/>
      <c r="T52" s="2987"/>
      <c r="U52" s="2987"/>
      <c r="V52" s="2987"/>
      <c r="W52" s="2987"/>
      <c r="X52" s="2987"/>
      <c r="Y52" s="2987"/>
      <c r="Z52" s="2987"/>
    </row>
    <row r="53" spans="2:26">
      <c r="B53" s="2987"/>
      <c r="C53" s="2988">
        <v>34104</v>
      </c>
      <c r="D53" s="2987">
        <v>8.82</v>
      </c>
      <c r="E53" s="2987">
        <v>9.36</v>
      </c>
      <c r="F53" s="2987">
        <v>10.8</v>
      </c>
      <c r="G53" s="2987">
        <v>12.06</v>
      </c>
      <c r="H53" s="2987">
        <v>12.24</v>
      </c>
      <c r="I53" s="2987">
        <v>0</v>
      </c>
      <c r="J53" s="2987">
        <v>0</v>
      </c>
      <c r="L53" s="2987"/>
      <c r="M53" s="2988"/>
      <c r="N53" s="2987"/>
      <c r="O53" s="2987"/>
      <c r="P53" s="2987"/>
      <c r="Q53" s="2987"/>
      <c r="R53" s="2987"/>
      <c r="S53" s="2987"/>
      <c r="T53" s="2987"/>
      <c r="U53" s="2987"/>
      <c r="V53" s="2987"/>
      <c r="W53" s="2987"/>
      <c r="X53" s="2987"/>
      <c r="Y53" s="2987"/>
      <c r="Z53" s="2987"/>
    </row>
    <row r="54" spans="2:26">
      <c r="B54" s="2987"/>
      <c r="C54" s="2988">
        <v>33349</v>
      </c>
      <c r="D54" s="2987">
        <v>8.1</v>
      </c>
      <c r="E54" s="2987">
        <v>8.64</v>
      </c>
      <c r="F54" s="2987">
        <v>9</v>
      </c>
      <c r="G54" s="2987">
        <v>9.5399999999999991</v>
      </c>
      <c r="H54" s="2987">
        <v>9.7200000000000006</v>
      </c>
      <c r="I54" s="2987">
        <v>0</v>
      </c>
      <c r="J54" s="2987">
        <v>0</v>
      </c>
      <c r="L54" s="2987"/>
      <c r="M54" s="2988"/>
      <c r="N54" s="2987"/>
      <c r="O54" s="2987"/>
      <c r="P54" s="2987"/>
      <c r="Q54" s="2987"/>
      <c r="R54" s="2987"/>
      <c r="S54" s="2987"/>
      <c r="T54" s="2987"/>
      <c r="U54" s="2987"/>
      <c r="V54" s="2987"/>
      <c r="W54" s="2987"/>
      <c r="X54" s="2987"/>
      <c r="Y54" s="2987"/>
      <c r="Z54" s="2987"/>
    </row>
    <row r="55" spans="2:26">
      <c r="B55" s="2987"/>
      <c r="C55" s="2988">
        <v>33318</v>
      </c>
      <c r="D55" s="2987">
        <v>9</v>
      </c>
      <c r="E55" s="2987">
        <v>10.08</v>
      </c>
      <c r="F55" s="2987">
        <v>10.8</v>
      </c>
      <c r="G55" s="2987">
        <v>11.52</v>
      </c>
      <c r="H55" s="2987">
        <v>11.88</v>
      </c>
      <c r="I55" s="2987" t="s">
        <v>2815</v>
      </c>
      <c r="J55" s="2987" t="s">
        <v>2815</v>
      </c>
      <c r="L55" s="2987"/>
      <c r="M55" s="2988"/>
      <c r="N55" s="2987"/>
      <c r="O55" s="2987"/>
      <c r="P55" s="2987"/>
      <c r="Q55" s="2987"/>
      <c r="R55" s="2987"/>
      <c r="S55" s="2987"/>
      <c r="T55" s="2987"/>
      <c r="U55" s="2987"/>
      <c r="V55" s="2987"/>
      <c r="W55" s="2987"/>
      <c r="X55" s="2987"/>
      <c r="Y55" s="2987"/>
      <c r="Z55" s="2987"/>
    </row>
    <row r="56" spans="2:26">
      <c r="B56" s="2987"/>
      <c r="C56" s="2988">
        <v>33106</v>
      </c>
      <c r="D56" s="2987">
        <v>8.64</v>
      </c>
      <c r="E56" s="2987">
        <v>9.36</v>
      </c>
      <c r="F56" s="2987">
        <v>10.08</v>
      </c>
      <c r="G56" s="2987">
        <v>10.8</v>
      </c>
      <c r="H56" s="2987">
        <v>11.16</v>
      </c>
      <c r="I56" s="2987">
        <v>0</v>
      </c>
      <c r="J56" s="2987">
        <v>0</v>
      </c>
      <c r="L56" s="2987"/>
      <c r="M56" s="2988"/>
      <c r="N56" s="2987"/>
      <c r="O56" s="2987"/>
      <c r="P56" s="2987"/>
      <c r="Q56" s="2987"/>
      <c r="R56" s="2987"/>
      <c r="S56" s="2987"/>
      <c r="T56" s="2987"/>
      <c r="U56" s="2987"/>
      <c r="V56" s="2987"/>
      <c r="W56" s="2987"/>
      <c r="X56" s="2987"/>
      <c r="Y56" s="2987"/>
      <c r="Z56" s="2987"/>
    </row>
    <row r="57" spans="2:26">
      <c r="B57" s="2987"/>
      <c r="C57" s="2988">
        <v>32540</v>
      </c>
      <c r="D57" s="2987">
        <v>11.34</v>
      </c>
      <c r="E57" s="2987">
        <v>11.34</v>
      </c>
      <c r="F57" s="2987">
        <v>12.78</v>
      </c>
      <c r="G57" s="2987">
        <v>14.4</v>
      </c>
      <c r="H57" s="2987">
        <v>19.260000000000002</v>
      </c>
      <c r="I57" s="2987">
        <v>0</v>
      </c>
      <c r="J57" s="2987">
        <v>0</v>
      </c>
      <c r="L57" s="2987"/>
      <c r="M57" s="2988"/>
      <c r="N57" s="2987"/>
      <c r="O57" s="2987"/>
      <c r="P57" s="2987"/>
      <c r="Q57" s="2987"/>
      <c r="R57" s="2987"/>
      <c r="S57" s="2987"/>
      <c r="T57" s="2987"/>
      <c r="U57" s="2987"/>
      <c r="V57" s="2987"/>
      <c r="W57" s="2987"/>
      <c r="X57" s="2987"/>
      <c r="Y57" s="2987"/>
      <c r="Z57" s="2987"/>
    </row>
    <row r="58" spans="2:26">
      <c r="B58" s="2987"/>
      <c r="C58" s="2988"/>
      <c r="D58" s="2987"/>
      <c r="E58" s="2987"/>
      <c r="F58" s="2987"/>
      <c r="G58" s="2987"/>
      <c r="H58" s="2987"/>
      <c r="I58" s="2987"/>
      <c r="J58" s="2987"/>
    </row>
    <row r="59" spans="2:26">
      <c r="B59" s="2991"/>
      <c r="C59" s="2992"/>
      <c r="D59" s="2991"/>
      <c r="E59" s="2991"/>
      <c r="F59" s="2991"/>
      <c r="G59" s="2991"/>
      <c r="H59" s="2991"/>
      <c r="I59" s="2991"/>
      <c r="J59" s="2991"/>
    </row>
    <row r="60" spans="2:26">
      <c r="B60" s="2991"/>
      <c r="C60" s="2992"/>
      <c r="D60" s="2991"/>
      <c r="E60" s="2991"/>
      <c r="F60" s="2991"/>
      <c r="G60" s="2991"/>
      <c r="H60" s="2991"/>
      <c r="I60" s="2991"/>
      <c r="J60" s="2991"/>
    </row>
    <row r="61" spans="2:26">
      <c r="B61" s="2991"/>
      <c r="C61" s="2992"/>
      <c r="D61" s="2991"/>
      <c r="E61" s="2991"/>
      <c r="F61" s="2991"/>
      <c r="G61" s="2991"/>
      <c r="H61" s="2991"/>
      <c r="I61" s="2991"/>
      <c r="J61" s="2991"/>
    </row>
    <row r="62" spans="2:26">
      <c r="B62" s="2938"/>
      <c r="C62" s="2938"/>
      <c r="D62" s="2938"/>
      <c r="E62" s="2938"/>
      <c r="F62" s="2938"/>
      <c r="G62" s="2938"/>
      <c r="H62" s="2938"/>
      <c r="I62" s="2938"/>
      <c r="J62" s="2938"/>
    </row>
    <row r="63" spans="2:26">
      <c r="B63" s="2938"/>
      <c r="C63" s="2938"/>
      <c r="D63" s="2938"/>
      <c r="E63" s="2938"/>
      <c r="F63" s="2938"/>
      <c r="G63" s="2938"/>
      <c r="H63" s="2938"/>
      <c r="I63" s="2938"/>
      <c r="J63" s="2938"/>
    </row>
  </sheetData>
  <sheetProtection sheet="1" objects="1" scenarios="1"/>
  <phoneticPr fontId="2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81" t="s">
        <v>2038</v>
      </c>
      <c r="B1" s="3281"/>
      <c r="C1" s="3281"/>
      <c r="D1" s="3281"/>
      <c r="E1" s="3281"/>
      <c r="F1" s="3281"/>
      <c r="G1" s="3281"/>
      <c r="H1" s="3281"/>
      <c r="I1" s="3281"/>
      <c r="J1" s="3281"/>
      <c r="K1" s="3281"/>
      <c r="L1" s="3281"/>
      <c r="M1" s="3281"/>
      <c r="N1" s="3281"/>
      <c r="O1" s="3281"/>
      <c r="P1" s="3281"/>
      <c r="Q1" s="3281"/>
      <c r="R1" s="3281"/>
    </row>
    <row r="2" spans="1:18">
      <c r="A2" s="1806" t="s">
        <v>2040</v>
      </c>
      <c r="B2" s="1806"/>
      <c r="C2" s="1806"/>
      <c r="D2" s="1806"/>
      <c r="E2" s="1806"/>
      <c r="F2" s="1806"/>
      <c r="G2" s="1806"/>
      <c r="H2" s="1806"/>
      <c r="I2" s="1807"/>
      <c r="J2" s="1807"/>
      <c r="K2" s="1808" t="str">
        <f>"估价期日："&amp;TEXT(项目基本情况!D3,"yyyy年m月d日;;")</f>
        <v>估价期日：2018年12月10日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82" t="s">
        <v>2029</v>
      </c>
      <c r="B3" s="3282" t="s">
        <v>2728</v>
      </c>
      <c r="C3" s="3283" t="s">
        <v>2030</v>
      </c>
      <c r="D3" s="3282" t="s">
        <v>2732</v>
      </c>
      <c r="E3" s="3285" t="s">
        <v>2031</v>
      </c>
      <c r="F3" s="3285"/>
      <c r="G3" s="3285"/>
      <c r="H3" s="3285" t="s">
        <v>2032</v>
      </c>
      <c r="I3" s="3285"/>
      <c r="J3" s="3285"/>
      <c r="K3" s="3283" t="s">
        <v>2033</v>
      </c>
      <c r="L3" s="3283" t="s">
        <v>2034</v>
      </c>
      <c r="M3" s="3282" t="s">
        <v>2729</v>
      </c>
      <c r="N3" s="3284" t="str">
        <f>"（分摊）"&amp;项目基本情况!B16&amp;"国有建设用地使用权面积/㎡"</f>
        <v>（分摊）出让国有建设用地使用权面积/㎡</v>
      </c>
      <c r="O3" s="3282" t="s">
        <v>2063</v>
      </c>
      <c r="P3" s="3283" t="s">
        <v>2043</v>
      </c>
      <c r="Q3" s="3283" t="s">
        <v>2064</v>
      </c>
      <c r="R3" s="3283" t="s">
        <v>2035</v>
      </c>
    </row>
    <row r="4" spans="1:18" ht="36.75" customHeight="1">
      <c r="A4" s="3282"/>
      <c r="B4" s="3282"/>
      <c r="C4" s="3283"/>
      <c r="D4" s="3282"/>
      <c r="E4" s="2647" t="s">
        <v>2042</v>
      </c>
      <c r="F4" s="2647" t="s">
        <v>2741</v>
      </c>
      <c r="G4" s="2647" t="s">
        <v>2036</v>
      </c>
      <c r="H4" s="2647" t="s">
        <v>2037</v>
      </c>
      <c r="I4" s="2647" t="s">
        <v>2742</v>
      </c>
      <c r="J4" s="2647" t="s">
        <v>2036</v>
      </c>
      <c r="K4" s="3283"/>
      <c r="L4" s="3283"/>
      <c r="M4" s="3282"/>
      <c r="N4" s="3284"/>
      <c r="O4" s="3282"/>
      <c r="P4" s="3283"/>
      <c r="Q4" s="3283"/>
      <c r="R4" s="3283"/>
    </row>
    <row r="5" spans="1:18" ht="135" customHeight="1">
      <c r="A5" s="1941" t="s">
        <v>2652</v>
      </c>
      <c r="B5" s="2865" t="s">
        <v>2650</v>
      </c>
      <c r="C5" s="2646">
        <v>22</v>
      </c>
      <c r="D5" s="2645" t="s">
        <v>2651</v>
      </c>
      <c r="E5" s="1809" t="str">
        <f>项目基本情况!B12</f>
        <v>住宅、商业、地下仓储、地下车库</v>
      </c>
      <c r="F5" s="2645">
        <v>258</v>
      </c>
      <c r="G5" s="1809" t="str">
        <f>项目基本情况!B13</f>
        <v>住宅、商业、地下仓储、地下车库</v>
      </c>
      <c r="H5" s="2645">
        <v>1.5</v>
      </c>
      <c r="I5" s="2645">
        <v>1.5</v>
      </c>
      <c r="J5" s="2645">
        <v>1.5</v>
      </c>
      <c r="K5" s="1809" t="str">
        <f>"红线外"&amp;项目基本情况!T40&amp;"、宗地红线内"&amp;项目基本情况!B35</f>
        <v>红线外三通、宗地红线内宗地内已开工建设</v>
      </c>
      <c r="L5" s="1809" t="str">
        <f>"红线外"&amp;项目基本情况!T40&amp;"、宗地红线内场地"&amp;项目基本情况!D36</f>
        <v>红线外三通、宗地红线内场地平整</v>
      </c>
      <c r="M5" s="1809" t="str">
        <f>IF(项目基本情况!B16="出让",项目基本情况!D20,"——")</f>
        <v>住宅68.8年、商业38.8年、地下车库48.8年、仓储48.8</v>
      </c>
      <c r="N5" s="1809">
        <f>项目基本情况!C22</f>
        <v>64089.62</v>
      </c>
      <c r="O5" s="1809">
        <f>项目基本情况!C21</f>
        <v>169816</v>
      </c>
      <c r="P5" s="1809">
        <f ca="1">结果表!E42</f>
        <v>48634</v>
      </c>
      <c r="Q5" s="1809">
        <f ca="1">结果表!D42</f>
        <v>18355</v>
      </c>
      <c r="R5" s="1810">
        <f ca="1">结果表!C42</f>
        <v>311695</v>
      </c>
    </row>
    <row r="6" spans="1:18">
      <c r="A6" s="3286" t="str">
        <f>IF(项目基本情况!B9="市场价格","——","抵押价格")</f>
        <v>抵押价格</v>
      </c>
      <c r="B6" s="3287"/>
      <c r="C6" s="3287"/>
      <c r="D6" s="3287"/>
      <c r="E6" s="3287"/>
      <c r="F6" s="3287"/>
      <c r="G6" s="3287"/>
      <c r="H6" s="3287"/>
      <c r="I6" s="3287"/>
      <c r="J6" s="3287"/>
      <c r="K6" s="3287"/>
      <c r="L6" s="3287"/>
      <c r="M6" s="3287"/>
      <c r="N6" s="3287"/>
      <c r="O6" s="3287"/>
      <c r="P6" s="3287"/>
      <c r="Q6" s="3288"/>
      <c r="R6" s="1811">
        <f ca="1">结果表!O39</f>
        <v>311695</v>
      </c>
    </row>
    <row r="7" spans="1:18">
      <c r="A7" s="3286" t="str">
        <f>IF(项目基本情况!B9="市场价格","——",IF(项目基本情况!E8="已注销及未注销","抵押担保权已注销时的抵押价格","——"))</f>
        <v>——</v>
      </c>
      <c r="B7" s="3287"/>
      <c r="C7" s="3287"/>
      <c r="D7" s="3287"/>
      <c r="E7" s="3287"/>
      <c r="F7" s="3287"/>
      <c r="G7" s="3287"/>
      <c r="H7" s="3287"/>
      <c r="I7" s="3287"/>
      <c r="J7" s="3287"/>
      <c r="K7" s="3287"/>
      <c r="L7" s="3287"/>
      <c r="M7" s="3287"/>
      <c r="N7" s="3287"/>
      <c r="O7" s="3287"/>
      <c r="P7" s="3287"/>
      <c r="Q7" s="3288"/>
      <c r="R7" s="1811" t="str">
        <f>结果表!O40</f>
        <v>——</v>
      </c>
    </row>
    <row r="8" spans="1:18">
      <c r="A8" s="3286" t="str">
        <f>IF(项目基本情况!B9="市场价格","——",项目基本情况!E9)</f>
        <v>——</v>
      </c>
      <c r="B8" s="3287"/>
      <c r="C8" s="3287"/>
      <c r="D8" s="3287"/>
      <c r="E8" s="3287"/>
      <c r="F8" s="3287"/>
      <c r="G8" s="3287"/>
      <c r="H8" s="3287"/>
      <c r="I8" s="3287"/>
      <c r="J8" s="3287"/>
      <c r="K8" s="3287"/>
      <c r="L8" s="3287"/>
      <c r="M8" s="3287"/>
      <c r="N8" s="3287"/>
      <c r="O8" s="3287"/>
      <c r="P8" s="3287"/>
      <c r="Q8" s="3288"/>
      <c r="R8" s="1811" t="str">
        <f>结果表!O41</f>
        <v>——</v>
      </c>
    </row>
    <row r="9" spans="1:18">
      <c r="A9" s="1812" t="s">
        <v>2041</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2028</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89" t="s">
        <v>2065</v>
      </c>
      <c r="B1" s="3289"/>
      <c r="C1" s="3289"/>
      <c r="D1" s="3289"/>
    </row>
    <row r="2" spans="1:4" ht="47.25" customHeight="1">
      <c r="A2" s="3293" t="str">
        <f>"1.权利限制："&amp;项目基本情况!L24&amp;"未设定租赁等其他他项权利。"</f>
        <v>1.权利限制：根据估价对象、，截至估价期日，估价对象抵押权未见登记。未设定租赁等其他他项权利。</v>
      </c>
      <c r="B2" s="3293"/>
      <c r="C2" s="3293"/>
      <c r="D2" s="3293"/>
    </row>
    <row r="3" spans="1:4" ht="48" customHeight="1">
      <c r="A3" s="3289" t="str">
        <f>"2.基础设施条件：估价对象实际开发程度为"&amp;'预评函-2'!K5&amp;"；本次评估设定开发程度为"&amp;'预评函-2'!L5&amp;"。"</f>
        <v>2.基础设施条件：估价对象实际开发程度为红线外三通、宗地红线内宗地内已开工建设；本次评估设定开发程度为红线外三通、宗地红线内场地平整。</v>
      </c>
      <c r="B3" s="3289"/>
      <c r="C3" s="3289"/>
      <c r="D3" s="3289"/>
    </row>
    <row r="4" spans="1:4" ht="36.75" customHeight="1">
      <c r="A4" s="3289" t="str">
        <f>"3.估价规划限制条件：详见"&amp;项目基本情况!E21&amp;"。"</f>
        <v>3.估价规划限制条件：详见。</v>
      </c>
      <c r="B4" s="3289"/>
      <c r="C4" s="3289"/>
      <c r="D4" s="3289"/>
    </row>
    <row r="5" spans="1:4">
      <c r="A5" s="3292" t="s">
        <v>2066</v>
      </c>
      <c r="B5" s="3292"/>
      <c r="C5" s="3292"/>
      <c r="D5" s="3292"/>
    </row>
    <row r="6" spans="1:4">
      <c r="A6" s="3289" t="s">
        <v>2044</v>
      </c>
      <c r="B6" s="3289"/>
      <c r="C6" s="3289"/>
      <c r="D6" s="3289"/>
    </row>
    <row r="7" spans="1:4" ht="33" customHeight="1">
      <c r="A7" s="3289" t="s">
        <v>2573</v>
      </c>
      <c r="B7" s="3289"/>
      <c r="C7" s="3289"/>
      <c r="D7" s="3289"/>
    </row>
    <row r="8" spans="1:4" ht="32.25" customHeight="1">
      <c r="A8" s="328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89"/>
      <c r="C8" s="3289"/>
      <c r="D8" s="3289"/>
    </row>
    <row r="9" spans="1:4" ht="33.75" customHeight="1">
      <c r="A9" s="328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89"/>
      <c r="C9" s="3289"/>
      <c r="D9" s="3289"/>
    </row>
    <row r="10" spans="1:4">
      <c r="A10" s="3289" t="str">
        <f>IF(项目基本情况!B8="抵押","4.估价师所知悉的法定优先受偿款情况为：","——")</f>
        <v>4.估价师所知悉的法定优先受偿款情况为：</v>
      </c>
      <c r="B10" s="3289"/>
      <c r="C10" s="3289"/>
      <c r="D10" s="3289"/>
    </row>
    <row r="11" spans="1:4" ht="37.5" customHeight="1">
      <c r="A11" s="3291" t="str">
        <f>IF(项目基本情况!B8="抵押","（1）"&amp;CONCATENATE(项目基本情况!L24,项目基本情况!L25,项目基本情况!L26),"——")</f>
        <v>（1）根据估价对象、，截至估价期日，估价对象抵押权未见登记。</v>
      </c>
      <c r="B11" s="3291"/>
      <c r="C11" s="3291"/>
      <c r="D11" s="3291"/>
    </row>
    <row r="12" spans="1:4" ht="168" customHeight="1">
      <c r="A12" s="3292" t="s">
        <v>2068</v>
      </c>
      <c r="B12" s="3292"/>
      <c r="C12" s="3292"/>
      <c r="D12" s="3292"/>
    </row>
    <row r="13" spans="1:4">
      <c r="A13" s="3290" t="s">
        <v>2743</v>
      </c>
      <c r="B13" s="3290"/>
      <c r="C13" s="3290"/>
      <c r="D13" s="3290"/>
    </row>
    <row r="14" spans="1:4">
      <c r="A14" s="3291" t="str">
        <f>IF(项目基本情况!B8="抵押","综上，"&amp;结果表!K47,"——")</f>
        <v>综上，本次评估不存在估价师知悉的法定优先受偿款</v>
      </c>
      <c r="B14" s="3291"/>
      <c r="C14" s="3291"/>
      <c r="D14" s="3291"/>
    </row>
    <row r="15" spans="1:4" ht="58.5" customHeight="1">
      <c r="A15" s="328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89"/>
      <c r="C15" s="3289"/>
      <c r="D15" s="3289"/>
    </row>
    <row r="16" spans="1:4" ht="70.5" customHeight="1">
      <c r="A16" s="328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89"/>
      <c r="C16" s="3289"/>
      <c r="D16" s="3289"/>
    </row>
    <row r="17" spans="1:4">
      <c r="A17" s="3289" t="s">
        <v>2699</v>
      </c>
      <c r="B17" s="3289"/>
      <c r="C17" s="3289"/>
      <c r="D17" s="3289"/>
    </row>
    <row r="18" spans="1:4">
      <c r="A18" s="3289" t="s">
        <v>2691</v>
      </c>
      <c r="B18" s="3289"/>
      <c r="C18" s="3289"/>
      <c r="D18" s="3289"/>
    </row>
    <row r="19" spans="1:4">
      <c r="A19" s="2866" t="s">
        <v>2692</v>
      </c>
      <c r="B19" s="2866" t="s">
        <v>2693</v>
      </c>
      <c r="C19" s="2866" t="s">
        <v>2694</v>
      </c>
      <c r="D19" s="2866" t="s">
        <v>2695</v>
      </c>
    </row>
    <row r="20" spans="1:4">
      <c r="A20" s="2866" t="str">
        <f>项目基本情况!B4</f>
        <v>吴薇</v>
      </c>
      <c r="B20" s="2866">
        <f ca="1">项目基本情况!C4</f>
        <v>2002110125</v>
      </c>
      <c r="C20" s="2868"/>
      <c r="D20" s="1799" t="s">
        <v>2700</v>
      </c>
    </row>
    <row r="21" spans="1:4">
      <c r="A21" s="2866" t="str">
        <f>项目基本情况!D4</f>
        <v>郑燚</v>
      </c>
      <c r="B21" s="2866">
        <f>项目基本情况!E4</f>
        <v>2014110011</v>
      </c>
      <c r="C21" s="2868"/>
      <c r="D21" s="1799" t="s">
        <v>2701</v>
      </c>
    </row>
    <row r="23" spans="1:4">
      <c r="A23" s="3289" t="s">
        <v>2696</v>
      </c>
      <c r="B23" s="3289"/>
      <c r="C23" s="3289"/>
      <c r="D23" s="3289"/>
    </row>
    <row r="24" spans="1:4">
      <c r="A24" s="2866" t="s">
        <v>2692</v>
      </c>
      <c r="B24" s="2866" t="s">
        <v>2697</v>
      </c>
      <c r="C24" s="2866" t="s">
        <v>2694</v>
      </c>
      <c r="D24" s="2866" t="s">
        <v>2695</v>
      </c>
    </row>
    <row r="25" spans="1:4">
      <c r="A25" s="2869" t="s">
        <v>2698</v>
      </c>
      <c r="B25" s="2866" t="s">
        <v>952</v>
      </c>
      <c r="C25" s="2868"/>
      <c r="D25" s="1799" t="s">
        <v>2701</v>
      </c>
    </row>
    <row r="29" spans="1:4">
      <c r="D29" s="2867" t="s">
        <v>2039</v>
      </c>
    </row>
    <row r="30" spans="1:4">
      <c r="D30" s="287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301" t="s">
        <v>53</v>
      </c>
      <c r="B15" s="3302" t="s">
        <v>846</v>
      </c>
      <c r="C15" s="3298"/>
    </row>
    <row r="16" spans="1:7" ht="14.25">
      <c r="A16" s="3301"/>
      <c r="B16" s="3299" t="s">
        <v>54</v>
      </c>
      <c r="C16" s="1171" t="s">
        <v>53</v>
      </c>
    </row>
    <row r="17" spans="1:3" ht="14.25">
      <c r="A17" s="3301"/>
      <c r="B17" s="3299"/>
      <c r="C17" s="1171" t="s">
        <v>55</v>
      </c>
    </row>
    <row r="18" spans="1:3" ht="14.25">
      <c r="A18" s="3301"/>
      <c r="B18" s="3299"/>
      <c r="C18" s="1171" t="s">
        <v>56</v>
      </c>
    </row>
    <row r="19" spans="1:3" ht="14.25">
      <c r="A19" s="3301"/>
      <c r="B19" s="3297" t="s">
        <v>57</v>
      </c>
      <c r="C19" s="3298"/>
    </row>
    <row r="20" spans="1:3" ht="14.25">
      <c r="A20" s="1172" t="s">
        <v>58</v>
      </c>
      <c r="B20" s="1173"/>
      <c r="C20" s="1174"/>
    </row>
    <row r="21" spans="1:3" ht="14.25">
      <c r="A21" s="3300" t="s">
        <v>59</v>
      </c>
      <c r="B21" s="3297" t="s">
        <v>60</v>
      </c>
      <c r="C21" s="3298"/>
    </row>
    <row r="22" spans="1:3" ht="14.25">
      <c r="A22" s="3300"/>
      <c r="B22" s="3297" t="s">
        <v>61</v>
      </c>
      <c r="C22" s="3298"/>
    </row>
    <row r="23" spans="1:3" ht="14.25">
      <c r="A23" s="3300"/>
      <c r="B23" s="3297" t="s">
        <v>62</v>
      </c>
      <c r="C23" s="3298"/>
    </row>
    <row r="24" spans="1:3" ht="14.25">
      <c r="A24" s="3300"/>
      <c r="B24" s="3303" t="s">
        <v>63</v>
      </c>
      <c r="C24" s="1175" t="s">
        <v>837</v>
      </c>
    </row>
    <row r="25" spans="1:3" ht="14.25">
      <c r="A25" s="3300"/>
      <c r="B25" s="3304"/>
      <c r="C25" s="1175" t="s">
        <v>838</v>
      </c>
    </row>
    <row r="26" spans="1:3" ht="14.25">
      <c r="A26" s="3300"/>
      <c r="B26" s="3304"/>
      <c r="C26" s="1175" t="s">
        <v>839</v>
      </c>
    </row>
    <row r="27" spans="1:3" ht="14.25">
      <c r="A27" s="3300"/>
      <c r="B27" s="3304"/>
      <c r="C27" s="1175" t="s">
        <v>840</v>
      </c>
    </row>
    <row r="28" spans="1:3" ht="14.25">
      <c r="A28" s="3300"/>
      <c r="B28" s="3304"/>
      <c r="C28" s="1175" t="s">
        <v>841</v>
      </c>
    </row>
    <row r="29" spans="1:3" ht="14.25">
      <c r="A29" s="3300"/>
      <c r="B29" s="3304"/>
      <c r="C29" s="1175" t="s">
        <v>842</v>
      </c>
    </row>
    <row r="30" spans="1:3" ht="14.25">
      <c r="A30" s="3300"/>
      <c r="B30" s="3304"/>
      <c r="C30" s="1175" t="s">
        <v>843</v>
      </c>
    </row>
    <row r="31" spans="1:3" ht="14.25">
      <c r="A31" s="3300"/>
      <c r="B31" s="3304"/>
      <c r="C31" s="1175" t="s">
        <v>844</v>
      </c>
    </row>
    <row r="32" spans="1:3" ht="14.25">
      <c r="A32" s="3300"/>
      <c r="B32" s="3304"/>
      <c r="C32" s="1175" t="s">
        <v>1647</v>
      </c>
    </row>
    <row r="33" spans="1:3" ht="14.25">
      <c r="A33" s="3300"/>
      <c r="B33" s="3294" t="s">
        <v>1653</v>
      </c>
      <c r="C33" s="1175" t="s">
        <v>1648</v>
      </c>
    </row>
    <row r="34" spans="1:3" ht="14.25">
      <c r="A34" s="3300"/>
      <c r="B34" s="3295"/>
      <c r="C34" s="1180" t="s">
        <v>1649</v>
      </c>
    </row>
    <row r="35" spans="1:3" ht="14.25">
      <c r="A35" s="3300"/>
      <c r="B35" s="3295"/>
      <c r="C35" s="1181" t="s">
        <v>1650</v>
      </c>
    </row>
    <row r="36" spans="1:3" ht="14.25">
      <c r="A36" s="3300"/>
      <c r="B36" s="3295"/>
      <c r="C36" s="1181" t="s">
        <v>1651</v>
      </c>
    </row>
    <row r="37" spans="1:3" ht="14.25">
      <c r="A37" s="3300"/>
      <c r="B37" s="3296"/>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1908</v>
      </c>
      <c r="B2" s="1656">
        <f ca="1">TODAY()</f>
        <v>43507</v>
      </c>
      <c r="C2" s="2337" t="s">
        <v>1909</v>
      </c>
      <c r="D2" s="2338"/>
    </row>
    <row r="3" spans="1:6" ht="20.25" customHeight="1">
      <c r="A3" s="2340" t="s">
        <v>1910</v>
      </c>
      <c r="B3" s="2341" t="s">
        <v>1911</v>
      </c>
      <c r="C3" s="2341" t="s">
        <v>1912</v>
      </c>
      <c r="D3" s="2342" t="s">
        <v>1913</v>
      </c>
      <c r="E3" s="2341" t="s">
        <v>1914</v>
      </c>
      <c r="F3" s="2341" t="s">
        <v>1912</v>
      </c>
    </row>
    <row r="4" spans="1:6" ht="20.25" customHeight="1">
      <c r="A4" s="2341" t="s">
        <v>1915</v>
      </c>
      <c r="B4" s="2341">
        <f ca="1">IF(C4&lt;B2,"已过期",1119970066)</f>
        <v>1119970066</v>
      </c>
      <c r="C4" s="3003">
        <v>43849</v>
      </c>
      <c r="D4" s="2341" t="s">
        <v>1915</v>
      </c>
      <c r="E4" s="2341">
        <f ca="1">IF(F4&lt;B2,"已过期",96010014)</f>
        <v>96010014</v>
      </c>
      <c r="F4" s="3004">
        <v>47118</v>
      </c>
    </row>
    <row r="5" spans="1:6" ht="20.25" customHeight="1">
      <c r="A5" s="2341" t="s">
        <v>1916</v>
      </c>
      <c r="B5" s="2341">
        <f ca="1">IF(C5&lt;B2,"已过期",1119970074)</f>
        <v>1119970074</v>
      </c>
      <c r="C5" s="3003">
        <v>43849</v>
      </c>
      <c r="D5" s="2341" t="s">
        <v>1916</v>
      </c>
      <c r="E5" s="2341">
        <f ca="1">IF(F5&lt;B2,"已过期",2002110027)</f>
        <v>2002110027</v>
      </c>
      <c r="F5" s="3004">
        <v>46752</v>
      </c>
    </row>
    <row r="6" spans="1:6" ht="20.25" customHeight="1">
      <c r="A6" s="2341" t="s">
        <v>1917</v>
      </c>
      <c r="B6" s="2341">
        <f ca="1">IF(C6&lt;B2,"已过期",1119970111)</f>
        <v>1119970111</v>
      </c>
      <c r="C6" s="3003">
        <v>43849</v>
      </c>
      <c r="D6" s="2341" t="s">
        <v>1917</v>
      </c>
      <c r="E6" s="2341">
        <f ca="1">IF(F6&lt;B2,"已过期",94010078)</f>
        <v>94010078</v>
      </c>
      <c r="F6" s="3004">
        <v>46387</v>
      </c>
    </row>
    <row r="7" spans="1:6" ht="20.25" customHeight="1">
      <c r="A7" s="2341" t="s">
        <v>1918</v>
      </c>
      <c r="B7" s="2341">
        <f ca="1">IF(C7&lt;B2,"已过期",1120050019)</f>
        <v>1120050019</v>
      </c>
      <c r="C7" s="3003">
        <v>44395</v>
      </c>
      <c r="D7" s="2341" t="s">
        <v>1918</v>
      </c>
      <c r="E7" s="2341">
        <f ca="1">IF(F7&lt;B2,"已过期",2002110030)</f>
        <v>2002110030</v>
      </c>
      <c r="F7" s="3004">
        <v>46387</v>
      </c>
    </row>
    <row r="8" spans="1:6" ht="20.25" customHeight="1">
      <c r="A8" s="2341" t="s">
        <v>1919</v>
      </c>
      <c r="B8" s="2341">
        <f ca="1">IF(C8&lt;B2,"已过期",1120000080)</f>
        <v>1120000080</v>
      </c>
      <c r="C8" s="3003">
        <v>43849</v>
      </c>
      <c r="D8" s="2341" t="s">
        <v>1919</v>
      </c>
      <c r="E8" s="2341">
        <f ca="1">IF(F8&lt;B2,"已过期",2000110082)</f>
        <v>2000110082</v>
      </c>
      <c r="F8" s="3004">
        <v>46387</v>
      </c>
    </row>
    <row r="9" spans="1:6" ht="20.25" customHeight="1">
      <c r="A9" s="2341" t="s">
        <v>1920</v>
      </c>
      <c r="B9" s="2341">
        <f ca="1">IF(C9&lt;B2,"已过期",1419970001)</f>
        <v>1419970001</v>
      </c>
      <c r="C9" s="3003">
        <v>43867</v>
      </c>
      <c r="D9" s="2341" t="s">
        <v>1920</v>
      </c>
      <c r="E9" s="2341">
        <f ca="1">IF(F9&lt;B2,"已过期",2002110125)</f>
        <v>2002110125</v>
      </c>
      <c r="F9" s="3004">
        <v>47118</v>
      </c>
    </row>
    <row r="10" spans="1:6" ht="20.25" customHeight="1">
      <c r="A10" s="2341" t="s">
        <v>1921</v>
      </c>
      <c r="B10" s="2341" t="str">
        <f ca="1">IF(C10&lt;B2,"已过期",1120060040)</f>
        <v>已过期</v>
      </c>
      <c r="C10" s="3003">
        <v>43483</v>
      </c>
      <c r="D10" s="2341" t="s">
        <v>1921</v>
      </c>
      <c r="E10" s="2341">
        <f ca="1">IF(F10&lt;B2,"已过期",2004110096)</f>
        <v>2004110096</v>
      </c>
      <c r="F10" s="3004">
        <v>47118</v>
      </c>
    </row>
    <row r="11" spans="1:6" ht="20.25" customHeight="1">
      <c r="A11" s="2341" t="s">
        <v>1922</v>
      </c>
      <c r="B11" s="2341">
        <f ca="1">IF(C11&lt;B2,"已过期",1120100036)</f>
        <v>1120100036</v>
      </c>
      <c r="C11" s="3003">
        <v>43622</v>
      </c>
      <c r="D11" s="2341" t="s">
        <v>1922</v>
      </c>
      <c r="E11" s="2341">
        <f ca="1">IF(F11&lt;B2,"已过期",2010110070)</f>
        <v>2010110070</v>
      </c>
      <c r="F11" s="3004">
        <v>47907</v>
      </c>
    </row>
    <row r="12" spans="1:6" ht="20.25" customHeight="1">
      <c r="A12" s="2341" t="s">
        <v>2965</v>
      </c>
      <c r="B12" s="2341">
        <v>1120110054</v>
      </c>
      <c r="C12" s="3003">
        <v>43937</v>
      </c>
      <c r="D12" s="2341" t="s">
        <v>2965</v>
      </c>
      <c r="E12" s="2341">
        <v>2008110060</v>
      </c>
      <c r="F12" s="3004">
        <v>47177</v>
      </c>
    </row>
    <row r="13" spans="1:6" ht="20.25" customHeight="1">
      <c r="A13" s="2341" t="s">
        <v>1923</v>
      </c>
      <c r="B13" s="2341">
        <f ca="1">IF(C13&lt;B2,"已过期",1120070131)</f>
        <v>1120070131</v>
      </c>
      <c r="C13" s="3003">
        <v>43814</v>
      </c>
      <c r="D13" s="2341" t="s">
        <v>1923</v>
      </c>
      <c r="E13" s="2341">
        <v>2014110011</v>
      </c>
      <c r="F13" s="3004">
        <v>49302</v>
      </c>
    </row>
    <row r="14" spans="1:6" ht="20.25" customHeight="1">
      <c r="A14" s="2341" t="s">
        <v>1924</v>
      </c>
      <c r="B14" s="2341">
        <f ca="1">IF(C14&lt;B2,"已过期",1120130020)</f>
        <v>1120130020</v>
      </c>
      <c r="C14" s="3003">
        <v>43622</v>
      </c>
      <c r="D14" s="2341"/>
      <c r="E14" s="2341"/>
      <c r="F14" s="2341"/>
    </row>
    <row r="15" spans="1:6" ht="20.25" customHeight="1">
      <c r="A15" s="2341" t="s">
        <v>2572</v>
      </c>
      <c r="B15" s="2341">
        <v>1120070085</v>
      </c>
      <c r="C15" s="3003">
        <v>43814</v>
      </c>
      <c r="D15" s="2341" t="s">
        <v>2572</v>
      </c>
      <c r="E15" s="2341">
        <v>2004110128</v>
      </c>
      <c r="F15" s="3004">
        <v>47118</v>
      </c>
    </row>
    <row r="16" spans="1:6" ht="20.25" customHeight="1">
      <c r="A16" s="2341" t="s">
        <v>1925</v>
      </c>
      <c r="B16" s="2341">
        <f ca="1">IF(C16&lt;B2,"已过期",1120140022)</f>
        <v>1120140022</v>
      </c>
      <c r="C16" s="3003">
        <v>44029</v>
      </c>
      <c r="D16" s="2341" t="s">
        <v>1925</v>
      </c>
      <c r="E16" s="2341">
        <f ca="1">IF(F16&lt;B2,"已过期",2008110059)</f>
        <v>2008110059</v>
      </c>
      <c r="F16" s="3004">
        <v>47177</v>
      </c>
    </row>
    <row r="17" spans="1:7" ht="20.25" customHeight="1">
      <c r="A17" s="2341"/>
      <c r="B17" s="2341"/>
      <c r="C17" s="3003"/>
      <c r="D17" s="2341"/>
      <c r="E17" s="2341"/>
      <c r="F17" s="3004"/>
    </row>
    <row r="18" spans="1:7" ht="20.25" customHeight="1">
      <c r="A18" s="2341"/>
      <c r="B18" s="2341"/>
      <c r="C18" s="3003"/>
      <c r="D18" s="2341"/>
      <c r="E18" s="2341"/>
      <c r="F18" s="3004"/>
    </row>
    <row r="19" spans="1:7" ht="20.25" customHeight="1">
      <c r="A19" s="2341"/>
      <c r="B19" s="2341"/>
      <c r="C19" s="3003"/>
      <c r="D19" s="2341"/>
      <c r="E19" s="2341"/>
      <c r="F19" s="2341"/>
    </row>
    <row r="20" spans="1:7" ht="20.25" customHeight="1">
      <c r="A20" s="2341"/>
      <c r="B20" s="2341"/>
      <c r="C20" s="3003"/>
      <c r="D20" s="2341"/>
      <c r="E20" s="2341"/>
      <c r="F20" s="2341"/>
    </row>
    <row r="21" spans="1:7" ht="20.25" customHeight="1">
      <c r="A21" s="2341"/>
      <c r="B21" s="2341"/>
      <c r="C21" s="3003"/>
      <c r="D21" s="2341" t="s">
        <v>1926</v>
      </c>
      <c r="E21" s="2341">
        <f ca="1">IF(F21&lt;B2,"已过期",2011110090)</f>
        <v>2011110090</v>
      </c>
      <c r="F21" s="3004">
        <v>48302</v>
      </c>
    </row>
    <row r="22" spans="1:7" ht="20.25" customHeight="1">
      <c r="A22" s="2341" t="s">
        <v>1927</v>
      </c>
      <c r="B22" s="2341">
        <f ca="1">IF(C22&lt;B2,"已过期",1120020033)</f>
        <v>1120020033</v>
      </c>
      <c r="C22" s="3003">
        <v>44339</v>
      </c>
      <c r="D22" s="2341" t="s">
        <v>1927</v>
      </c>
      <c r="E22" s="2341">
        <f ca="1">IF(F22&lt;B2,"已过期",2000110137)</f>
        <v>2000110137</v>
      </c>
      <c r="F22" s="3004">
        <v>46387</v>
      </c>
    </row>
    <row r="23" spans="1:7" ht="20.25" customHeight="1">
      <c r="A23" s="2341" t="s">
        <v>1928</v>
      </c>
      <c r="B23" s="2341">
        <f ca="1">IF(C23&lt;B2,"已过期",1120130048)</f>
        <v>1120130048</v>
      </c>
      <c r="C23" s="3003">
        <v>43686</v>
      </c>
      <c r="D23" s="2341"/>
      <c r="E23" s="2341"/>
      <c r="F23" s="2341"/>
    </row>
    <row r="24" spans="1:7" s="2345" customFormat="1" ht="20.25" customHeight="1">
      <c r="A24" s="2343" t="s">
        <v>2053</v>
      </c>
      <c r="B24" s="2343" t="s">
        <v>2053</v>
      </c>
      <c r="C24" s="3003"/>
      <c r="D24" s="3005" t="s">
        <v>2053</v>
      </c>
      <c r="E24" s="2343" t="s">
        <v>2053</v>
      </c>
      <c r="F24" s="2344"/>
    </row>
    <row r="25" spans="1:7" ht="20.25" customHeight="1">
      <c r="A25" s="3305" t="s">
        <v>1929</v>
      </c>
      <c r="B25" s="3305"/>
      <c r="C25" s="3305"/>
      <c r="D25" s="3305"/>
      <c r="E25" s="3305"/>
      <c r="F25" s="3305"/>
      <c r="G25" s="3305"/>
    </row>
    <row r="26" spans="1:7" ht="20.25" customHeight="1">
      <c r="A26" s="3306" t="s">
        <v>1930</v>
      </c>
      <c r="B26" s="3306"/>
      <c r="C26" s="3306"/>
      <c r="D26" s="3306" t="s">
        <v>1931</v>
      </c>
      <c r="E26" s="3306"/>
      <c r="F26" s="3306"/>
    </row>
    <row r="27" spans="1:7" s="2349" customFormat="1" ht="20.25" customHeight="1">
      <c r="A27" s="2346" t="s">
        <v>1932</v>
      </c>
      <c r="B27" s="2347" t="s">
        <v>1933</v>
      </c>
      <c r="C27" s="2347" t="s">
        <v>1934</v>
      </c>
      <c r="D27" s="2348" t="s">
        <v>1932</v>
      </c>
      <c r="E27" s="2347" t="s">
        <v>1933</v>
      </c>
      <c r="F27" s="2347" t="s">
        <v>1934</v>
      </c>
    </row>
    <row r="28" spans="1:7" s="2349" customFormat="1" ht="20.25" customHeight="1">
      <c r="A28" s="2350" t="s">
        <v>1935</v>
      </c>
      <c r="B28" s="2350" t="s">
        <v>1936</v>
      </c>
      <c r="C28" s="2351">
        <v>43725</v>
      </c>
      <c r="D28" s="2350" t="s">
        <v>1937</v>
      </c>
      <c r="E28" s="2350" t="s">
        <v>1938</v>
      </c>
      <c r="F28" s="2352">
        <v>44377</v>
      </c>
    </row>
    <row r="29" spans="1:7" s="2349" customFormat="1" ht="20.25" customHeight="1">
      <c r="A29" s="2350"/>
      <c r="B29" s="2350"/>
      <c r="C29" s="2353"/>
      <c r="D29" s="2350" t="s">
        <v>1939</v>
      </c>
      <c r="E29" s="2354" t="s">
        <v>2931</v>
      </c>
      <c r="F29" s="2355">
        <v>43281</v>
      </c>
    </row>
    <row r="30" spans="1:7" ht="20.25" customHeight="1">
      <c r="C30" s="2356"/>
      <c r="D30" s="2356"/>
    </row>
  </sheetData>
  <sheetProtection sheet="1" objects="1" scenarios="1"/>
  <mergeCells count="3">
    <mergeCell ref="A25:G25"/>
    <mergeCell ref="A26:C26"/>
    <mergeCell ref="D26:F26"/>
  </mergeCells>
  <phoneticPr fontId="4" type="noConversion"/>
  <conditionalFormatting sqref="C24:D24">
    <cfRule type="expression" dxfId="202" priority="90">
      <formula>AND($C24-TODAY()&lt;30,TODAY()&lt;$C24)</formula>
    </cfRule>
  </conditionalFormatting>
  <conditionalFormatting sqref="C28">
    <cfRule type="expression" dxfId="201" priority="89">
      <formula>AND($C28-TODAY()&lt;30,TODAY()&lt;$C28)</formula>
    </cfRule>
  </conditionalFormatting>
  <conditionalFormatting sqref="C28 F4">
    <cfRule type="cellIs" dxfId="200" priority="91" stopIfTrue="1" operator="lessThan">
      <formula>$B$2</formula>
    </cfRule>
  </conditionalFormatting>
  <conditionalFormatting sqref="F5">
    <cfRule type="cellIs" dxfId="199" priority="87" stopIfTrue="1" operator="lessThan">
      <formula>$B$2</formula>
    </cfRule>
  </conditionalFormatting>
  <conditionalFormatting sqref="F6 F8 F10">
    <cfRule type="cellIs" dxfId="198" priority="85" stopIfTrue="1" operator="lessThan">
      <formula>$B$2</formula>
    </cfRule>
  </conditionalFormatting>
  <conditionalFormatting sqref="C24:D24">
    <cfRule type="expression" dxfId="197" priority="83">
      <formula>AND($C24-TODAY()&lt;30,TODAY()&lt;$C24)</formula>
    </cfRule>
  </conditionalFormatting>
  <conditionalFormatting sqref="F7 F9 F11 C24:D24">
    <cfRule type="cellIs" dxfId="196" priority="84" stopIfTrue="1" operator="lessThan">
      <formula>$B$2</formula>
    </cfRule>
  </conditionalFormatting>
  <conditionalFormatting sqref="F16">
    <cfRule type="cellIs" dxfId="195" priority="57" stopIfTrue="1" operator="lessThan">
      <formula>$B$2</formula>
    </cfRule>
  </conditionalFormatting>
  <conditionalFormatting sqref="F18">
    <cfRule type="cellIs" dxfId="194" priority="56" stopIfTrue="1" operator="lessThan">
      <formula>$B$2</formula>
    </cfRule>
  </conditionalFormatting>
  <conditionalFormatting sqref="F22">
    <cfRule type="cellIs" dxfId="193" priority="55" stopIfTrue="1" operator="lessThan">
      <formula>$B$2</formula>
    </cfRule>
  </conditionalFormatting>
  <conditionalFormatting sqref="F21">
    <cfRule type="cellIs" dxfId="192" priority="54" stopIfTrue="1" operator="lessThan">
      <formula>$B$2</formula>
    </cfRule>
  </conditionalFormatting>
  <conditionalFormatting sqref="F17">
    <cfRule type="cellIs" dxfId="191" priority="53" stopIfTrue="1" operator="lessThan">
      <formula>$B$2</formula>
    </cfRule>
  </conditionalFormatting>
  <conditionalFormatting sqref="B4:B11 E4:E11 E16:E23 B16:B23 B13:B14 E13:E14">
    <cfRule type="cellIs" dxfId="190" priority="52" stopIfTrue="1" operator="equal">
      <formula>"已过期"</formula>
    </cfRule>
  </conditionalFormatting>
  <conditionalFormatting sqref="F28">
    <cfRule type="cellIs" dxfId="189" priority="49" stopIfTrue="1" operator="lessThan">
      <formula>$B$2</formula>
    </cfRule>
  </conditionalFormatting>
  <conditionalFormatting sqref="F29">
    <cfRule type="cellIs" dxfId="188" priority="47" stopIfTrue="1" operator="lessThan">
      <formula>$B$2</formula>
    </cfRule>
  </conditionalFormatting>
  <conditionalFormatting sqref="F28">
    <cfRule type="expression" dxfId="187" priority="93">
      <formula>AND($E28-TODAY()&lt;30,TODAY()&lt;$E28)</formula>
    </cfRule>
  </conditionalFormatting>
  <conditionalFormatting sqref="F29">
    <cfRule type="expression" dxfId="186" priority="94" stopIfTrue="1">
      <formula>AND($E29-TODAY()&lt;30,TODAY()&lt;$E29)</formula>
    </cfRule>
  </conditionalFormatting>
  <conditionalFormatting sqref="C5">
    <cfRule type="expression" dxfId="185" priority="44">
      <formula>AND($C5-TODAY()&lt;30,TODAY()&lt;$C5)</formula>
    </cfRule>
  </conditionalFormatting>
  <conditionalFormatting sqref="C5">
    <cfRule type="cellIs" dxfId="184" priority="45" stopIfTrue="1" operator="lessThan">
      <formula>$B$2</formula>
    </cfRule>
  </conditionalFormatting>
  <conditionalFormatting sqref="C4:C6">
    <cfRule type="expression" dxfId="183" priority="42">
      <formula>AND($C4-TODAY()&lt;30,TODAY()&lt;$C4)</formula>
    </cfRule>
  </conditionalFormatting>
  <conditionalFormatting sqref="C4:C6">
    <cfRule type="cellIs" dxfId="182" priority="43" stopIfTrue="1" operator="lessThan">
      <formula>$B$2</formula>
    </cfRule>
  </conditionalFormatting>
  <conditionalFormatting sqref="C8:C9">
    <cfRule type="expression" dxfId="181" priority="40">
      <formula>AND($C8-TODAY()&lt;30,TODAY()&lt;$C8)</formula>
    </cfRule>
  </conditionalFormatting>
  <conditionalFormatting sqref="C8:C9">
    <cfRule type="cellIs" dxfId="180" priority="41" stopIfTrue="1" operator="lessThan">
      <formula>$B$2</formula>
    </cfRule>
  </conditionalFormatting>
  <conditionalFormatting sqref="B15 E15">
    <cfRule type="cellIs" dxfId="179" priority="28" stopIfTrue="1" operator="equal">
      <formula>"已过期"</formula>
    </cfRule>
  </conditionalFormatting>
  <conditionalFormatting sqref="F15">
    <cfRule type="cellIs" dxfId="178" priority="25" stopIfTrue="1" operator="lessThan">
      <formula>$B$2</formula>
    </cfRule>
  </conditionalFormatting>
  <conditionalFormatting sqref="C7">
    <cfRule type="expression" dxfId="177" priority="23">
      <formula>AND($C7-TODAY()&lt;30,TODAY()&lt;$C7)</formula>
    </cfRule>
  </conditionalFormatting>
  <conditionalFormatting sqref="C7">
    <cfRule type="cellIs" dxfId="176" priority="24" stopIfTrue="1" operator="lessThan">
      <formula>$B$2</formula>
    </cfRule>
  </conditionalFormatting>
  <conditionalFormatting sqref="C10:C11 C13:C21 C23">
    <cfRule type="expression" dxfId="175" priority="21">
      <formula>AND($C10-TODAY()&lt;30,TODAY()&lt;$C10)</formula>
    </cfRule>
  </conditionalFormatting>
  <conditionalFormatting sqref="C10:C11 C13:C21 C23">
    <cfRule type="cellIs" dxfId="174" priority="22" stopIfTrue="1" operator="lessThan">
      <formula>$B$2</formula>
    </cfRule>
  </conditionalFormatting>
  <conditionalFormatting sqref="F13">
    <cfRule type="cellIs" dxfId="173" priority="20" stopIfTrue="1" operator="lessThan">
      <formula>$B$2</formula>
    </cfRule>
  </conditionalFormatting>
  <conditionalFormatting sqref="F12">
    <cfRule type="cellIs" dxfId="172" priority="12" stopIfTrue="1" operator="lessThan">
      <formula>$B$2</formula>
    </cfRule>
  </conditionalFormatting>
  <conditionalFormatting sqref="B12 E12">
    <cfRule type="cellIs" dxfId="171" priority="11" stopIfTrue="1" operator="equal">
      <formula>"已过期"</formula>
    </cfRule>
  </conditionalFormatting>
  <conditionalFormatting sqref="C12">
    <cfRule type="expression" dxfId="170" priority="9">
      <formula>AND($C12-TODAY()&lt;30,TODAY()&lt;$C12)</formula>
    </cfRule>
  </conditionalFormatting>
  <conditionalFormatting sqref="C12">
    <cfRule type="cellIs" dxfId="169" priority="10" stopIfTrue="1" operator="lessThan">
      <formula>$B$2</formula>
    </cfRule>
  </conditionalFormatting>
  <conditionalFormatting sqref="C22">
    <cfRule type="expression" dxfId="168" priority="1">
      <formula>AND($C22-TODAY()&lt;30,TODAY()&lt;$C22)</formula>
    </cfRule>
  </conditionalFormatting>
  <conditionalFormatting sqref="C22">
    <cfRule type="cellIs" dxfId="167"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8" sqref="H28"/>
    </sheetView>
  </sheetViews>
  <sheetFormatPr defaultColWidth="10" defaultRowHeight="14.25"/>
  <cols>
    <col min="1" max="1" width="15.375" style="1688" customWidth="1"/>
    <col min="2" max="2" width="11.375" style="1688" customWidth="1"/>
    <col min="3" max="3" width="12.625" style="1688" customWidth="1"/>
    <col min="4" max="4" width="11.25"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1940</v>
      </c>
      <c r="B1" s="3309" t="str">
        <f>IF(B10="北京市","北京市",C10)&amp;F10&amp;B16&amp;"国有建设用地使用权"&amp;B9&amp;"预评估"</f>
        <v>北京市顺义区高丽营镇于庄03-21地块出让国有建设用地使用权抵押价格预评估</v>
      </c>
      <c r="C1" s="3310"/>
      <c r="D1" s="3310"/>
      <c r="E1" s="3310"/>
      <c r="F1" s="3310"/>
      <c r="G1" s="3310"/>
      <c r="H1" s="3310"/>
      <c r="I1" s="3311"/>
      <c r="J1" s="1691"/>
      <c r="K1" s="2452" t="str">
        <f>IF(B10="北京市","北京市",C10)&amp;F10&amp;B16&amp;"国有建设用地使用权"&amp;B9</f>
        <v>北京市顺义区高丽营镇于庄03-21地块出让国有建设用地使用权抵押价格</v>
      </c>
      <c r="L1" s="1720"/>
      <c r="M1" s="1720"/>
      <c r="N1" s="1691"/>
      <c r="O1" s="1692"/>
      <c r="P1" s="1691"/>
      <c r="Q1" s="1691"/>
      <c r="R1" s="1691"/>
      <c r="S1" s="1691"/>
      <c r="T1" s="1691"/>
      <c r="U1" s="1691"/>
    </row>
    <row r="2" spans="1:21">
      <c r="A2" s="1658" t="s">
        <v>1941</v>
      </c>
      <c r="B2" s="1838" t="s">
        <v>3242</v>
      </c>
      <c r="D2" s="1691"/>
      <c r="E2" s="1691"/>
      <c r="F2" s="1691"/>
      <c r="G2" s="1691"/>
      <c r="H2" s="1658"/>
      <c r="I2" s="1692"/>
      <c r="J2" s="1691"/>
      <c r="K2" s="2452" t="str">
        <f>IF(B10="北京市","北京市",C10)&amp;F10&amp;B16&amp;"国有建设用地使用权"</f>
        <v>北京市顺义区高丽营镇于庄03-21地块出让国有建设用地使用权</v>
      </c>
      <c r="L2" s="1720"/>
      <c r="M2" s="1720"/>
      <c r="N2" s="1691"/>
      <c r="O2" s="1692"/>
      <c r="P2" s="1691"/>
      <c r="Q2" s="1691"/>
      <c r="R2" s="1691"/>
      <c r="S2" s="1691"/>
      <c r="T2" s="1691"/>
      <c r="U2" s="1691"/>
    </row>
    <row r="3" spans="1:21">
      <c r="A3" s="1659" t="s">
        <v>1942</v>
      </c>
      <c r="B3" s="1660">
        <v>43444</v>
      </c>
      <c r="C3" s="1661" t="s">
        <v>1996</v>
      </c>
      <c r="D3" s="1660">
        <f>B3</f>
        <v>43444</v>
      </c>
      <c r="E3" s="1691"/>
      <c r="F3" s="1691"/>
      <c r="G3" s="1691"/>
      <c r="H3" s="1658"/>
      <c r="I3" s="1692"/>
      <c r="J3" s="1691"/>
      <c r="K3" s="1771"/>
      <c r="L3" s="1720"/>
      <c r="M3" s="1720"/>
      <c r="N3" s="1691"/>
      <c r="O3" s="1692"/>
      <c r="P3" s="1691"/>
      <c r="Q3" s="1691"/>
      <c r="R3" s="1691"/>
      <c r="S3" s="1691"/>
      <c r="T3" s="1691"/>
      <c r="U3" s="1691"/>
    </row>
    <row r="4" spans="1:21" ht="15" thickBot="1">
      <c r="A4" s="1662" t="s">
        <v>1943</v>
      </c>
      <c r="B4" s="1839" t="s">
        <v>3243</v>
      </c>
      <c r="C4" s="1842">
        <f ca="1">SUMIF(土地估价师,B4,估价师及机构信息!E3:E24)</f>
        <v>2002110125</v>
      </c>
      <c r="D4" s="1839" t="s">
        <v>3244</v>
      </c>
      <c r="E4" s="1842">
        <f>SUMIF(土地估价师,D4,估价师及机构信息!E3:E24)</f>
        <v>2014110011</v>
      </c>
      <c r="F4" s="1839" t="s">
        <v>952</v>
      </c>
      <c r="G4" s="1842">
        <f>SUMIF(土地估价师,F4,估价师及机构信息!E3:E24)</f>
        <v>0</v>
      </c>
      <c r="H4" s="1839" t="s">
        <v>952</v>
      </c>
      <c r="I4" s="1842">
        <f>SUMIF(土地估价师,H4,估价师及机构信息!E3:E24)</f>
        <v>0</v>
      </c>
      <c r="J4" s="1691"/>
      <c r="K4" s="2452" t="str">
        <f>IF(AND(F4="——",H4="——"),B4&amp;"、"&amp;D4,IF(AND(F4&lt;&gt;"——",H4="——"),B4&amp;"、"&amp;D4&amp;"、"&amp;F4,B4&amp;"、"&amp;D4&amp;"、"&amp;F4&amp;"、"&amp;H4))</f>
        <v>吴薇、郑燚</v>
      </c>
      <c r="L4" s="1720"/>
      <c r="M4" s="1720"/>
      <c r="N4" s="1691"/>
      <c r="O4" s="1692"/>
      <c r="P4" s="1691"/>
      <c r="Q4" s="1691"/>
      <c r="R4" s="1691"/>
      <c r="S4" s="1691"/>
      <c r="T4" s="1691"/>
      <c r="U4" s="1691"/>
    </row>
    <row r="5" spans="1:21" ht="15" thickTop="1">
      <c r="A5" s="1663" t="s">
        <v>1944</v>
      </c>
      <c r="B5" s="1786" t="s">
        <v>3245</v>
      </c>
      <c r="C5" s="1664"/>
      <c r="D5" s="1665"/>
      <c r="E5" s="1691"/>
      <c r="F5" s="1691"/>
      <c r="G5" s="1691"/>
      <c r="H5" s="1658"/>
      <c r="I5" s="1692"/>
      <c r="J5" s="1691"/>
      <c r="K5" s="1771"/>
      <c r="L5" s="1720"/>
      <c r="M5" s="1720"/>
      <c r="N5" s="1691"/>
      <c r="O5" s="1692"/>
      <c r="P5" s="1691"/>
      <c r="Q5" s="1691"/>
      <c r="R5" s="1691"/>
      <c r="S5" s="1691"/>
      <c r="T5" s="1691"/>
      <c r="U5" s="1691"/>
    </row>
    <row r="6" spans="1:21" ht="26.25">
      <c r="A6" s="1661" t="s">
        <v>2703</v>
      </c>
      <c r="B6" s="1786" t="s">
        <v>3247</v>
      </c>
      <c r="C6" s="1758"/>
      <c r="D6" s="1666"/>
      <c r="E6" s="1691"/>
      <c r="F6" s="1691"/>
      <c r="G6" s="1691"/>
      <c r="H6" s="1658"/>
      <c r="I6" s="1692"/>
      <c r="J6" s="1691"/>
      <c r="K6" s="3052" t="str">
        <f>IF(COUNTIF(B6,"*上海银行*"),"上海银行","")</f>
        <v/>
      </c>
      <c r="L6" s="1720"/>
      <c r="M6" s="1720"/>
      <c r="N6" s="1691"/>
      <c r="O6" s="1692"/>
      <c r="P6" s="1691"/>
      <c r="Q6" s="1691"/>
      <c r="R6" s="1691"/>
      <c r="S6" s="1691"/>
      <c r="T6" s="1691"/>
      <c r="U6" s="1691"/>
    </row>
    <row r="7" spans="1:21">
      <c r="A7" s="1667" t="s">
        <v>2704</v>
      </c>
      <c r="B7" s="1786" t="s">
        <v>3246</v>
      </c>
      <c r="C7" s="1758"/>
      <c r="D7" s="1666"/>
      <c r="E7" s="1691"/>
      <c r="F7" s="1691"/>
      <c r="G7" s="1691"/>
      <c r="H7" s="1658"/>
      <c r="I7" s="1692"/>
      <c r="J7" s="1691"/>
      <c r="K7" s="1771"/>
      <c r="L7" s="1720"/>
      <c r="M7" s="1720"/>
      <c r="N7" s="1691"/>
      <c r="O7" s="1692"/>
      <c r="P7" s="1691"/>
      <c r="Q7" s="1691"/>
      <c r="R7" s="1691"/>
      <c r="S7" s="1691"/>
      <c r="T7" s="1691"/>
      <c r="U7" s="1691"/>
    </row>
    <row r="8" spans="1:21">
      <c r="A8" s="1667" t="s">
        <v>1945</v>
      </c>
      <c r="B8" s="1668" t="s">
        <v>3028</v>
      </c>
      <c r="C8" s="1669"/>
      <c r="D8" s="3315" t="s">
        <v>1947</v>
      </c>
      <c r="E8" s="1840" t="s">
        <v>3029</v>
      </c>
      <c r="F8" s="1670"/>
      <c r="G8" s="1658"/>
      <c r="H8" s="1658"/>
      <c r="I8" s="1704"/>
      <c r="J8" s="1691"/>
      <c r="K8" s="1771"/>
      <c r="L8" s="1720"/>
      <c r="M8" s="1720"/>
      <c r="N8" s="1691"/>
      <c r="O8" s="1692"/>
      <c r="P8" s="1691"/>
      <c r="Q8" s="1691"/>
      <c r="R8" s="1691"/>
      <c r="S8" s="1691"/>
      <c r="T8" s="1691"/>
      <c r="U8" s="1691"/>
    </row>
    <row r="9" spans="1:21" ht="15" thickBot="1">
      <c r="A9" s="1671" t="s">
        <v>1946</v>
      </c>
      <c r="B9" s="1672" t="s">
        <v>3029</v>
      </c>
      <c r="C9" s="1673"/>
      <c r="D9" s="3316"/>
      <c r="E9" s="1672" t="s">
        <v>952</v>
      </c>
      <c r="F9" s="1744"/>
      <c r="G9" s="1739"/>
      <c r="H9" s="1739"/>
      <c r="I9" s="1740"/>
      <c r="J9" s="1691"/>
      <c r="K9" s="1771"/>
      <c r="L9" s="1720"/>
      <c r="M9" s="1720"/>
      <c r="N9" s="1691"/>
      <c r="O9" s="1692"/>
      <c r="P9" s="1691"/>
      <c r="Q9" s="1691"/>
      <c r="R9" s="1691"/>
      <c r="S9" s="1691"/>
      <c r="T9" s="1691"/>
      <c r="U9" s="1691"/>
    </row>
    <row r="10" spans="1:21" ht="15" thickTop="1">
      <c r="A10" s="1741" t="s">
        <v>1999</v>
      </c>
      <c r="B10" s="1716" t="s">
        <v>1948</v>
      </c>
      <c r="C10" s="1674"/>
      <c r="D10" s="1665"/>
      <c r="E10" s="1675" t="s">
        <v>1949</v>
      </c>
      <c r="F10" s="3215" t="s">
        <v>3297</v>
      </c>
      <c r="G10" s="1742"/>
      <c r="H10" s="1743"/>
      <c r="I10" s="1665"/>
      <c r="J10" s="1691"/>
      <c r="K10" s="1771"/>
      <c r="L10" s="1720"/>
      <c r="M10" s="1720"/>
      <c r="N10" s="1691"/>
      <c r="O10" s="1692"/>
      <c r="P10" s="1691"/>
      <c r="Q10" s="1691"/>
      <c r="R10" s="1691"/>
      <c r="S10" s="1691"/>
      <c r="T10" s="1691"/>
      <c r="U10" s="1691"/>
    </row>
    <row r="11" spans="1:21">
      <c r="A11" s="1694" t="s">
        <v>2000</v>
      </c>
      <c r="B11" s="1695" t="s">
        <v>3030</v>
      </c>
      <c r="C11" s="1676"/>
      <c r="D11" s="1759"/>
      <c r="E11" s="1658"/>
      <c r="F11" s="1658"/>
      <c r="G11" s="1658"/>
      <c r="H11" s="1658"/>
      <c r="I11" s="1658"/>
      <c r="J11" s="1691"/>
      <c r="K11" s="1771"/>
      <c r="L11" s="1720"/>
      <c r="M11" s="1720"/>
      <c r="N11" s="1691"/>
      <c r="O11" s="1692"/>
      <c r="P11" s="1691"/>
      <c r="Q11" s="1691"/>
      <c r="R11" s="1691"/>
      <c r="S11" s="1691"/>
      <c r="T11" s="1691"/>
      <c r="U11" s="1691"/>
    </row>
    <row r="12" spans="1:21">
      <c r="A12" s="1782" t="s">
        <v>2058</v>
      </c>
      <c r="B12" s="3312" t="s">
        <v>3248</v>
      </c>
      <c r="C12" s="3313"/>
      <c r="D12" s="3314"/>
      <c r="E12" s="1696" t="s">
        <v>2061</v>
      </c>
      <c r="F12" s="3330"/>
      <c r="G12" s="3331"/>
      <c r="H12" s="3331"/>
      <c r="I12" s="3332"/>
      <c r="J12" s="1691"/>
      <c r="K12" s="1771"/>
      <c r="L12" s="1720"/>
      <c r="M12" s="1720"/>
      <c r="N12" s="1691"/>
      <c r="O12" s="1692"/>
      <c r="P12" s="1691"/>
      <c r="Q12" s="1691"/>
      <c r="R12" s="1691"/>
      <c r="S12" s="1691"/>
      <c r="T12" s="1691"/>
      <c r="U12" s="1691"/>
    </row>
    <row r="13" spans="1:21">
      <c r="A13" s="1684" t="s">
        <v>2059</v>
      </c>
      <c r="B13" s="3312" t="s">
        <v>3248</v>
      </c>
      <c r="C13" s="3313"/>
      <c r="D13" s="3314"/>
      <c r="E13" s="1696" t="s">
        <v>2061</v>
      </c>
      <c r="F13" s="3330"/>
      <c r="G13" s="3331"/>
      <c r="H13" s="3331"/>
      <c r="I13" s="3332"/>
      <c r="J13" s="1691"/>
      <c r="K13" s="1771"/>
      <c r="L13" s="1720"/>
      <c r="M13" s="1720"/>
      <c r="N13" s="1691"/>
      <c r="O13" s="1692"/>
      <c r="P13" s="1691"/>
      <c r="Q13" s="1691"/>
      <c r="R13" s="1691"/>
      <c r="S13" s="1691"/>
      <c r="T13" s="1691"/>
      <c r="U13" s="1691"/>
    </row>
    <row r="14" spans="1:21">
      <c r="A14" s="1659" t="s">
        <v>2062</v>
      </c>
      <c r="B14" s="1696"/>
      <c r="C14" s="1841" t="s">
        <v>3031</v>
      </c>
      <c r="D14" s="1730" t="str">
        <f>IF(C14="不一致","是否符合证载地类范围","")</f>
        <v/>
      </c>
      <c r="E14" s="1696"/>
      <c r="F14" s="1787" t="s">
        <v>3249</v>
      </c>
      <c r="G14" s="1725"/>
      <c r="H14" s="1725"/>
      <c r="I14" s="1833"/>
      <c r="J14" s="1691"/>
      <c r="K14" s="1771"/>
      <c r="L14" s="1720"/>
      <c r="M14" s="1720"/>
      <c r="N14" s="1691"/>
      <c r="O14" s="1692"/>
      <c r="P14" s="1691"/>
      <c r="Q14" s="1691"/>
      <c r="R14" s="1691"/>
      <c r="S14" s="1691"/>
      <c r="T14" s="1691"/>
      <c r="U14" s="1691"/>
    </row>
    <row r="15" spans="1:21" hidden="1">
      <c r="A15" s="2642"/>
      <c r="B15" s="1661"/>
      <c r="C15" s="1661"/>
      <c r="D15" s="1763" t="s">
        <v>1952</v>
      </c>
      <c r="E15" s="1763" t="s">
        <v>1953</v>
      </c>
      <c r="F15" s="1763" t="s">
        <v>1954</v>
      </c>
      <c r="G15" s="1683" t="s">
        <v>1955</v>
      </c>
      <c r="H15" s="1683" t="s">
        <v>1956</v>
      </c>
      <c r="I15" s="1683" t="s">
        <v>1957</v>
      </c>
      <c r="J15" s="1691"/>
      <c r="K15" s="1771"/>
      <c r="L15" s="1720"/>
      <c r="M15" s="1720"/>
      <c r="N15" s="1691"/>
      <c r="O15" s="1692"/>
      <c r="P15" s="1691"/>
      <c r="Q15" s="1691"/>
      <c r="R15" s="1691"/>
      <c r="S15" s="1691"/>
      <c r="T15" s="1691"/>
      <c r="U15" s="1691"/>
    </row>
    <row r="16" spans="1:21" ht="42.75">
      <c r="A16" s="1677" t="s">
        <v>1950</v>
      </c>
      <c r="B16" s="1678" t="s">
        <v>3032</v>
      </c>
      <c r="C16" s="1696" t="s">
        <v>1951</v>
      </c>
      <c r="D16" s="2643" t="s">
        <v>1952</v>
      </c>
      <c r="E16" s="1719" t="s">
        <v>3033</v>
      </c>
      <c r="F16" s="1719"/>
      <c r="G16" s="1719" t="s">
        <v>35</v>
      </c>
      <c r="H16" s="1719" t="s">
        <v>3194</v>
      </c>
      <c r="I16" s="1683" t="s">
        <v>1957</v>
      </c>
      <c r="J16" s="1691"/>
      <c r="K16" s="2453" t="str">
        <f>IF(D17="","",D16&amp;TEXT(D17,"yyyy年m月d日;;"))</f>
        <v>住宅2087年7月27日</v>
      </c>
      <c r="L16" s="1696" t="str">
        <f>IF(OR(K16="",M16=""),"","、")</f>
        <v>、</v>
      </c>
      <c r="M16" s="2453" t="str">
        <f>IF(E17="","",E16&amp;TEXT(E17,"yyyy年m月d日;;"))</f>
        <v>商业2057年7月27日</v>
      </c>
      <c r="N16" s="1696" t="str">
        <f>IF(OR(M16="",O16=""),"","、")</f>
        <v/>
      </c>
      <c r="O16" s="2453" t="str">
        <f>IF(F17="","",F16&amp;TEXT(F17,"yyyy年m月d日;;"))</f>
        <v/>
      </c>
      <c r="P16" s="1696" t="str">
        <f>IF(OR(O16="",Q16=""),"","、")</f>
        <v/>
      </c>
      <c r="Q16" s="2453" t="str">
        <f>IF(G17="","",G16&amp;TEXT(G17,"yyyy年m月d日;;"))</f>
        <v>地下车库2067年7月27日</v>
      </c>
      <c r="R16" s="1696" t="str">
        <f>IF(OR(Q16="",S16=""),"","、")</f>
        <v>、</v>
      </c>
      <c r="S16" s="2453" t="str">
        <f>IF(H17="","",H16&amp;TEXT(H17,"yyyy年m月d日;;"))</f>
        <v>仓储2067年7月27日</v>
      </c>
      <c r="T16" s="1696" t="str">
        <f>IF(OR(S16="",U16=""),"","、")</f>
        <v/>
      </c>
      <c r="U16" s="2453" t="str">
        <f>IF(I17="","",I16&amp;TEXT(I17,"yyyy年m月d日;;"))</f>
        <v/>
      </c>
    </row>
    <row r="17" spans="1:21">
      <c r="A17" s="1760"/>
      <c r="B17" s="1679"/>
      <c r="C17" s="1680" t="s">
        <v>1958</v>
      </c>
      <c r="D17" s="1697">
        <v>68510</v>
      </c>
      <c r="E17" s="1697">
        <v>57553</v>
      </c>
      <c r="F17" s="1697"/>
      <c r="G17" s="1697">
        <v>61205</v>
      </c>
      <c r="H17" s="1697">
        <f>G17</f>
        <v>61205</v>
      </c>
      <c r="I17" s="1697"/>
      <c r="J17" s="1691"/>
      <c r="K17" s="2452" t="str">
        <f>CONCATENATE(K16,L16,M16,N16,O16,P16,Q16,R16,S16,T16,,U16)</f>
        <v>住宅2087年7月27日、商业2057年7月27日地下车库2067年7月27日、仓储2067年7月27日</v>
      </c>
      <c r="L17" s="1720"/>
      <c r="M17" s="1720"/>
      <c r="N17" s="1691"/>
      <c r="O17" s="1692"/>
      <c r="P17" s="1691"/>
      <c r="Q17" s="1691"/>
      <c r="R17" s="1691"/>
      <c r="S17" s="1691"/>
      <c r="T17" s="1691"/>
      <c r="U17" s="1691"/>
    </row>
    <row r="18" spans="1:21">
      <c r="A18" s="1760"/>
      <c r="B18" s="1679"/>
      <c r="C18" s="1680" t="s">
        <v>1959</v>
      </c>
      <c r="D18" s="1681">
        <v>70</v>
      </c>
      <c r="E18" s="1681">
        <v>40</v>
      </c>
      <c r="F18" s="1681"/>
      <c r="G18" s="1681">
        <v>50</v>
      </c>
      <c r="H18" s="1681">
        <v>50</v>
      </c>
      <c r="I18" s="1681"/>
      <c r="J18" s="1691"/>
      <c r="K18" s="1771"/>
      <c r="L18" s="1720"/>
      <c r="M18" s="1720"/>
      <c r="N18" s="1691"/>
      <c r="O18" s="1692"/>
      <c r="P18" s="1691"/>
      <c r="Q18" s="1691"/>
      <c r="R18" s="1691"/>
      <c r="S18" s="1691"/>
      <c r="T18" s="1691"/>
      <c r="U18" s="1691"/>
    </row>
    <row r="19" spans="1:21">
      <c r="A19" s="1760"/>
      <c r="B19" s="1679"/>
      <c r="C19" s="1658" t="s">
        <v>1960</v>
      </c>
      <c r="D19" s="1755">
        <f>IF(B16="出让",IF(D17="","",ROUNDDOWN(MIN((D17-$D$3)/365,D18),2)),D18)</f>
        <v>68.67</v>
      </c>
      <c r="E19" s="1682">
        <f>IF(B16="出让",IF(E17="","",ROUNDDOWN(MIN((E17-$D$3)/365,E18),2)),E18)</f>
        <v>38.65</v>
      </c>
      <c r="F19" s="1682" t="str">
        <f>IF(B16="出让",IF(F17="","",ROUNDDOWN(MIN((F17-$D$3)/365,F18),2)),F18)</f>
        <v/>
      </c>
      <c r="G19" s="1682">
        <f>IF(B16="出让",IF(G17="","",ROUNDDOWN(MIN((G17-$D$3)/365,G18),2)),G18)</f>
        <v>48.66</v>
      </c>
      <c r="H19" s="1682">
        <f>IF(B16="出让",IF(H17="","",ROUNDDOWN(MIN((H17-$D$3)/365,H18),2)),H18)</f>
        <v>48.66</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2060</v>
      </c>
      <c r="D20" s="3327" t="s">
        <v>3250</v>
      </c>
      <c r="E20" s="3328"/>
      <c r="F20" s="3328"/>
      <c r="G20" s="3328"/>
      <c r="H20" s="3328"/>
      <c r="I20" s="3329"/>
      <c r="J20" s="1691"/>
      <c r="K20" s="1771"/>
      <c r="L20" s="1720"/>
      <c r="M20" s="1720"/>
      <c r="N20" s="1691"/>
      <c r="O20" s="1692"/>
      <c r="P20" s="1691"/>
      <c r="Q20" s="1691"/>
      <c r="R20" s="1691"/>
      <c r="S20" s="1691"/>
      <c r="T20" s="1691"/>
      <c r="U20" s="1691"/>
    </row>
    <row r="21" spans="1:21">
      <c r="A21" s="1760" t="s">
        <v>1961</v>
      </c>
      <c r="B21" s="1761" t="s">
        <v>1962</v>
      </c>
      <c r="C21" s="1756">
        <f>'数据-汇总表'!E3</f>
        <v>169816</v>
      </c>
      <c r="D21" s="1757" t="s">
        <v>1963</v>
      </c>
      <c r="E21" s="3317"/>
      <c r="F21" s="3318"/>
      <c r="G21" s="3318"/>
      <c r="H21" s="3318"/>
      <c r="I21" s="3319"/>
      <c r="J21" s="1691"/>
      <c r="K21" s="1771"/>
      <c r="L21" s="1720"/>
      <c r="M21" s="1720"/>
      <c r="N21" s="1691"/>
      <c r="O21" s="1692"/>
      <c r="P21" s="1691"/>
      <c r="Q21" s="1691"/>
      <c r="R21" s="1691"/>
      <c r="S21" s="1691"/>
      <c r="T21" s="1691"/>
      <c r="U21" s="1691"/>
    </row>
    <row r="22" spans="1:21">
      <c r="A22" s="3142" t="s">
        <v>952</v>
      </c>
      <c r="B22" s="1659" t="s">
        <v>1964</v>
      </c>
      <c r="C22" s="1683">
        <f>'数据-汇总表'!D3</f>
        <v>64089.62</v>
      </c>
      <c r="D22" s="1684" t="s">
        <v>1963</v>
      </c>
      <c r="E22" s="3317"/>
      <c r="F22" s="3318"/>
      <c r="G22" s="3318"/>
      <c r="H22" s="3318"/>
      <c r="I22" s="3319"/>
      <c r="J22" s="1691"/>
      <c r="K22" s="1771"/>
      <c r="L22" s="1720"/>
      <c r="M22" s="1720"/>
      <c r="N22" s="1691"/>
      <c r="O22" s="1692"/>
      <c r="P22" s="1691"/>
      <c r="Q22" s="1691"/>
      <c r="R22" s="1691"/>
      <c r="S22" s="1691"/>
      <c r="T22" s="1691"/>
      <c r="U22" s="1691"/>
    </row>
    <row r="23" spans="1:21" ht="43.5" thickBot="1">
      <c r="A23" s="1762" t="s">
        <v>1965</v>
      </c>
      <c r="B23" s="1698" t="s">
        <v>1966</v>
      </c>
      <c r="C23" s="1699" t="s">
        <v>3251</v>
      </c>
      <c r="D23" s="1700" t="s">
        <v>1967</v>
      </c>
      <c r="E23" s="1701" t="s">
        <v>952</v>
      </c>
      <c r="F23" s="1702" t="str">
        <f>IF(AND(C23="是",E23="否"),"是否提供他项权证或相关说明","")</f>
        <v/>
      </c>
      <c r="G23" s="1703" t="s">
        <v>952</v>
      </c>
      <c r="H23" s="1691"/>
      <c r="I23" s="1704"/>
      <c r="J23" s="1691"/>
      <c r="K23" s="1771"/>
      <c r="L23" s="1720"/>
      <c r="M23" s="1720"/>
      <c r="N23" s="1691"/>
      <c r="O23" s="1692"/>
      <c r="P23" s="1691"/>
      <c r="Q23" s="1691"/>
      <c r="R23" s="1691"/>
      <c r="S23" s="1691"/>
      <c r="T23" s="1691"/>
      <c r="U23" s="1691"/>
    </row>
    <row r="24" spans="1:21">
      <c r="A24" s="1747" t="s">
        <v>1968</v>
      </c>
      <c r="B24" s="3320" t="s">
        <v>1969</v>
      </c>
      <c r="C24" s="3321"/>
      <c r="D24" s="3322" t="s">
        <v>1970</v>
      </c>
      <c r="E24" s="3323"/>
      <c r="F24" s="1705" t="s">
        <v>1971</v>
      </c>
      <c r="G24" s="1691"/>
      <c r="H24" s="1691"/>
      <c r="I24" s="1704"/>
      <c r="J24" s="1691"/>
      <c r="K24" s="3308" t="s">
        <v>1972</v>
      </c>
      <c r="L24" s="2454" t="str">
        <f>"根据估价对象"&amp;IF(B26="——",B25&amp;C25,B25&amp;C25&amp;"、"&amp;B26&amp;C26)&amp;"，"&amp;IF(C23="是","截至估价期日，估价对象已设定抵押。","截至估价期日，估价对象抵押权未见登记。")</f>
        <v>根据估价对象、，截至估价期日，估价对象抵押权未见登记。</v>
      </c>
      <c r="M24" s="1720"/>
      <c r="N24" s="1691"/>
      <c r="O24" s="1692"/>
      <c r="P24" s="1691"/>
      <c r="Q24" s="1691"/>
      <c r="R24" s="1691"/>
      <c r="S24" s="1691"/>
      <c r="T24" s="1691"/>
      <c r="U24" s="1691"/>
    </row>
    <row r="25" spans="1:21">
      <c r="A25" s="1748"/>
      <c r="B25" s="1745"/>
      <c r="C25" s="1706"/>
      <c r="D25" s="1707"/>
      <c r="E25" s="1708" t="s">
        <v>952</v>
      </c>
      <c r="F25" s="1709"/>
      <c r="G25" s="1691"/>
      <c r="H25" s="1691"/>
      <c r="I25" s="1704"/>
      <c r="J25" s="1691"/>
      <c r="K25" s="3308"/>
      <c r="L25" s="245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15" thickBot="1">
      <c r="A26" s="1749"/>
      <c r="B26" s="1746"/>
      <c r="C26" s="1706"/>
      <c r="D26" s="1658"/>
      <c r="E26" s="1658"/>
      <c r="F26" s="1685"/>
      <c r="G26" s="1691"/>
      <c r="H26" s="1691"/>
      <c r="I26" s="1704"/>
      <c r="J26" s="1691"/>
      <c r="K26" s="3308"/>
      <c r="L26" s="245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1973</v>
      </c>
      <c r="B27" s="1750" t="s">
        <v>1974</v>
      </c>
      <c r="C27" s="1710"/>
      <c r="D27" s="2648" t="s">
        <v>1974</v>
      </c>
      <c r="E27" s="1711"/>
      <c r="F27" s="1685"/>
      <c r="G27" s="1691"/>
      <c r="H27" s="1691"/>
      <c r="I27" s="1704"/>
      <c r="J27" s="1691"/>
      <c r="K27" s="1771"/>
      <c r="L27" s="1720"/>
      <c r="M27" s="1720"/>
      <c r="N27" s="1691"/>
      <c r="O27" s="1692"/>
      <c r="P27" s="1691"/>
      <c r="Q27" s="1691"/>
      <c r="R27" s="1691"/>
      <c r="S27" s="1691"/>
      <c r="T27" s="1691"/>
      <c r="U27" s="1691"/>
    </row>
    <row r="28" spans="1:21">
      <c r="A28" s="1753"/>
      <c r="B28" s="1750" t="s">
        <v>1975</v>
      </c>
      <c r="C28" s="1712"/>
      <c r="D28" s="2649" t="s">
        <v>1975</v>
      </c>
      <c r="E28" s="1713"/>
      <c r="F28" s="1685"/>
      <c r="G28" s="1691"/>
      <c r="H28" s="1691"/>
      <c r="I28" s="1704"/>
      <c r="J28" s="1691"/>
      <c r="K28" s="1771"/>
      <c r="L28" s="1720"/>
      <c r="M28" s="1720"/>
      <c r="N28" s="1691"/>
      <c r="O28" s="1692"/>
      <c r="P28" s="1691"/>
      <c r="Q28" s="1691"/>
      <c r="R28" s="1691"/>
      <c r="S28" s="1691"/>
      <c r="T28" s="1691"/>
      <c r="U28" s="1691"/>
    </row>
    <row r="29" spans="1:21">
      <c r="A29" s="1753"/>
      <c r="B29" s="1750" t="s">
        <v>1976</v>
      </c>
      <c r="C29" s="1712"/>
      <c r="D29" s="2649" t="s">
        <v>1976</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1977</v>
      </c>
      <c r="C30" s="1714"/>
      <c r="D30" s="2650" t="s">
        <v>1977</v>
      </c>
      <c r="E30" s="1715"/>
      <c r="F30" s="1686"/>
      <c r="G30" s="1739"/>
      <c r="H30" s="1739"/>
      <c r="I30" s="1740"/>
      <c r="J30" s="1691"/>
      <c r="K30" s="1771"/>
      <c r="L30" s="1720"/>
      <c r="M30" s="1720"/>
      <c r="N30" s="1691"/>
      <c r="O30" s="1692"/>
      <c r="P30" s="1691"/>
      <c r="Q30" s="1691"/>
      <c r="R30" s="1691"/>
      <c r="S30" s="1691"/>
      <c r="T30" s="1691"/>
      <c r="U30" s="1691"/>
    </row>
    <row r="31" spans="1:21" ht="15" thickTop="1">
      <c r="A31" s="3335" t="s">
        <v>2001</v>
      </c>
      <c r="B31" s="1761" t="s">
        <v>2002</v>
      </c>
      <c r="C31" s="3333" t="s">
        <v>3252</v>
      </c>
      <c r="D31" s="3334"/>
      <c r="E31" s="1691"/>
      <c r="F31" s="1691"/>
      <c r="G31" s="1691"/>
      <c r="H31" s="1691"/>
      <c r="I31" s="1704"/>
      <c r="J31" s="1691"/>
      <c r="K31" s="2455"/>
      <c r="L31" s="1691"/>
      <c r="M31" s="1691"/>
      <c r="N31" s="1691"/>
      <c r="O31" s="1691"/>
      <c r="P31" s="1691"/>
      <c r="Q31" s="1691"/>
      <c r="R31" s="1691"/>
      <c r="S31" s="1691"/>
      <c r="T31" s="1691"/>
      <c r="U31" s="1691"/>
    </row>
    <row r="32" spans="1:21">
      <c r="A32" s="3335"/>
      <c r="B32" s="1659" t="s">
        <v>2003</v>
      </c>
      <c r="C32" s="1716" t="s">
        <v>3253</v>
      </c>
      <c r="D32" s="1717"/>
      <c r="E32" s="1691"/>
      <c r="F32" s="1691"/>
      <c r="G32" s="1691"/>
      <c r="H32" s="1691"/>
      <c r="I32" s="1704"/>
      <c r="J32" s="1691"/>
      <c r="K32" s="2455"/>
      <c r="L32" s="1691"/>
      <c r="M32" s="1691"/>
      <c r="N32" s="1691"/>
      <c r="O32" s="1691"/>
      <c r="P32" s="1691"/>
      <c r="Q32" s="1691"/>
      <c r="R32" s="1691"/>
      <c r="S32" s="1691"/>
      <c r="T32" s="1691"/>
      <c r="U32" s="1691"/>
    </row>
    <row r="33" spans="1:21">
      <c r="A33" s="3335"/>
      <c r="B33" s="1659" t="s">
        <v>2004</v>
      </c>
      <c r="C33" s="1718" t="s">
        <v>3251</v>
      </c>
      <c r="D33" s="1834"/>
      <c r="E33" s="1691"/>
      <c r="F33" s="1691"/>
      <c r="G33" s="1691"/>
      <c r="H33" s="1691"/>
      <c r="I33" s="1704"/>
      <c r="J33" s="1691"/>
      <c r="K33" s="2455"/>
      <c r="L33" s="1691"/>
      <c r="M33" s="1691"/>
      <c r="N33" s="1691"/>
      <c r="O33" s="1691"/>
      <c r="P33" s="1691"/>
      <c r="Q33" s="1691"/>
      <c r="R33" s="1691"/>
      <c r="S33" s="1691"/>
      <c r="T33" s="1691"/>
      <c r="U33" s="1691"/>
    </row>
    <row r="34" spans="1:21">
      <c r="A34" s="3336"/>
      <c r="B34" s="1659" t="s">
        <v>2005</v>
      </c>
      <c r="C34" s="3337"/>
      <c r="D34" s="3338"/>
      <c r="E34" s="1691"/>
      <c r="F34" s="1691"/>
      <c r="G34" s="1691"/>
      <c r="H34" s="1691"/>
      <c r="I34" s="1704"/>
      <c r="J34" s="1691"/>
      <c r="K34" s="2455"/>
      <c r="L34" s="1691"/>
      <c r="M34" s="1691"/>
      <c r="N34" s="1691"/>
      <c r="O34" s="1691"/>
      <c r="P34" s="1691"/>
      <c r="Q34" s="1691"/>
      <c r="R34" s="1691"/>
      <c r="S34" s="1691"/>
      <c r="T34" s="1691"/>
      <c r="U34" s="1691"/>
    </row>
    <row r="35" spans="1:21" ht="28.5">
      <c r="A35" s="3339" t="s">
        <v>847</v>
      </c>
      <c r="B35" s="1719" t="s">
        <v>3254</v>
      </c>
      <c r="C35" s="1773" t="str">
        <f>IF(B35="场地平整","——","具体情况：")</f>
        <v>具体情况：</v>
      </c>
      <c r="D35" s="3341"/>
      <c r="E35" s="3342"/>
      <c r="F35" s="3342"/>
      <c r="G35" s="3342"/>
      <c r="H35" s="3342"/>
      <c r="I35" s="3343"/>
      <c r="J35" s="1691"/>
      <c r="K35" s="1772"/>
      <c r="L35" s="1720"/>
      <c r="M35" s="1720"/>
      <c r="N35" s="1691"/>
      <c r="O35" s="1692"/>
      <c r="P35" s="1691"/>
      <c r="Q35" s="1691"/>
      <c r="R35" s="1691"/>
      <c r="S35" s="1691"/>
      <c r="T35" s="1691"/>
      <c r="U35" s="1691"/>
    </row>
    <row r="36" spans="1:21">
      <c r="A36" s="3335"/>
      <c r="B36" s="3344" t="s">
        <v>2054</v>
      </c>
      <c r="C36" s="3345"/>
      <c r="D36" s="1789" t="s">
        <v>3255</v>
      </c>
      <c r="E36" s="3346"/>
      <c r="F36" s="3346"/>
      <c r="G36" s="1684" t="str">
        <f>IF(B35="场地未平整","估价结果处理","")</f>
        <v/>
      </c>
      <c r="H36" s="3347"/>
      <c r="I36" s="3347"/>
      <c r="J36" s="1691"/>
      <c r="K36" s="1772"/>
      <c r="L36" s="1720"/>
      <c r="M36" s="1720"/>
      <c r="N36" s="1691"/>
      <c r="O36" s="1692"/>
      <c r="P36" s="1691"/>
      <c r="Q36" s="1691"/>
      <c r="R36" s="1691"/>
      <c r="S36" s="1691"/>
      <c r="T36" s="1691"/>
      <c r="U36" s="1691"/>
    </row>
    <row r="37" spans="1:21" ht="28.5">
      <c r="A37" s="3335"/>
      <c r="B37" s="3324"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335"/>
      <c r="B38" s="3325"/>
      <c r="C38" s="1667" t="s">
        <v>850</v>
      </c>
      <c r="D38" s="1788">
        <f>ROUNDDOWN(MIN(('数据-取费表'!$B$2-D37)/365,D34),1)</f>
        <v>119</v>
      </c>
      <c r="E38" s="1724" t="s">
        <v>851</v>
      </c>
      <c r="F38" s="1691"/>
      <c r="G38" s="1691"/>
      <c r="H38" s="1691"/>
      <c r="I38" s="1704"/>
      <c r="J38" s="1691"/>
      <c r="K38" s="1772"/>
      <c r="L38" s="1691"/>
      <c r="M38" s="1691"/>
      <c r="N38" s="1691"/>
      <c r="O38" s="1691"/>
      <c r="P38" s="1691"/>
      <c r="Q38" s="1691"/>
      <c r="R38" s="1691"/>
      <c r="S38" s="1691"/>
      <c r="T38" s="1691"/>
      <c r="U38" s="1691"/>
    </row>
    <row r="39" spans="1:21">
      <c r="A39" s="3336"/>
      <c r="B39" s="3326"/>
      <c r="C39" s="1694" t="str">
        <f>IF(D38&lt;1,"不存在土地闲置",IF(B35="宗地内已开工建设","已开工，不存在土地闲置","估价对象已涉嫌土地闲置"))</f>
        <v>已开工，不存在土地闲置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1978</v>
      </c>
      <c r="B40" s="1687" t="s">
        <v>3236</v>
      </c>
      <c r="C40" s="1687" t="s">
        <v>3237</v>
      </c>
      <c r="D40" s="1687" t="s">
        <v>3238</v>
      </c>
      <c r="E40" s="1687" t="s">
        <v>952</v>
      </c>
      <c r="F40" s="1687" t="s">
        <v>952</v>
      </c>
      <c r="G40" s="1687" t="s">
        <v>952</v>
      </c>
      <c r="H40" s="1687" t="s">
        <v>952</v>
      </c>
      <c r="I40" s="1704"/>
      <c r="J40" s="1691"/>
      <c r="K40" s="1727">
        <f>COUNTIF(B40:H40,"——")</f>
        <v>4</v>
      </c>
      <c r="L40" s="1696" t="s">
        <v>1979</v>
      </c>
      <c r="M40" s="1693" t="s">
        <v>1980</v>
      </c>
      <c r="N40" s="1693" t="s">
        <v>1981</v>
      </c>
      <c r="O40" s="1693" t="s">
        <v>1982</v>
      </c>
      <c r="P40" s="1693" t="s">
        <v>1983</v>
      </c>
      <c r="Q40" s="1693" t="s">
        <v>1984</v>
      </c>
      <c r="R40" s="1693" t="s">
        <v>1985</v>
      </c>
      <c r="S40" s="3307" t="s">
        <v>1986</v>
      </c>
      <c r="T40" s="1728" t="str">
        <f>NUMBERSTRING(7-K40,1)&amp;"通"</f>
        <v>三通</v>
      </c>
      <c r="U40" s="1691"/>
    </row>
    <row r="41" spans="1:21">
      <c r="A41" s="1661"/>
      <c r="B41" s="3340" t="s">
        <v>1722</v>
      </c>
      <c r="C41" s="3340"/>
      <c r="D41" s="3340"/>
      <c r="E41" s="3340"/>
      <c r="F41" s="1729">
        <f>C10</f>
        <v>0</v>
      </c>
      <c r="G41" s="1691"/>
      <c r="H41" s="1691"/>
      <c r="I41" s="1704"/>
      <c r="J41" s="1691"/>
      <c r="K41" s="1696"/>
      <c r="L41" s="1693" t="str">
        <f>B40</f>
        <v>通路</v>
      </c>
      <c r="M41" s="1730" t="str">
        <f>B40&amp;"、"&amp;C40</f>
        <v>通路、通电</v>
      </c>
      <c r="N41" s="1731" t="str">
        <f>B40&amp;"、"&amp;C40&amp;"、"&amp;D40</f>
        <v>通路、通电、通上水</v>
      </c>
      <c r="O41" s="1731" t="str">
        <f>B40&amp;"、"&amp;C40&amp;"、"&amp;D40&amp;"、"&amp;E40</f>
        <v>通路、通电、通上水、——</v>
      </c>
      <c r="P41" s="1731" t="str">
        <f>B40&amp;"、"&amp;C40&amp;"、"&amp;D40&amp;"、"&amp;E40&amp;"、"&amp;F40</f>
        <v>通路、通电、通上水、——、——</v>
      </c>
      <c r="Q41" s="1731" t="str">
        <f>B40&amp;"、"&amp;C40&amp;"、"&amp;D40&amp;"、"&amp;E40&amp;"、"&amp;F40&amp;"、"&amp;G40</f>
        <v>通路、通电、通上水、——、——、——</v>
      </c>
      <c r="R41" s="1731" t="str">
        <f>B40&amp;"、"&amp;C40&amp;"、"&amp;D40&amp;"、"&amp;E40&amp;"、"&amp;F40&amp;"、"&amp;G40&amp;"、"&amp;H40</f>
        <v>通路、通电、通上水、——、——、——、——</v>
      </c>
      <c r="S41" s="3307"/>
      <c r="T41" s="1730" t="str">
        <f>IF(T40="一通",L41,IF(T40="二通",M41,IF(T40="三通",N41,IF(T40="四通",O41,IF(T40="五通",P41,IF(T40="六通",Q41,R41))))))</f>
        <v>通路、通电、通上水</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t="s">
        <v>1414</v>
      </c>
      <c r="C43" s="1735" t="s">
        <v>1414</v>
      </c>
      <c r="D43" s="1735" t="s">
        <v>1414</v>
      </c>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t="s">
        <v>3256</v>
      </c>
      <c r="C44" s="1735" t="s">
        <v>3256</v>
      </c>
      <c r="D44" s="1735" t="s">
        <v>3256</v>
      </c>
      <c r="E44" s="1789"/>
      <c r="F44" s="1736"/>
      <c r="G44" s="1691"/>
      <c r="H44" s="1691"/>
      <c r="I44" s="1704"/>
      <c r="J44" s="1691"/>
      <c r="K44" s="1771"/>
      <c r="L44" s="1720"/>
      <c r="M44" s="1720"/>
      <c r="N44" s="1691"/>
      <c r="O44" s="1692"/>
      <c r="P44" s="1691"/>
      <c r="Q44" s="1691"/>
      <c r="R44" s="1691"/>
      <c r="S44" s="1691"/>
      <c r="T44" s="1691"/>
      <c r="U44" s="1691"/>
    </row>
    <row r="45" spans="1:21" s="3069" customFormat="1" ht="21" thickBot="1">
      <c r="A45" s="3070" t="s">
        <v>2886</v>
      </c>
      <c r="B45" s="3065"/>
      <c r="C45" s="3065"/>
      <c r="D45" s="3065"/>
      <c r="E45" s="3065"/>
      <c r="F45" s="3065"/>
      <c r="G45" s="3065"/>
      <c r="H45" s="3065"/>
      <c r="I45" s="3066"/>
      <c r="J45" s="3065"/>
      <c r="K45" s="3067"/>
      <c r="L45" s="3068"/>
      <c r="M45" s="3068"/>
      <c r="N45" s="3065"/>
      <c r="O45" s="3066"/>
      <c r="P45" s="3065"/>
      <c r="Q45" s="3065"/>
      <c r="R45" s="3065"/>
      <c r="S45" s="3065"/>
      <c r="T45" s="3065"/>
      <c r="U45" s="3065"/>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2006</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2007</v>
      </c>
      <c r="B48" s="1683" t="s">
        <v>2008</v>
      </c>
      <c r="C48" s="1683" t="s">
        <v>2009</v>
      </c>
      <c r="D48" s="1683" t="s">
        <v>2010</v>
      </c>
      <c r="E48" s="1683" t="s">
        <v>2011</v>
      </c>
      <c r="F48" s="1683" t="s">
        <v>2012</v>
      </c>
      <c r="G48" s="1683" t="s">
        <v>2013</v>
      </c>
      <c r="H48" s="1683" t="s">
        <v>2014</v>
      </c>
      <c r="I48" s="1683" t="s">
        <v>2015</v>
      </c>
      <c r="J48" s="1769" t="s">
        <v>2016</v>
      </c>
      <c r="K48" s="1763" t="s">
        <v>2017</v>
      </c>
      <c r="L48" s="1763" t="s">
        <v>2018</v>
      </c>
      <c r="M48" s="1763" t="s">
        <v>2019</v>
      </c>
      <c r="N48" s="1683" t="s">
        <v>2020</v>
      </c>
      <c r="O48" s="1683" t="s">
        <v>2021</v>
      </c>
      <c r="P48" s="1683" t="s">
        <v>2022</v>
      </c>
      <c r="Q48" s="1696" t="s">
        <v>2023</v>
      </c>
      <c r="R48" s="1696" t="s">
        <v>2024</v>
      </c>
      <c r="S48" s="1691"/>
      <c r="T48" s="1691"/>
      <c r="U48" s="1691"/>
    </row>
    <row r="49" spans="1:21">
      <c r="A49" s="1693"/>
      <c r="B49" s="1727"/>
      <c r="C49" s="1727"/>
      <c r="D49" s="1727"/>
      <c r="E49" s="1727"/>
      <c r="F49" s="1727"/>
      <c r="G49" s="1727"/>
      <c r="H49" s="1727"/>
      <c r="I49" s="1727"/>
      <c r="J49" s="1835"/>
      <c r="K49" s="1836"/>
      <c r="L49" s="1836"/>
      <c r="M49" s="1727"/>
      <c r="N49" s="1727"/>
      <c r="O49" s="1727"/>
      <c r="P49" s="1727"/>
      <c r="Q49" s="1727"/>
      <c r="R49" s="1727"/>
      <c r="S49" s="1691"/>
      <c r="T49" s="1691"/>
      <c r="U49" s="1691"/>
    </row>
    <row r="50" spans="1:21">
      <c r="A50" s="1693"/>
      <c r="B50" s="1693"/>
      <c r="C50" s="1727"/>
      <c r="D50" s="1727"/>
      <c r="E50" s="1727"/>
      <c r="F50" s="1727"/>
      <c r="G50" s="1727"/>
      <c r="H50" s="1727"/>
      <c r="I50" s="1727"/>
      <c r="J50" s="1835"/>
      <c r="K50" s="1836"/>
      <c r="L50" s="1836"/>
      <c r="M50" s="1727"/>
      <c r="N50" s="1727"/>
      <c r="O50" s="1727"/>
      <c r="P50" s="1727"/>
      <c r="Q50" s="1727"/>
      <c r="R50" s="1727"/>
      <c r="S50" s="1691"/>
      <c r="T50" s="1691"/>
      <c r="U50" s="1691"/>
    </row>
    <row r="51" spans="1:21">
      <c r="A51" s="1693"/>
      <c r="B51" s="1693"/>
      <c r="C51" s="1727"/>
      <c r="D51" s="1727"/>
      <c r="E51" s="1727"/>
      <c r="F51" s="1727"/>
      <c r="G51" s="1727"/>
      <c r="H51" s="1727"/>
      <c r="I51" s="1727"/>
      <c r="J51" s="1835"/>
      <c r="K51" s="1836"/>
      <c r="L51" s="1836"/>
      <c r="M51" s="1727"/>
      <c r="N51" s="1727"/>
      <c r="O51" s="1727"/>
      <c r="P51" s="1727"/>
      <c r="Q51" s="1727"/>
      <c r="R51" s="1727"/>
      <c r="S51" s="1691"/>
      <c r="T51" s="1691"/>
      <c r="U51" s="1691"/>
    </row>
    <row r="52" spans="1:21">
      <c r="A52" s="1693"/>
      <c r="B52" s="1693"/>
      <c r="C52" s="1727"/>
      <c r="D52" s="1727"/>
      <c r="E52" s="1727"/>
      <c r="F52" s="1727"/>
      <c r="G52" s="1727"/>
      <c r="H52" s="1727"/>
      <c r="I52" s="1727"/>
      <c r="J52" s="1835"/>
      <c r="K52" s="1836"/>
      <c r="L52" s="1836"/>
      <c r="M52" s="1727"/>
      <c r="N52" s="1727"/>
      <c r="O52" s="1727"/>
      <c r="P52" s="1727"/>
      <c r="Q52" s="1727"/>
      <c r="R52" s="1727"/>
      <c r="S52" s="1691"/>
      <c r="T52" s="1691"/>
      <c r="U52" s="1691"/>
    </row>
    <row r="53" spans="1:21">
      <c r="A53" s="1693"/>
      <c r="B53" s="1693"/>
      <c r="C53" s="1727"/>
      <c r="D53" s="1727"/>
      <c r="E53" s="1727"/>
      <c r="F53" s="1727"/>
      <c r="G53" s="1727"/>
      <c r="H53" s="1727"/>
      <c r="I53" s="1727"/>
      <c r="J53" s="1835"/>
      <c r="K53" s="1836"/>
      <c r="L53" s="1836"/>
      <c r="M53" s="1727"/>
      <c r="N53" s="1727"/>
      <c r="O53" s="1727"/>
      <c r="P53" s="1727"/>
      <c r="Q53" s="1727"/>
      <c r="R53" s="1727"/>
      <c r="S53" s="1691"/>
      <c r="T53" s="1691"/>
      <c r="U53" s="1691"/>
    </row>
    <row r="54" spans="1:21">
      <c r="A54" s="1693"/>
      <c r="B54" s="1693"/>
      <c r="C54" s="1693"/>
      <c r="D54" s="1693"/>
      <c r="E54" s="1693"/>
      <c r="F54" s="1727"/>
      <c r="G54" s="1693"/>
      <c r="H54" s="1693"/>
      <c r="I54" s="1693"/>
      <c r="J54" s="1837"/>
      <c r="K54" s="1836"/>
      <c r="L54" s="1836"/>
      <c r="M54" s="1836"/>
      <c r="N54" s="1693"/>
      <c r="O54" s="1693"/>
      <c r="P54" s="1693"/>
      <c r="Q54" s="1693"/>
      <c r="R54" s="1693"/>
      <c r="S54" s="1691"/>
      <c r="T54" s="1691"/>
      <c r="U54" s="1691"/>
    </row>
    <row r="55" spans="1:21">
      <c r="A55" s="1693"/>
      <c r="B55" s="1693"/>
      <c r="C55" s="1693"/>
      <c r="D55" s="1693"/>
      <c r="E55" s="1693"/>
      <c r="F55" s="1727"/>
      <c r="G55" s="1693"/>
      <c r="H55" s="1693"/>
      <c r="I55" s="1693"/>
      <c r="J55" s="1837"/>
      <c r="K55" s="1836"/>
      <c r="L55" s="1836"/>
      <c r="M55" s="1836"/>
      <c r="N55" s="1693"/>
      <c r="O55" s="1693"/>
      <c r="P55" s="1693"/>
      <c r="Q55" s="1693"/>
      <c r="R55" s="1693"/>
      <c r="S55" s="1691"/>
      <c r="T55" s="1691"/>
      <c r="U55" s="1691"/>
    </row>
    <row r="56" spans="1:21">
      <c r="A56" s="1693"/>
      <c r="B56" s="1693"/>
      <c r="C56" s="1693"/>
      <c r="D56" s="1693"/>
      <c r="E56" s="1693"/>
      <c r="F56" s="1727"/>
      <c r="G56" s="1693"/>
      <c r="H56" s="1693"/>
      <c r="I56" s="1693"/>
      <c r="J56" s="1837"/>
      <c r="K56" s="1836"/>
      <c r="L56" s="1836"/>
      <c r="M56" s="1836"/>
      <c r="N56" s="1693"/>
      <c r="O56" s="1693"/>
      <c r="P56" s="1693"/>
      <c r="Q56" s="1693"/>
      <c r="R56" s="1693"/>
      <c r="S56" s="1691"/>
      <c r="T56" s="1691"/>
      <c r="U56" s="1691"/>
    </row>
    <row r="57" spans="1:21">
      <c r="A57" s="1693"/>
      <c r="B57" s="1693"/>
      <c r="C57" s="1693"/>
      <c r="D57" s="1693"/>
      <c r="E57" s="1693"/>
      <c r="F57" s="1727"/>
      <c r="G57" s="1693"/>
      <c r="H57" s="1693"/>
      <c r="I57" s="1693"/>
      <c r="J57" s="1837"/>
      <c r="K57" s="1836"/>
      <c r="L57" s="1836"/>
      <c r="M57" s="1836"/>
      <c r="N57" s="1693"/>
      <c r="O57" s="1693"/>
      <c r="P57" s="1693"/>
      <c r="Q57" s="1693"/>
      <c r="R57" s="1693"/>
      <c r="S57" s="1691"/>
      <c r="T57" s="1691"/>
      <c r="U57" s="1691"/>
    </row>
    <row r="58" spans="1:21">
      <c r="A58" s="1693"/>
      <c r="B58" s="1693"/>
      <c r="C58" s="1693"/>
      <c r="D58" s="1693"/>
      <c r="E58" s="1693"/>
      <c r="F58" s="1727"/>
      <c r="G58" s="1693"/>
      <c r="H58" s="1693"/>
      <c r="I58" s="1693"/>
      <c r="J58" s="1837"/>
      <c r="K58" s="1836"/>
      <c r="L58" s="1836"/>
      <c r="M58" s="1836"/>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2" fitToHeight="0"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142</vt:i4>
      </vt:variant>
    </vt:vector>
  </HeadingPairs>
  <TitlesOfParts>
    <vt:vector size="189" baseType="lpstr">
      <vt:lpstr>致函链接</vt:lpstr>
      <vt:lpstr>预评函-封皮</vt:lpstr>
      <vt:lpstr>预评函-1</vt:lpstr>
      <vt:lpstr>预评函-1 (储备)</vt:lpstr>
      <vt:lpstr>预评函-2</vt:lpstr>
      <vt:lpstr>预评函-3</vt:lpstr>
      <vt:lpstr>使用说明</vt:lpstr>
      <vt:lpstr>估价师及机构信息</vt:lpstr>
      <vt:lpstr>项目基本情况</vt:lpstr>
      <vt:lpstr>数据-基础表</vt:lpstr>
      <vt:lpstr>抵押物清单（分楼）</vt:lpstr>
      <vt:lpstr>面积规证</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vt:lpstr>
      <vt:lpstr>定义</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不动产收益法（商业）</vt:lpstr>
      <vt:lpstr>不动产收益法（仓储）</vt:lpstr>
      <vt:lpstr>不动产收益法（车库）</vt:lpstr>
      <vt:lpstr>土地案例</vt:lpstr>
      <vt:lpstr>Sheet1</vt:lpstr>
      <vt:lpstr>典型户型修正</vt:lpstr>
      <vt:lpstr>存贷款利率</vt:lpstr>
      <vt:lpstr>'比较法-住宅、综合'!Print_Area</vt:lpstr>
      <vt:lpstr>'不动产收益）'!Print_Area</vt:lpstr>
      <vt:lpstr>不动产收益法!Print_Area</vt:lpstr>
      <vt:lpstr>'不动产收益法（仓储）'!Print_Area</vt:lpstr>
      <vt:lpstr>'不动产收益法（车库）'!Print_Area</vt:lpstr>
      <vt:lpstr>'不动产收益法（商业）'!Print_Area</vt:lpstr>
      <vt:lpstr>估价对象房地状况!Print_Area</vt:lpstr>
      <vt:lpstr>结果表!Print_Area</vt:lpstr>
      <vt:lpstr>'剩余法-待开发'!Print_Area</vt:lpstr>
      <vt:lpstr>'数据-汇总表'!Print_Area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2018-09-25T09:43:36Z</cp:lastPrinted>
  <dcterms:created xsi:type="dcterms:W3CDTF">2015-07-13T07:17:23Z</dcterms:created>
  <dcterms:modified xsi:type="dcterms:W3CDTF">2019-02-11T01:58:03Z</dcterms:modified>
</cp:coreProperties>
</file>