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2030" windowHeight="1005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区片价!$K$1:$K$21</definedName>
    <definedName name="二级分类" localSheetId="18">[1]修正!$C$17:$C$39</definedName>
    <definedName name="二级分类">修正!$C$19:$C$51</definedName>
    <definedName name="法定最高年限" localSheetId="18">[1]定义!$G$2:$G$4</definedName>
    <definedName name="法定最高年限">定义!$G$2:$G$5</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范围判定">定义!$D$1:$D$4</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地价!$A$2:$A$41</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区片价!$R$1:$R$51</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区片价!$O$1:$O$64</definedName>
    <definedName name="内部装修维护情况" localSheetId="18">[1]定义!$U$1:$U$6</definedName>
    <definedName name="内部装修维护情况">定义!$U$1:$U$6</definedName>
    <definedName name="判定">[1]定义!$D$1:$D$4</definedName>
    <definedName name="七级">区片价!$P$1:$P$45</definedName>
    <definedName name="七通一平" localSheetId="18">[1]修正!$A$6:$A$14</definedName>
    <definedName name="七通一平">修正!$A$8:$A$16</definedName>
    <definedName name="区域土地利用方向" localSheetId="18">[1]定义!$P$1:$P$6</definedName>
    <definedName name="区域土地利用方向">定义!$P$1:$P$6</definedName>
    <definedName name="三级">区片价!$L$1:$L$26</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修正!$C$71:$C$139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区片价!$M$1:$M$33</definedName>
    <definedName name="套工工程地质条件" localSheetId="18">'[1]比较法-工业'!$B$116:$M$116</definedName>
    <definedName name="套工工程地质条件">'比较法-工业'!$B$115:$M$115</definedName>
    <definedName name="套工交易情况" localSheetId="18">'[1]比较法-住宅、综合'!$A$75:$M$75</definedName>
    <definedName name="套工交易情况">'比较法-住宅、综合'!$A$74:$M$74</definedName>
    <definedName name="套工开发程度" localSheetId="18">'[1]比较法-工业'!$B$114:$M$114</definedName>
    <definedName name="套工开发程度">'比较法-工业'!$B$113:$M$113</definedName>
    <definedName name="套工临街等级" localSheetId="18">'[1]比较法-工业'!$B$99:$M$99</definedName>
    <definedName name="套工临街等级">'比较法-工业'!$B$98:$M$98</definedName>
    <definedName name="套工土地级别" localSheetId="18">'[1]比较法-工业'!$B$101:$M$101</definedName>
    <definedName name="套工土地级别">'比较法-工业'!$B$100:$M$100</definedName>
    <definedName name="套工用途" localSheetId="18">'[1]比较法-工业'!$B$72:$M$72</definedName>
    <definedName name="套工用途">'比较法-工业'!$B$71:$M$71</definedName>
    <definedName name="套工宗地形状" localSheetId="18">'[1]比较法-工业'!$B$112:$M$112</definedName>
    <definedName name="套工宗地形状">'比较法-工业'!$B$111:$M$111</definedName>
    <definedName name="套综道路等级" localSheetId="18">'[1]比较法-住宅、综合'!$B$108:$M$108</definedName>
    <definedName name="套综道路等级">'比较法-住宅、综合'!$B$107:$M$107</definedName>
    <definedName name="套综工程地质条件" localSheetId="18">'[1]比较法-住宅、综合'!$B$127:$M$127</definedName>
    <definedName name="套综工程地质条件">'比较法-住宅、综合'!$B$126:$M$126</definedName>
    <definedName name="套综交易情况" localSheetId="18">'[1]比较法-住宅、综合'!$A$75:$M$75</definedName>
    <definedName name="套综交易情况">'比较法-住宅、综合'!$A$74:$M$74</definedName>
    <definedName name="套综临街宽度及深度" localSheetId="18">'[1]比较法-住宅、综合'!$B$123:$M$123</definedName>
    <definedName name="套综临街宽度及深度">'比较法-住宅、综合'!$B$122:$M$122</definedName>
    <definedName name="套综土地级别" localSheetId="18">'[1]比较法-住宅、综合'!$B$110:$M$110</definedName>
    <definedName name="套综土地级别">'比较法-住宅、综合'!$B$109:$M$109</definedName>
    <definedName name="套综用途" localSheetId="18">'[1]比较法-住宅、综合'!$B$77:$M$77</definedName>
    <definedName name="套综用途">'比较法-住宅、综合'!$B$76:$M$76</definedName>
    <definedName name="套综宗地内开发程度" localSheetId="18">'[1]比较法-住宅、综合'!$B$125:$M$125</definedName>
    <definedName name="套综宗地内开发程度">'比较法-住宅、综合'!$B$124:$M$124</definedName>
    <definedName name="套综宗地形状" localSheetId="18">'[1]比较法-住宅、综合'!$B$121:$M$121</definedName>
    <definedName name="套综宗地形状">'比较法-住宅、综合'!$B$120:$M$120</definedName>
    <definedName name="土地估价师" localSheetId="18">[1]估价师及机构信息!$D$3:$D$16</definedName>
    <definedName name="土地估价师">估价师及机构信息!$D$3:$D$17</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定义!$E$2:$E$4</definedName>
    <definedName name="五等判定" localSheetId="18">[1]定义!$W$1:$W$6</definedName>
    <definedName name="五等判定">定义!$W$1:$W$6</definedName>
    <definedName name="五级">区片价!$N$1:$N$41</definedName>
    <definedName name="项目类型" localSheetId="18">'[1]数据-汇总表'!$C$17:$C$26</definedName>
    <definedName name="项目类型" localSheetId="33">'[2]数据-汇总表'!$C$17:$C$26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区片价!$J$1:$J$6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定义!$F$1:$F$12</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40" i="39" l="1"/>
  <c r="G40" i="39"/>
  <c r="I48" i="39"/>
  <c r="G48" i="39"/>
  <c r="I9" i="39"/>
  <c r="G9" i="39"/>
  <c r="D3" i="4"/>
  <c r="K23" i="33" l="1"/>
  <c r="B17" i="3" l="1"/>
  <c r="E48" i="39" l="1"/>
  <c r="E40" i="39"/>
  <c r="D119" i="39"/>
  <c r="E119" i="39" s="1"/>
  <c r="F119" i="39" s="1"/>
  <c r="G119" i="39" s="1"/>
  <c r="H119" i="39" s="1"/>
  <c r="E118" i="39"/>
  <c r="F118" i="39" s="1"/>
  <c r="G118" i="39" s="1"/>
  <c r="H118" i="39" s="1"/>
  <c r="D118" i="39"/>
  <c r="D72" i="39"/>
  <c r="E72" i="39" s="1"/>
  <c r="F72" i="39" s="1"/>
  <c r="G72" i="39" s="1"/>
  <c r="H72" i="39" s="1"/>
  <c r="I72" i="39" s="1"/>
  <c r="J72" i="39" s="1"/>
  <c r="K72" i="39" s="1"/>
  <c r="L72" i="39" s="1"/>
  <c r="M72" i="39" s="1"/>
  <c r="N72" i="39" s="1"/>
  <c r="O72" i="39" s="1"/>
  <c r="P72" i="39" s="1"/>
  <c r="Q72" i="39" s="1"/>
  <c r="R72" i="39" s="1"/>
  <c r="S72" i="39" s="1"/>
  <c r="T72" i="39" s="1"/>
  <c r="U72" i="39" s="1"/>
  <c r="V72" i="39" s="1"/>
  <c r="W72" i="39" s="1"/>
  <c r="X72" i="39" s="1"/>
  <c r="Y72" i="39" s="1"/>
  <c r="Z72" i="39" s="1"/>
  <c r="AA72" i="39" s="1"/>
  <c r="E9" i="39"/>
  <c r="E7" i="39"/>
  <c r="W17" i="72"/>
  <c r="W18" i="72" s="1"/>
  <c r="X16" i="72"/>
  <c r="X15" i="72"/>
  <c r="X14" i="72"/>
  <c r="B35" i="1"/>
  <c r="F19" i="6"/>
  <c r="F35" i="6" s="1"/>
  <c r="W19" i="72" l="1"/>
  <c r="X18" i="72"/>
  <c r="X17" i="72"/>
  <c r="W20" i="72" l="1"/>
  <c r="X19" i="72"/>
  <c r="X20" i="72" l="1"/>
  <c r="X21" i="72" s="1"/>
  <c r="B3" i="69" l="1"/>
  <c r="C7" i="69" s="1"/>
  <c r="C5" i="69" l="1"/>
  <c r="C6" i="69"/>
  <c r="C13" i="46" l="1"/>
  <c r="L37" i="46"/>
  <c r="P37" i="46" s="1"/>
  <c r="Q36" i="46"/>
  <c r="P36" i="46"/>
  <c r="O36" i="46"/>
  <c r="N36" i="46"/>
  <c r="M36"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M37" i="46" l="1"/>
  <c r="O37" i="46"/>
  <c r="Q37" i="46"/>
  <c r="S5" i="46"/>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T29" i="70"/>
  <c r="T25" i="70"/>
  <c r="W25" i="70" s="1"/>
  <c r="AB30" i="70"/>
  <c r="AA30" i="70"/>
  <c r="Z30" i="70"/>
  <c r="AB29" i="70"/>
  <c r="AA29" i="70"/>
  <c r="Z29" i="70"/>
  <c r="AB28" i="70"/>
  <c r="AA28" i="70"/>
  <c r="Z28" i="70"/>
  <c r="AB27" i="70"/>
  <c r="AA27" i="70"/>
  <c r="Z27" i="70"/>
  <c r="AB26" i="70"/>
  <c r="AA26" i="70"/>
  <c r="Z26" i="70"/>
  <c r="AB25" i="70"/>
  <c r="AA25" i="70"/>
  <c r="AA20" i="70" s="1"/>
  <c r="AD20" i="70" s="1"/>
  <c r="Z25" i="70"/>
  <c r="AB24" i="70"/>
  <c r="AA24" i="70"/>
  <c r="Z24" i="70"/>
  <c r="AD23" i="70"/>
  <c r="AB23" i="70"/>
  <c r="AA23" i="70"/>
  <c r="Z23" i="70"/>
  <c r="AB22" i="70"/>
  <c r="AB20" i="70" s="1"/>
  <c r="AA22" i="70"/>
  <c r="Z22"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A9" i="70"/>
  <c r="AD9" i="70" s="1"/>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T20" i="70"/>
  <c r="W20" i="70" s="1"/>
  <c r="W13" i="70"/>
  <c r="N30" i="70"/>
  <c r="M30" i="70"/>
  <c r="P30" i="70" s="1"/>
  <c r="L30" i="70"/>
  <c r="I30" i="70"/>
  <c r="AD30" i="70" s="1"/>
  <c r="N29" i="70"/>
  <c r="U29" i="70" s="1"/>
  <c r="M29" i="70"/>
  <c r="P29" i="70" s="1"/>
  <c r="L29" i="70"/>
  <c r="S29" i="70" s="1"/>
  <c r="I29" i="70"/>
  <c r="AD29" i="70" s="1"/>
  <c r="N28" i="70"/>
  <c r="U28" i="70" s="1"/>
  <c r="M28" i="70"/>
  <c r="P28" i="70" s="1"/>
  <c r="L28" i="70"/>
  <c r="S28" i="70" s="1"/>
  <c r="I28" i="70"/>
  <c r="AD28" i="70" s="1"/>
  <c r="N27" i="70"/>
  <c r="U27" i="70" s="1"/>
  <c r="M27" i="70"/>
  <c r="P27" i="70" s="1"/>
  <c r="L27" i="70"/>
  <c r="S27" i="70" s="1"/>
  <c r="I27" i="70"/>
  <c r="AD27" i="70" s="1"/>
  <c r="N26" i="70"/>
  <c r="U26" i="70" s="1"/>
  <c r="M26" i="70"/>
  <c r="P26" i="70" s="1"/>
  <c r="L26" i="70"/>
  <c r="S26" i="70" s="1"/>
  <c r="I26" i="70"/>
  <c r="AD26" i="70" s="1"/>
  <c r="N25" i="70"/>
  <c r="U25" i="70" s="1"/>
  <c r="M25" i="70"/>
  <c r="P25" i="70" s="1"/>
  <c r="L25" i="70"/>
  <c r="S25" i="70" s="1"/>
  <c r="I25" i="70"/>
  <c r="N24" i="70"/>
  <c r="M24" i="70"/>
  <c r="P24" i="70" s="1"/>
  <c r="L24" i="70"/>
  <c r="I24" i="70"/>
  <c r="AD24" i="70" s="1"/>
  <c r="N23" i="70"/>
  <c r="M23" i="70"/>
  <c r="P23" i="70" s="1"/>
  <c r="L23" i="70"/>
  <c r="I23" i="70"/>
  <c r="N22" i="70"/>
  <c r="M22" i="70"/>
  <c r="P22" i="70" s="1"/>
  <c r="L22" i="70"/>
  <c r="I22" i="70"/>
  <c r="AD22" i="70" s="1"/>
  <c r="N20" i="70"/>
  <c r="M20" i="70"/>
  <c r="P20" i="70" s="1"/>
  <c r="L20" i="70"/>
  <c r="G20" i="70"/>
  <c r="F20" i="70"/>
  <c r="I20" i="70" s="1"/>
  <c r="E20" i="70"/>
  <c r="O13" i="70"/>
  <c r="N13" i="70"/>
  <c r="M13" i="70"/>
  <c r="P13" i="70" s="1"/>
  <c r="L13" i="70"/>
  <c r="K13" i="70"/>
  <c r="I13" i="70"/>
  <c r="O12" i="70"/>
  <c r="V12" i="70" s="1"/>
  <c r="N12" i="70"/>
  <c r="U12" i="70" s="1"/>
  <c r="M12" i="70"/>
  <c r="T12" i="70" s="1"/>
  <c r="W12" i="70" s="1"/>
  <c r="L12" i="70"/>
  <c r="S12" i="70" s="1"/>
  <c r="K12" i="70"/>
  <c r="R12" i="70" s="1"/>
  <c r="I12" i="70"/>
  <c r="O11" i="70"/>
  <c r="V11" i="70" s="1"/>
  <c r="N11" i="70"/>
  <c r="U11" i="70" s="1"/>
  <c r="M11" i="70"/>
  <c r="P11" i="70" s="1"/>
  <c r="L11" i="70"/>
  <c r="S11" i="70" s="1"/>
  <c r="K11" i="70"/>
  <c r="R11" i="70" s="1"/>
  <c r="I11" i="70"/>
  <c r="P10" i="70"/>
  <c r="O10" i="70"/>
  <c r="V10" i="70" s="1"/>
  <c r="N10" i="70"/>
  <c r="U10" i="70" s="1"/>
  <c r="M10" i="70"/>
  <c r="T10" i="70" s="1"/>
  <c r="W10" i="70" s="1"/>
  <c r="L10" i="70"/>
  <c r="S10" i="70" s="1"/>
  <c r="K10" i="70"/>
  <c r="R10" i="70" s="1"/>
  <c r="I10" i="70"/>
  <c r="O9" i="70"/>
  <c r="V9" i="70" s="1"/>
  <c r="N9" i="70"/>
  <c r="U9" i="70" s="1"/>
  <c r="M9" i="70"/>
  <c r="P9" i="70" s="1"/>
  <c r="L9" i="70"/>
  <c r="S9" i="70" s="1"/>
  <c r="K9" i="70"/>
  <c r="R9" i="70" s="1"/>
  <c r="I9" i="70"/>
  <c r="O8" i="70"/>
  <c r="N8" i="70"/>
  <c r="M8" i="70"/>
  <c r="T8" i="70" s="1"/>
  <c r="W8" i="70" s="1"/>
  <c r="L8" i="70"/>
  <c r="K8" i="70"/>
  <c r="I8" i="70"/>
  <c r="O7" i="70"/>
  <c r="N7" i="70"/>
  <c r="M7" i="70"/>
  <c r="P7" i="70" s="1"/>
  <c r="L7" i="70"/>
  <c r="K7" i="70"/>
  <c r="R7" i="70" s="1"/>
  <c r="I7" i="70"/>
  <c r="P6" i="70"/>
  <c r="O6" i="70"/>
  <c r="N6" i="70"/>
  <c r="M6" i="70"/>
  <c r="L6" i="70"/>
  <c r="K6" i="70"/>
  <c r="I6" i="70"/>
  <c r="O5" i="70"/>
  <c r="O3" i="70" s="1"/>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K3" i="70" l="1"/>
  <c r="U7" i="70"/>
  <c r="P8" i="70"/>
  <c r="S24" i="70"/>
  <c r="T11" i="70"/>
  <c r="W11" i="70" s="1"/>
  <c r="T28" i="70"/>
  <c r="W28" i="70" s="1"/>
  <c r="F6" i="1"/>
  <c r="V7" i="70"/>
  <c r="V8" i="70"/>
  <c r="E21" i="46"/>
  <c r="P12" i="70"/>
  <c r="U22" i="70"/>
  <c r="Z20" i="70"/>
  <c r="T26" i="70"/>
  <c r="W26" i="70" s="1"/>
  <c r="R8" i="70"/>
  <c r="AD25" i="70"/>
  <c r="L3" i="70"/>
  <c r="T27" i="70"/>
  <c r="W27" i="70" s="1"/>
  <c r="N3" i="70"/>
  <c r="U8" i="70"/>
  <c r="T9" i="70"/>
  <c r="W9" i="70" s="1"/>
  <c r="Y3" i="70"/>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E24" i="69"/>
  <c r="F23" i="69"/>
  <c r="F24" i="69" s="1"/>
  <c r="F25" i="69" s="1"/>
  <c r="E23" i="69"/>
  <c r="G23" i="69" s="1"/>
  <c r="E22" i="69"/>
  <c r="G22" i="69" s="1"/>
  <c r="F12" i="69"/>
  <c r="F11" i="69"/>
  <c r="C18" i="69" s="1"/>
  <c r="D7" i="69"/>
  <c r="D6" i="69"/>
  <c r="D5" i="69"/>
  <c r="C15"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D11" i="68" s="1"/>
  <c r="E11" i="68" s="1"/>
  <c r="E7" i="68" s="1"/>
  <c r="C27" i="68" s="1"/>
  <c r="R13" i="68"/>
  <c r="R12" i="68"/>
  <c r="D12" i="68"/>
  <c r="R11" i="68"/>
  <c r="R10" i="68"/>
  <c r="D10" i="68"/>
  <c r="R9" i="68"/>
  <c r="D9" i="68"/>
  <c r="R8" i="68"/>
  <c r="R7" i="68"/>
  <c r="R4" i="68"/>
  <c r="R3" i="68"/>
  <c r="D7" i="68" l="1"/>
  <c r="C26" i="68" s="1"/>
  <c r="R14" i="68"/>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c r="AD24" i="59"/>
  <c r="AE25" i="59"/>
  <c r="AF25" i="59"/>
  <c r="AG25" i="59"/>
  <c r="AH25" i="59"/>
  <c r="AD25" i="59"/>
  <c r="Q25" i="59"/>
  <c r="P25" i="59"/>
  <c r="E25" i="59" s="1"/>
  <c r="O25" i="59"/>
  <c r="C25" i="59" s="1"/>
  <c r="N25" i="59"/>
  <c r="N26" i="59"/>
  <c r="X26" i="59" s="1"/>
  <c r="Q26" i="59"/>
  <c r="P26" i="59"/>
  <c r="O26" i="59"/>
  <c r="K59" i="15"/>
  <c r="P62" i="15" s="1"/>
  <c r="Q74" i="44"/>
  <c r="Q61" i="44"/>
  <c r="Q60" i="44"/>
  <c r="Q53" i="44"/>
  <c r="J51" i="44"/>
  <c r="J52" i="44" s="1"/>
  <c r="M48" i="44"/>
  <c r="A16" i="55"/>
  <c r="A15" i="55"/>
  <c r="B66" i="63" s="1"/>
  <c r="A10" i="55"/>
  <c r="B61" i="63" s="1"/>
  <c r="A9" i="55"/>
  <c r="B60" i="63" s="1"/>
  <c r="A8" i="55"/>
  <c r="B59" i="63" s="1"/>
  <c r="A6" i="54"/>
  <c r="B49" i="63" s="1"/>
  <c r="A8" i="54"/>
  <c r="B53" i="63" s="1"/>
  <c r="A7" i="54"/>
  <c r="A27" i="51"/>
  <c r="B20" i="63" s="1"/>
  <c r="Q27" i="59"/>
  <c r="O27" i="59"/>
  <c r="N28" i="59"/>
  <c r="O28" i="59"/>
  <c r="P28" i="59"/>
  <c r="Q28" i="59"/>
  <c r="N27" i="59"/>
  <c r="X27" i="59" s="1"/>
  <c r="P27" i="59"/>
  <c r="B29" i="59"/>
  <c r="K75" i="9"/>
  <c r="K6" i="4"/>
  <c r="K76" i="9" s="1"/>
  <c r="O76" i="9"/>
  <c r="L76" i="9"/>
  <c r="B22" i="31"/>
  <c r="E15" i="66"/>
  <c r="F15" i="66"/>
  <c r="E16" i="66"/>
  <c r="F16" i="66"/>
  <c r="E17" i="66"/>
  <c r="F17" i="66"/>
  <c r="E18" i="66"/>
  <c r="F18" i="66"/>
  <c r="E19" i="66"/>
  <c r="F19" i="66"/>
  <c r="E20" i="66"/>
  <c r="F20" i="66"/>
  <c r="E21" i="66"/>
  <c r="F21" i="66"/>
  <c r="E22" i="66"/>
  <c r="F22" i="66"/>
  <c r="E23" i="66"/>
  <c r="F23" i="66"/>
  <c r="B3" i="66"/>
  <c r="B25" i="59"/>
  <c r="B24" i="59"/>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c r="AG41" i="59"/>
  <c r="AH41" i="59"/>
  <c r="X33" i="59"/>
  <c r="AA36" i="59"/>
  <c r="AA37" i="59"/>
  <c r="X39"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C55" i="10"/>
  <c r="C54" i="10"/>
  <c r="B44" i="63"/>
  <c r="B40" i="63"/>
  <c r="B30" i="63"/>
  <c r="B27" i="63"/>
  <c r="B25" i="63"/>
  <c r="A11" i="51"/>
  <c r="B10" i="63" s="1"/>
  <c r="A26" i="64"/>
  <c r="A26" i="51"/>
  <c r="B19" i="63" s="1"/>
  <c r="K40" i="9"/>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F88" i="59" s="1"/>
  <c r="F87" i="59" s="1"/>
  <c r="E89" i="59"/>
  <c r="E88" i="59" s="1"/>
  <c r="E87" i="59" s="1"/>
  <c r="C89" i="59"/>
  <c r="C88" i="59" s="1"/>
  <c r="D89" i="59"/>
  <c r="B89" i="59"/>
  <c r="B88" i="59" s="1"/>
  <c r="B87" i="59" s="1"/>
  <c r="D86" i="59"/>
  <c r="F85" i="59"/>
  <c r="E85" i="59"/>
  <c r="E84" i="59"/>
  <c r="E83" i="59" s="1"/>
  <c r="C85" i="59"/>
  <c r="D85" i="59" s="1"/>
  <c r="B85" i="59"/>
  <c r="F84" i="59"/>
  <c r="F83" i="59"/>
  <c r="B84" i="59"/>
  <c r="B83" i="59" s="1"/>
  <c r="D82" i="59"/>
  <c r="Q81" i="59"/>
  <c r="P81" i="59"/>
  <c r="O81" i="59"/>
  <c r="N81" i="59"/>
  <c r="F81" i="59"/>
  <c r="F80" i="59" s="1"/>
  <c r="F79" i="59" s="1"/>
  <c r="V81" i="59"/>
  <c r="E81" i="59"/>
  <c r="C81" i="59"/>
  <c r="T81" i="59" s="1"/>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D77" i="59" s="1"/>
  <c r="B77" i="59"/>
  <c r="S77" i="59"/>
  <c r="Q76" i="59"/>
  <c r="P76" i="59"/>
  <c r="O76" i="59"/>
  <c r="N76" i="59"/>
  <c r="F76" i="59"/>
  <c r="F75" i="59" s="1"/>
  <c r="B76" i="59"/>
  <c r="B75" i="59"/>
  <c r="Q75" i="59"/>
  <c r="P75" i="59"/>
  <c r="O75" i="59"/>
  <c r="N75" i="59"/>
  <c r="Q74" i="59"/>
  <c r="P74" i="59"/>
  <c r="O74" i="59"/>
  <c r="N74" i="59"/>
  <c r="D74" i="59"/>
  <c r="Q73" i="59"/>
  <c r="P73" i="59"/>
  <c r="O73" i="59"/>
  <c r="N73" i="59"/>
  <c r="F73" i="59"/>
  <c r="E73" i="59"/>
  <c r="U73" i="59" s="1"/>
  <c r="C73" i="59"/>
  <c r="T73" i="59"/>
  <c r="B73" i="59"/>
  <c r="S73" i="59" s="1"/>
  <c r="Q72" i="59"/>
  <c r="P72" i="59"/>
  <c r="O72" i="59"/>
  <c r="N72" i="59"/>
  <c r="Q71" i="59"/>
  <c r="P71" i="59"/>
  <c r="O71" i="59"/>
  <c r="N71" i="59"/>
  <c r="Q70" i="59"/>
  <c r="P70" i="59"/>
  <c r="O70" i="59"/>
  <c r="N70" i="59"/>
  <c r="D70" i="59"/>
  <c r="F69" i="59"/>
  <c r="V69" i="59"/>
  <c r="E69" i="59"/>
  <c r="E68" i="59" s="1"/>
  <c r="P68" i="59"/>
  <c r="C69" i="59"/>
  <c r="B69" i="59"/>
  <c r="N69" i="59" s="1"/>
  <c r="F68" i="59"/>
  <c r="F67" i="59"/>
  <c r="Q67" i="59" s="1"/>
  <c r="Q66" i="59"/>
  <c r="D66" i="59"/>
  <c r="Q65" i="59"/>
  <c r="P65" i="59"/>
  <c r="O65" i="59"/>
  <c r="N65" i="59"/>
  <c r="Q64" i="59"/>
  <c r="P64" i="59"/>
  <c r="O64" i="59"/>
  <c r="N64" i="59"/>
  <c r="Q63" i="59"/>
  <c r="P63" i="59"/>
  <c r="O63" i="59"/>
  <c r="N63" i="59"/>
  <c r="Q62" i="59"/>
  <c r="F63" i="59" s="1"/>
  <c r="P62" i="59"/>
  <c r="E63" i="59"/>
  <c r="E64" i="59" s="1"/>
  <c r="E65" i="59"/>
  <c r="U65"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D55" i="59" s="1"/>
  <c r="N54" i="59"/>
  <c r="B55" i="59" s="1"/>
  <c r="B56" i="59" s="1"/>
  <c r="B57" i="59"/>
  <c r="S57" i="59" s="1"/>
  <c r="D54" i="59"/>
  <c r="Q53" i="59"/>
  <c r="P53" i="59"/>
  <c r="O53" i="59"/>
  <c r="N53" i="59"/>
  <c r="Q52" i="59"/>
  <c r="P52" i="59"/>
  <c r="O52" i="59"/>
  <c r="N52" i="59"/>
  <c r="Q51" i="59"/>
  <c r="P51" i="59"/>
  <c r="O51" i="59"/>
  <c r="N51" i="59"/>
  <c r="Q50" i="59"/>
  <c r="F51" i="59"/>
  <c r="F52" i="59" s="1"/>
  <c r="F53" i="59" s="1"/>
  <c r="V53" i="59" s="1"/>
  <c r="P50" i="59"/>
  <c r="E51" i="59"/>
  <c r="O50" i="59"/>
  <c r="C51" i="59" s="1"/>
  <c r="D51" i="59" s="1"/>
  <c r="N50" i="59"/>
  <c r="B51" i="59"/>
  <c r="B52"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O46" i="59"/>
  <c r="C47" i="59" s="1"/>
  <c r="N46" i="59"/>
  <c r="B47" i="59"/>
  <c r="B48" i="59" s="1"/>
  <c r="B49" i="59" s="1"/>
  <c r="S49" i="59" s="1"/>
  <c r="D46" i="59"/>
  <c r="Q45" i="59"/>
  <c r="P45" i="59"/>
  <c r="O45" i="59"/>
  <c r="N45" i="59"/>
  <c r="Q44" i="59"/>
  <c r="P44" i="59"/>
  <c r="O44" i="59"/>
  <c r="N44" i="59"/>
  <c r="Q43" i="59"/>
  <c r="F44" i="59" s="1"/>
  <c r="F45" i="59" s="1"/>
  <c r="V45" i="59" s="1"/>
  <c r="P43" i="59"/>
  <c r="O43" i="59"/>
  <c r="N43" i="59"/>
  <c r="Q42" i="59"/>
  <c r="F43" i="59"/>
  <c r="P42" i="59"/>
  <c r="E43" i="59" s="1"/>
  <c r="E44" i="59" s="1"/>
  <c r="E45" i="59"/>
  <c r="U45" i="59"/>
  <c r="O42" i="59"/>
  <c r="C43" i="59" s="1"/>
  <c r="N42" i="59"/>
  <c r="B43" i="59" s="1"/>
  <c r="B44" i="59" s="1"/>
  <c r="B45" i="59" s="1"/>
  <c r="S45" i="59" s="1"/>
  <c r="D42" i="59"/>
  <c r="Q41" i="59"/>
  <c r="P41" i="59"/>
  <c r="O41" i="59"/>
  <c r="N41" i="59"/>
  <c r="Q40" i="59"/>
  <c r="AB40" i="59"/>
  <c r="P40" i="59"/>
  <c r="O40" i="59"/>
  <c r="Y40" i="59" s="1"/>
  <c r="Z40" i="59" s="1"/>
  <c r="N40" i="59"/>
  <c r="X40" i="59" s="1"/>
  <c r="Q39" i="59"/>
  <c r="AB39" i="59" s="1"/>
  <c r="P39" i="59"/>
  <c r="O39" i="59"/>
  <c r="N39" i="59"/>
  <c r="X38" i="59" s="1"/>
  <c r="Q38" i="59"/>
  <c r="P38" i="59"/>
  <c r="O38" i="59"/>
  <c r="C39" i="59"/>
  <c r="D39" i="59" s="1"/>
  <c r="N38" i="59"/>
  <c r="B39" i="59"/>
  <c r="B40" i="59" s="1"/>
  <c r="B41" i="59" s="1"/>
  <c r="S41" i="59" s="1"/>
  <c r="D38" i="59"/>
  <c r="Q37" i="59"/>
  <c r="AB37" i="59" s="1"/>
  <c r="P37" i="59"/>
  <c r="O37" i="59"/>
  <c r="N37" i="59"/>
  <c r="X37" i="59" s="1"/>
  <c r="Q36" i="59"/>
  <c r="AB36" i="59" s="1"/>
  <c r="P36" i="59"/>
  <c r="O36" i="59"/>
  <c r="N36" i="59"/>
  <c r="X35" i="59" s="1"/>
  <c r="Q35" i="59"/>
  <c r="AB35" i="59" s="1"/>
  <c r="P35" i="59"/>
  <c r="O35" i="59"/>
  <c r="N35" i="59"/>
  <c r="Q34" i="59"/>
  <c r="F35" i="59" s="1"/>
  <c r="F36" i="59" s="1"/>
  <c r="F37" i="59" s="1"/>
  <c r="V37" i="59" s="1"/>
  <c r="P34" i="59"/>
  <c r="O34" i="59"/>
  <c r="C35" i="59" s="1"/>
  <c r="N34" i="59"/>
  <c r="X34" i="59" s="1"/>
  <c r="B35" i="59"/>
  <c r="B36" i="59" s="1"/>
  <c r="B37" i="59" s="1"/>
  <c r="S37" i="59" s="1"/>
  <c r="D34" i="59"/>
  <c r="Q33" i="59"/>
  <c r="AB33" i="59" s="1"/>
  <c r="P33" i="59"/>
  <c r="O33" i="59"/>
  <c r="N33" i="59"/>
  <c r="Q32" i="59"/>
  <c r="P32" i="59"/>
  <c r="O32" i="59"/>
  <c r="N32" i="59"/>
  <c r="Q31" i="59"/>
  <c r="P31" i="59"/>
  <c r="O31" i="59"/>
  <c r="N31" i="59"/>
  <c r="X31" i="59" s="1"/>
  <c r="Q30" i="59"/>
  <c r="P30" i="59"/>
  <c r="O30" i="59"/>
  <c r="C31" i="59"/>
  <c r="N30" i="59"/>
  <c r="B31" i="59" s="1"/>
  <c r="D30" i="59"/>
  <c r="E31" i="59"/>
  <c r="E32" i="59" s="1"/>
  <c r="E33" i="59" s="1"/>
  <c r="U33" i="59" s="1"/>
  <c r="B53" i="59"/>
  <c r="S53" i="59"/>
  <c r="E52" i="59"/>
  <c r="E53" i="59" s="1"/>
  <c r="U53" i="59" s="1"/>
  <c r="C32" i="59"/>
  <c r="D31" i="59"/>
  <c r="C52" i="59"/>
  <c r="C56" i="59"/>
  <c r="E67" i="59"/>
  <c r="Q68" i="59"/>
  <c r="C68" i="59"/>
  <c r="P69" i="59"/>
  <c r="U69" i="59"/>
  <c r="Q69" i="59"/>
  <c r="C72" i="59"/>
  <c r="D73" i="59"/>
  <c r="C76" i="59"/>
  <c r="C75" i="59" s="1"/>
  <c r="D75" i="59" s="1"/>
  <c r="E76" i="59"/>
  <c r="E75" i="59" s="1"/>
  <c r="D81" i="59"/>
  <c r="C84" i="59"/>
  <c r="D84" i="59" s="1"/>
  <c r="U16" i="4"/>
  <c r="S16" i="4"/>
  <c r="Q16" i="4"/>
  <c r="P16" i="4" s="1"/>
  <c r="O16" i="4"/>
  <c r="M16" i="4"/>
  <c r="K16" i="4"/>
  <c r="P66" i="59"/>
  <c r="P67" i="59"/>
  <c r="D72" i="59"/>
  <c r="C71" i="59"/>
  <c r="D71" i="59" s="1"/>
  <c r="C83" i="59"/>
  <c r="D83" i="59"/>
  <c r="C53" i="59"/>
  <c r="T53" i="59" s="1"/>
  <c r="D52"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Z21" i="37"/>
  <c r="Q21" i="37"/>
  <c r="F21" i="37"/>
  <c r="AA21" i="37" s="1"/>
  <c r="C21" i="37"/>
  <c r="E77" i="37"/>
  <c r="F77" i="37"/>
  <c r="G77" i="37" s="1"/>
  <c r="D77" i="37"/>
  <c r="Q21" i="34"/>
  <c r="Z21" i="34" s="1"/>
  <c r="C21" i="34"/>
  <c r="D84" i="34"/>
  <c r="F21" i="34"/>
  <c r="S21" i="34" s="1"/>
  <c r="AA21" i="34"/>
  <c r="Z21" i="33"/>
  <c r="Q21" i="33"/>
  <c r="C21" i="33"/>
  <c r="D83" i="33"/>
  <c r="E83" i="33" s="1"/>
  <c r="F83" i="33" s="1"/>
  <c r="G83" i="33" s="1"/>
  <c r="Z21" i="21"/>
  <c r="Q21" i="21"/>
  <c r="D83" i="21"/>
  <c r="E83" i="21"/>
  <c r="F83" i="21" s="1"/>
  <c r="G83" i="21" s="1"/>
  <c r="F21" i="21"/>
  <c r="C21" i="21"/>
  <c r="Q27" i="40"/>
  <c r="Z27" i="40" s="1"/>
  <c r="D95" i="40"/>
  <c r="E95" i="40" s="1"/>
  <c r="F27" i="40"/>
  <c r="AA27" i="40" s="1"/>
  <c r="Q31" i="39"/>
  <c r="Z31" i="39" s="1"/>
  <c r="D104" i="39"/>
  <c r="E104" i="39"/>
  <c r="F104" i="39" s="1"/>
  <c r="F31" i="39"/>
  <c r="AA31" i="39" s="1"/>
  <c r="G20" i="20"/>
  <c r="B88" i="46" s="1"/>
  <c r="C22" i="20"/>
  <c r="B100" i="46" s="1"/>
  <c r="S18" i="35"/>
  <c r="S21" i="37"/>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s="1"/>
  <c r="F12" i="31" s="1"/>
  <c r="G12" i="31"/>
  <c r="H12" i="31" s="1"/>
  <c r="I12" i="31" s="1"/>
  <c r="J12" i="31" s="1"/>
  <c r="K12" i="31" s="1"/>
  <c r="L12" i="31" s="1"/>
  <c r="M12" i="31" s="1"/>
  <c r="N12" i="31" s="1"/>
  <c r="O12" i="31" s="1"/>
  <c r="P12" i="31" s="1"/>
  <c r="Q12" i="31" s="1"/>
  <c r="R12" i="31" s="1"/>
  <c r="S12" i="31" s="1"/>
  <c r="D10" i="31"/>
  <c r="E10" i="31"/>
  <c r="F10" i="31"/>
  <c r="G10" i="31" s="1"/>
  <c r="H10" i="31" s="1"/>
  <c r="I10" i="31" s="1"/>
  <c r="J10" i="31" s="1"/>
  <c r="K10" i="3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AP13"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L104" i="3" s="1"/>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L101" i="3" s="1"/>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A96" i="3" s="1"/>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A74" i="3" s="1"/>
  <c r="BF74" i="3"/>
  <c r="BE74" i="3"/>
  <c r="BD74" i="3"/>
  <c r="BC74" i="3"/>
  <c r="BB74" i="3"/>
  <c r="AX74" i="3"/>
  <c r="AW74" i="3"/>
  <c r="AV74" i="3"/>
  <c r="AC74" i="3"/>
  <c r="H74" i="3"/>
  <c r="BT73" i="3"/>
  <c r="BS73" i="3"/>
  <c r="BR73" i="3"/>
  <c r="BQ73" i="3"/>
  <c r="BP73" i="3"/>
  <c r="BO73" i="3"/>
  <c r="BN73" i="3"/>
  <c r="BM73" i="3"/>
  <c r="BK73" i="3"/>
  <c r="BJ73" i="3"/>
  <c r="BI73" i="3"/>
  <c r="BH73" i="3"/>
  <c r="BG73" i="3"/>
  <c r="BA73" i="3" s="1"/>
  <c r="BF73" i="3"/>
  <c r="BE73" i="3"/>
  <c r="BD73" i="3"/>
  <c r="BC73" i="3"/>
  <c r="BB73" i="3"/>
  <c r="AX73" i="3"/>
  <c r="AW73" i="3"/>
  <c r="AV73" i="3"/>
  <c r="AC73" i="3"/>
  <c r="G73" i="3" s="1"/>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A64" i="3" s="1"/>
  <c r="BG64" i="3"/>
  <c r="BF64" i="3"/>
  <c r="BE64" i="3"/>
  <c r="BD64" i="3"/>
  <c r="BC64" i="3"/>
  <c r="BB64" i="3"/>
  <c r="AX64" i="3"/>
  <c r="AW64" i="3"/>
  <c r="AV64" i="3"/>
  <c r="AC64" i="3"/>
  <c r="G64" i="3" s="1"/>
  <c r="H64" i="3"/>
  <c r="BT63" i="3"/>
  <c r="BS63" i="3"/>
  <c r="BR63" i="3"/>
  <c r="BQ63" i="3"/>
  <c r="BL63" i="3" s="1"/>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A58" i="3" s="1"/>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L50" i="3" s="1"/>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L48" i="3" s="1"/>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L34" i="3" s="1"/>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L32" i="3" s="1"/>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A27" i="3" s="1"/>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s="1"/>
  <c r="H201" i="3"/>
  <c r="BT200" i="3"/>
  <c r="BS200" i="3"/>
  <c r="BR200" i="3"/>
  <c r="BQ200" i="3"/>
  <c r="BL200" i="3" s="1"/>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A195" i="3" s="1"/>
  <c r="BE195" i="3"/>
  <c r="BD195" i="3"/>
  <c r="BC195" i="3"/>
  <c r="BB195" i="3"/>
  <c r="AX195" i="3"/>
  <c r="AW195" i="3"/>
  <c r="AV195" i="3"/>
  <c r="AC195" i="3"/>
  <c r="H195" i="3"/>
  <c r="G195" i="3"/>
  <c r="BT194" i="3"/>
  <c r="BS194" i="3"/>
  <c r="BR194" i="3"/>
  <c r="BQ194" i="3"/>
  <c r="BP194" i="3"/>
  <c r="BO194" i="3"/>
  <c r="BN194" i="3"/>
  <c r="BM194" i="3"/>
  <c r="BK194" i="3"/>
  <c r="BJ194" i="3"/>
  <c r="BI194" i="3"/>
  <c r="BH194" i="3"/>
  <c r="BG194" i="3"/>
  <c r="BA194" i="3" s="1"/>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A191" i="3" s="1"/>
  <c r="BE191" i="3"/>
  <c r="BD191" i="3"/>
  <c r="BC191" i="3"/>
  <c r="BB191" i="3"/>
  <c r="AX191" i="3"/>
  <c r="AW191" i="3"/>
  <c r="AV191" i="3"/>
  <c r="AC191" i="3"/>
  <c r="H191" i="3"/>
  <c r="G191" i="3"/>
  <c r="BT190" i="3"/>
  <c r="BS190" i="3"/>
  <c r="BR190" i="3"/>
  <c r="BQ190" i="3"/>
  <c r="BP190" i="3"/>
  <c r="BO190" i="3"/>
  <c r="BN190" i="3"/>
  <c r="BM190" i="3"/>
  <c r="BK190" i="3"/>
  <c r="BJ190" i="3"/>
  <c r="BI190" i="3"/>
  <c r="BH190" i="3"/>
  <c r="BG190" i="3"/>
  <c r="BA190" i="3" s="1"/>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A187" i="3" s="1"/>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A174" i="3" s="1"/>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L155" i="3" s="1"/>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L152" i="3" s="1"/>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A148" i="3" s="1"/>
  <c r="AZ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A143" i="3" s="1"/>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L137" i="3" s="1"/>
  <c r="BQ137" i="3"/>
  <c r="BP137" i="3"/>
  <c r="BO137" i="3"/>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A127" i="3" s="1"/>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L121" i="3" s="1"/>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L285" i="3" s="1"/>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L269" i="3" s="1"/>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A256" i="3" s="1"/>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L254" i="3" s="1"/>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A248" i="3" s="1"/>
  <c r="BF248" i="3"/>
  <c r="BE248" i="3"/>
  <c r="BD248" i="3"/>
  <c r="BC248" i="3"/>
  <c r="BB248" i="3"/>
  <c r="AX248" i="3"/>
  <c r="AW248" i="3"/>
  <c r="AV248" i="3"/>
  <c r="AC248" i="3"/>
  <c r="H248" i="3"/>
  <c r="G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H247" i="3"/>
  <c r="G247" i="3"/>
  <c r="BT246" i="3"/>
  <c r="BS246" i="3"/>
  <c r="BR246" i="3"/>
  <c r="BL246" i="3" s="1"/>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A233" i="3" s="1"/>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A221" i="3" s="1"/>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A219" i="3" s="1"/>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A217" i="3" s="1"/>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L215" i="3" s="1"/>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L351" i="3" s="1"/>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L348" i="3" s="1"/>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A341" i="3" s="1"/>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A337" i="3" s="1"/>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A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L319" i="3" s="1"/>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L312" i="3" s="1"/>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L306" i="3" s="1"/>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A297" i="3" s="1"/>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L476" i="3" s="1"/>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H471" i="3"/>
  <c r="G471" i="3"/>
  <c r="BT470" i="3"/>
  <c r="BS470" i="3"/>
  <c r="BR470" i="3"/>
  <c r="BQ470" i="3"/>
  <c r="BP470" i="3"/>
  <c r="BO470" i="3"/>
  <c r="BN470" i="3"/>
  <c r="BM470" i="3"/>
  <c r="BK470" i="3"/>
  <c r="BJ470" i="3"/>
  <c r="BI470" i="3"/>
  <c r="BH470" i="3"/>
  <c r="BA470" i="3" s="1"/>
  <c r="BG470" i="3"/>
  <c r="BF470" i="3"/>
  <c r="BE470" i="3"/>
  <c r="BD470" i="3"/>
  <c r="BC470" i="3"/>
  <c r="BB470" i="3"/>
  <c r="AX470" i="3"/>
  <c r="AW470" i="3"/>
  <c r="AV470" i="3"/>
  <c r="AC470" i="3"/>
  <c r="H470" i="3"/>
  <c r="G470" i="3"/>
  <c r="BT469" i="3"/>
  <c r="BS469" i="3"/>
  <c r="BR469" i="3"/>
  <c r="BL469" i="3" s="1"/>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L468" i="3" s="1"/>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A439" i="3" s="1"/>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L423" i="3" s="1"/>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L422" i="3" s="1"/>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A417" i="3" s="1"/>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K414" i="3"/>
  <c r="BJ414" i="3"/>
  <c r="BI414" i="3"/>
  <c r="BH414" i="3"/>
  <c r="BG414" i="3"/>
  <c r="BA414" i="3" s="1"/>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A413" i="3" s="1"/>
  <c r="BG413" i="3"/>
  <c r="BF413" i="3"/>
  <c r="BE413" i="3"/>
  <c r="BD413" i="3"/>
  <c r="BC413" i="3"/>
  <c r="BB413" i="3"/>
  <c r="AX413" i="3"/>
  <c r="AW413" i="3"/>
  <c r="AV413" i="3"/>
  <c r="AC413" i="3"/>
  <c r="H413" i="3"/>
  <c r="G413" i="3" s="1"/>
  <c r="BT412" i="3"/>
  <c r="BS412" i="3"/>
  <c r="BR412" i="3"/>
  <c r="BL412" i="3" s="1"/>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L407" i="3" s="1"/>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L406" i="3" s="1"/>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A392" i="3" s="1"/>
  <c r="BF392" i="3"/>
  <c r="BE392" i="3"/>
  <c r="BD392" i="3"/>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L390" i="3" s="1"/>
  <c r="BP390" i="3"/>
  <c r="BO390" i="3"/>
  <c r="BN390" i="3"/>
  <c r="BM390" i="3"/>
  <c r="BK390" i="3"/>
  <c r="BJ390" i="3"/>
  <c r="BI390" i="3"/>
  <c r="BH390" i="3"/>
  <c r="BG390" i="3"/>
  <c r="BF390" i="3"/>
  <c r="BE390" i="3"/>
  <c r="BD390" i="3"/>
  <c r="BC390" i="3"/>
  <c r="BB390" i="3"/>
  <c r="AX390" i="3"/>
  <c r="AW390" i="3"/>
  <c r="AV390" i="3"/>
  <c r="AC390" i="3"/>
  <c r="H390" i="3"/>
  <c r="G390" i="3"/>
  <c r="BT389" i="3"/>
  <c r="BS389" i="3"/>
  <c r="BR389" i="3"/>
  <c r="BL389" i="3" s="1"/>
  <c r="BQ389" i="3"/>
  <c r="BP389" i="3"/>
  <c r="BO389" i="3"/>
  <c r="BN389" i="3"/>
  <c r="BM389" i="3"/>
  <c r="BK389" i="3"/>
  <c r="BJ389" i="3"/>
  <c r="BI389" i="3"/>
  <c r="BH389" i="3"/>
  <c r="BG389" i="3"/>
  <c r="BF389" i="3"/>
  <c r="BE389" i="3"/>
  <c r="BD389" i="3"/>
  <c r="BC389" i="3"/>
  <c r="BB389" i="3"/>
  <c r="BA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c r="R33" i="31"/>
  <c r="R34" i="31"/>
  <c r="S34" i="31"/>
  <c r="R35" i="31"/>
  <c r="R36" i="31"/>
  <c r="S36" i="31"/>
  <c r="R37" i="31"/>
  <c r="R38" i="31"/>
  <c r="S38" i="31"/>
  <c r="R39" i="31"/>
  <c r="R40" i="31"/>
  <c r="S40" i="31"/>
  <c r="R41" i="31"/>
  <c r="R42" i="31"/>
  <c r="S42" i="31" s="1"/>
  <c r="R43" i="31"/>
  <c r="R44" i="31"/>
  <c r="S44" i="31" s="1"/>
  <c r="R45" i="31"/>
  <c r="R46" i="31"/>
  <c r="S46" i="31"/>
  <c r="R47" i="31"/>
  <c r="R48" i="31"/>
  <c r="S48" i="31"/>
  <c r="R49" i="31"/>
  <c r="R50" i="31"/>
  <c r="S50" i="31"/>
  <c r="R51" i="31"/>
  <c r="R52" i="31"/>
  <c r="S52" i="31"/>
  <c r="R53" i="31"/>
  <c r="R54" i="31"/>
  <c r="S54" i="31"/>
  <c r="R55" i="31"/>
  <c r="R56" i="31"/>
  <c r="S56" i="31"/>
  <c r="R57" i="31"/>
  <c r="R58" i="31"/>
  <c r="S58" i="31" s="1"/>
  <c r="R59" i="31"/>
  <c r="R60" i="31"/>
  <c r="S60" i="31" s="1"/>
  <c r="R61" i="31"/>
  <c r="R62" i="31"/>
  <c r="S62" i="31"/>
  <c r="R63" i="31"/>
  <c r="R64" i="31"/>
  <c r="S64" i="31"/>
  <c r="R65" i="31"/>
  <c r="R66" i="31"/>
  <c r="S66" i="31"/>
  <c r="R67" i="31"/>
  <c r="R68" i="31"/>
  <c r="S68" i="31"/>
  <c r="R69" i="31"/>
  <c r="R70" i="31"/>
  <c r="S70" i="31"/>
  <c r="R71" i="31"/>
  <c r="R72" i="31"/>
  <c r="S72" i="31"/>
  <c r="R73" i="31"/>
  <c r="R74" i="31"/>
  <c r="S74" i="31" s="1"/>
  <c r="R75" i="31"/>
  <c r="R76" i="31"/>
  <c r="S76" i="31" s="1"/>
  <c r="R77" i="31"/>
  <c r="R78" i="31"/>
  <c r="S78" i="31"/>
  <c r="R79" i="31"/>
  <c r="R80" i="31"/>
  <c r="S80" i="31"/>
  <c r="R81" i="31"/>
  <c r="R82" i="31"/>
  <c r="S82" i="31"/>
  <c r="R83" i="31"/>
  <c r="R84" i="31"/>
  <c r="S84" i="31"/>
  <c r="R85" i="31"/>
  <c r="R86" i="31"/>
  <c r="S86" i="31"/>
  <c r="R87" i="31"/>
  <c r="R88" i="31"/>
  <c r="S88" i="31"/>
  <c r="R89" i="31"/>
  <c r="R90" i="31"/>
  <c r="S90" i="31" s="1"/>
  <c r="R91" i="31"/>
  <c r="R92" i="31"/>
  <c r="S92" i="31" s="1"/>
  <c r="R93" i="31"/>
  <c r="R94" i="31"/>
  <c r="S94" i="31"/>
  <c r="R95" i="31"/>
  <c r="R96" i="31"/>
  <c r="S96" i="31"/>
  <c r="R97" i="31"/>
  <c r="R98" i="31"/>
  <c r="S98" i="31"/>
  <c r="R99" i="31"/>
  <c r="R100" i="31"/>
  <c r="S100" i="31"/>
  <c r="R101" i="31"/>
  <c r="R102" i="31"/>
  <c r="S102" i="31"/>
  <c r="R103" i="31"/>
  <c r="R104" i="31"/>
  <c r="S104" i="31"/>
  <c r="R105" i="31"/>
  <c r="R106" i="31"/>
  <c r="S106" i="31" s="1"/>
  <c r="R107" i="31"/>
  <c r="R108" i="31"/>
  <c r="S108" i="31" s="1"/>
  <c r="R109" i="31"/>
  <c r="R110" i="31"/>
  <c r="S110" i="31"/>
  <c r="R111" i="31"/>
  <c r="R112" i="31"/>
  <c r="S112" i="31"/>
  <c r="R113" i="31"/>
  <c r="R114" i="31"/>
  <c r="S114" i="31"/>
  <c r="R115" i="31"/>
  <c r="R116" i="31"/>
  <c r="S116" i="31"/>
  <c r="R117" i="31"/>
  <c r="R118" i="31"/>
  <c r="S118" i="31"/>
  <c r="R119" i="31"/>
  <c r="R120" i="31"/>
  <c r="S120" i="31"/>
  <c r="R121" i="31"/>
  <c r="R122" i="31"/>
  <c r="S122" i="31" s="1"/>
  <c r="R123" i="31"/>
  <c r="R124" i="31"/>
  <c r="S124" i="31" s="1"/>
  <c r="R125" i="31"/>
  <c r="R126" i="31"/>
  <c r="S126" i="31"/>
  <c r="R127" i="31"/>
  <c r="R128" i="31"/>
  <c r="S128" i="31"/>
  <c r="R129" i="31"/>
  <c r="R130" i="31"/>
  <c r="S130" i="31"/>
  <c r="R131" i="31"/>
  <c r="R132" i="31"/>
  <c r="S132" i="31"/>
  <c r="R133" i="31"/>
  <c r="R134" i="31"/>
  <c r="S134" i="31"/>
  <c r="R135" i="31"/>
  <c r="R136" i="31"/>
  <c r="S136" i="31"/>
  <c r="R137" i="31"/>
  <c r="R138" i="31"/>
  <c r="S138" i="31" s="1"/>
  <c r="R139" i="31"/>
  <c r="R140" i="31"/>
  <c r="S140" i="31" s="1"/>
  <c r="R141" i="31"/>
  <c r="R142" i="31"/>
  <c r="S142" i="31"/>
  <c r="R143" i="31"/>
  <c r="R144" i="31"/>
  <c r="S144" i="31"/>
  <c r="R145" i="31"/>
  <c r="R146" i="31"/>
  <c r="S146" i="31"/>
  <c r="R147" i="31"/>
  <c r="R148" i="31"/>
  <c r="S148" i="31"/>
  <c r="R149" i="31"/>
  <c r="R150" i="31"/>
  <c r="S150" i="31"/>
  <c r="R151" i="31"/>
  <c r="R152" i="31"/>
  <c r="S152" i="31"/>
  <c r="R153" i="31"/>
  <c r="R154" i="31"/>
  <c r="S154" i="31" s="1"/>
  <c r="R155" i="31"/>
  <c r="R156" i="31"/>
  <c r="S156" i="31" s="1"/>
  <c r="R157" i="31"/>
  <c r="R158" i="31"/>
  <c r="S158" i="31"/>
  <c r="R159" i="31"/>
  <c r="R160" i="31"/>
  <c r="S160" i="31"/>
  <c r="R161" i="31"/>
  <c r="R162" i="31"/>
  <c r="S162" i="31"/>
  <c r="R163" i="31"/>
  <c r="R164" i="31"/>
  <c r="S164" i="31"/>
  <c r="R165" i="31"/>
  <c r="R166" i="31"/>
  <c r="S166" i="31"/>
  <c r="R167" i="31"/>
  <c r="R168" i="31"/>
  <c r="S168" i="31"/>
  <c r="R169" i="31"/>
  <c r="R170" i="31"/>
  <c r="S170" i="31" s="1"/>
  <c r="R171" i="31"/>
  <c r="R172" i="31"/>
  <c r="S172" i="31" s="1"/>
  <c r="R173" i="31"/>
  <c r="R174" i="31"/>
  <c r="S174" i="31"/>
  <c r="R175" i="31"/>
  <c r="R176" i="31"/>
  <c r="S176" i="31"/>
  <c r="R177" i="31"/>
  <c r="R178" i="31"/>
  <c r="S178" i="31"/>
  <c r="R179" i="31"/>
  <c r="R180" i="31"/>
  <c r="S180" i="31"/>
  <c r="R181" i="31"/>
  <c r="R182" i="31"/>
  <c r="S182" i="31"/>
  <c r="R183" i="31"/>
  <c r="R184" i="31"/>
  <c r="S184" i="31"/>
  <c r="R185" i="31"/>
  <c r="R186" i="31"/>
  <c r="S186" i="31" s="1"/>
  <c r="R187" i="31"/>
  <c r="R188" i="31"/>
  <c r="S188" i="31" s="1"/>
  <c r="R189" i="31"/>
  <c r="R190" i="31"/>
  <c r="S190" i="31"/>
  <c r="R191" i="31"/>
  <c r="R192" i="31"/>
  <c r="S192" i="31"/>
  <c r="R193" i="31"/>
  <c r="R194" i="31"/>
  <c r="S194" i="31"/>
  <c r="R195" i="31"/>
  <c r="R196" i="31"/>
  <c r="S196" i="31"/>
  <c r="R197" i="31"/>
  <c r="R198" i="31"/>
  <c r="S198" i="31"/>
  <c r="R199" i="31"/>
  <c r="R200" i="31"/>
  <c r="S200" i="31"/>
  <c r="R201" i="31"/>
  <c r="R202" i="31"/>
  <c r="S202" i="31" s="1"/>
  <c r="R203" i="31"/>
  <c r="R204" i="31"/>
  <c r="S204" i="31" s="1"/>
  <c r="R205" i="31"/>
  <c r="R206" i="31"/>
  <c r="S206" i="31"/>
  <c r="R207" i="31"/>
  <c r="R208" i="31"/>
  <c r="S208" i="31"/>
  <c r="R209" i="31"/>
  <c r="R210" i="31"/>
  <c r="S210" i="31"/>
  <c r="R211" i="31"/>
  <c r="R212" i="31"/>
  <c r="S212" i="3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c r="R433" i="31"/>
  <c r="R434" i="31"/>
  <c r="S434" i="31"/>
  <c r="R435" i="31"/>
  <c r="R436" i="31"/>
  <c r="S436" i="31"/>
  <c r="R437" i="31"/>
  <c r="R438" i="31"/>
  <c r="S438" i="31"/>
  <c r="R439" i="31"/>
  <c r="R440" i="31"/>
  <c r="S440" i="31" s="1"/>
  <c r="R441" i="31"/>
  <c r="R442" i="31"/>
  <c r="S442" i="31" s="1"/>
  <c r="R443" i="31"/>
  <c r="R444" i="31"/>
  <c r="S444" i="31"/>
  <c r="R445" i="31"/>
  <c r="R446" i="31"/>
  <c r="S446" i="31"/>
  <c r="R447" i="31"/>
  <c r="R448" i="31"/>
  <c r="S448" i="31"/>
  <c r="R449" i="31"/>
  <c r="R450" i="31"/>
  <c r="S450" i="31"/>
  <c r="R451" i="31"/>
  <c r="R452" i="31"/>
  <c r="S452" i="31"/>
  <c r="R453" i="31"/>
  <c r="R454" i="31"/>
  <c r="S454" i="31"/>
  <c r="R455" i="31"/>
  <c r="R456" i="31"/>
  <c r="S456" i="31" s="1"/>
  <c r="R457" i="31"/>
  <c r="R458" i="31"/>
  <c r="S458" i="31" s="1"/>
  <c r="R459" i="31"/>
  <c r="R460" i="31"/>
  <c r="S460" i="31"/>
  <c r="R461" i="31"/>
  <c r="R462" i="31"/>
  <c r="S462" i="31"/>
  <c r="R463" i="31"/>
  <c r="R464" i="31"/>
  <c r="S464" i="31"/>
  <c r="R465" i="31"/>
  <c r="R466" i="31"/>
  <c r="S466" i="3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s="1"/>
  <c r="R507" i="31"/>
  <c r="R508" i="31"/>
  <c r="S508" i="31" s="1"/>
  <c r="R509" i="31"/>
  <c r="R510" i="31"/>
  <c r="S510" i="31"/>
  <c r="R511" i="31"/>
  <c r="R512" i="31"/>
  <c r="S512" i="31"/>
  <c r="R513" i="31"/>
  <c r="R514" i="31"/>
  <c r="S514" i="31"/>
  <c r="R515" i="31"/>
  <c r="R516" i="31"/>
  <c r="S516" i="3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c r="I55" i="34"/>
  <c r="J55" i="34"/>
  <c r="G55" i="34"/>
  <c r="H55" i="34" s="1"/>
  <c r="E55" i="34"/>
  <c r="F55" i="34" s="1"/>
  <c r="I50" i="40"/>
  <c r="J50" i="40" s="1"/>
  <c r="G50" i="40"/>
  <c r="H50" i="40" s="1"/>
  <c r="E50" i="40"/>
  <c r="F50" i="40" s="1"/>
  <c r="I55" i="39"/>
  <c r="J55" i="39" s="1"/>
  <c r="G55" i="39"/>
  <c r="H55" i="39" s="1"/>
  <c r="E55" i="39"/>
  <c r="F55" i="39" s="1"/>
  <c r="I42" i="36"/>
  <c r="J42" i="36" s="1"/>
  <c r="G42" i="36"/>
  <c r="H42" i="36"/>
  <c r="E42" i="36"/>
  <c r="F42" i="36"/>
  <c r="I44" i="35"/>
  <c r="J44" i="35" s="1"/>
  <c r="G44" i="35"/>
  <c r="H44" i="35"/>
  <c r="E44" i="35"/>
  <c r="F44" i="35"/>
  <c r="I54" i="33"/>
  <c r="J54" i="33" s="1"/>
  <c r="G54" i="33"/>
  <c r="E54" i="33"/>
  <c r="F54" i="33" s="1"/>
  <c r="H14" i="3"/>
  <c r="AC14" i="3"/>
  <c r="G14" i="3"/>
  <c r="H15" i="3"/>
  <c r="AC15" i="3"/>
  <c r="G15" i="3" s="1"/>
  <c r="H16" i="3"/>
  <c r="AC16" i="3"/>
  <c r="G16" i="3" s="1"/>
  <c r="H17" i="3"/>
  <c r="AC17" i="3"/>
  <c r="G17" i="3" s="1"/>
  <c r="H18" i="3"/>
  <c r="G18" i="3" s="1"/>
  <c r="AC18" i="3"/>
  <c r="BB18" i="3"/>
  <c r="BC18" i="3"/>
  <c r="BD18" i="3"/>
  <c r="BE18" i="3"/>
  <c r="BF18" i="3"/>
  <c r="BG18" i="3"/>
  <c r="BH18" i="3"/>
  <c r="BI18" i="3"/>
  <c r="BJ18" i="3"/>
  <c r="BK18" i="3"/>
  <c r="BM18" i="3"/>
  <c r="BN18" i="3"/>
  <c r="BO18" i="3"/>
  <c r="BP18" i="3"/>
  <c r="BR18" i="3"/>
  <c r="BS18" i="3"/>
  <c r="BT18" i="3"/>
  <c r="H19" i="3"/>
  <c r="AC19" i="3"/>
  <c r="G19" i="3"/>
  <c r="BB19" i="3"/>
  <c r="BC19" i="3"/>
  <c r="BD19" i="3"/>
  <c r="BA19" i="3" s="1"/>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A481" i="3" s="1"/>
  <c r="BG481" i="3"/>
  <c r="BH481" i="3"/>
  <c r="BI481" i="3"/>
  <c r="BJ481" i="3"/>
  <c r="BK481" i="3"/>
  <c r="BM481" i="3"/>
  <c r="BN481" i="3"/>
  <c r="BO481" i="3"/>
  <c r="BO5" i="3" s="1"/>
  <c r="BP481" i="3"/>
  <c r="BQ481" i="3"/>
  <c r="BR481" i="3"/>
  <c r="BS481" i="3"/>
  <c r="BT481" i="3"/>
  <c r="H482" i="3"/>
  <c r="G482" i="3" s="1"/>
  <c r="AC482" i="3"/>
  <c r="BB482" i="3"/>
  <c r="BA482" i="3" s="1"/>
  <c r="BC482" i="3"/>
  <c r="BD482" i="3"/>
  <c r="BE482" i="3"/>
  <c r="BF482" i="3"/>
  <c r="BG482" i="3"/>
  <c r="BH482" i="3"/>
  <c r="BI482" i="3"/>
  <c r="BJ482" i="3"/>
  <c r="BJ5" i="3" s="1"/>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H5" i="3" s="1"/>
  <c r="BI485" i="3"/>
  <c r="BJ485" i="3"/>
  <c r="BK485" i="3"/>
  <c r="BM485" i="3"/>
  <c r="BN485" i="3"/>
  <c r="BO485" i="3"/>
  <c r="BP485" i="3"/>
  <c r="BQ485" i="3"/>
  <c r="BQ5" i="3" s="1"/>
  <c r="BR485" i="3"/>
  <c r="BS485" i="3"/>
  <c r="BT485" i="3"/>
  <c r="H486" i="3"/>
  <c r="G486" i="3" s="1"/>
  <c r="AC486" i="3"/>
  <c r="BB486" i="3"/>
  <c r="BC486" i="3"/>
  <c r="BD486" i="3"/>
  <c r="BD5" i="3" s="1"/>
  <c r="BE486" i="3"/>
  <c r="BF486" i="3"/>
  <c r="BG486" i="3"/>
  <c r="BH486" i="3"/>
  <c r="BI486" i="3"/>
  <c r="BJ486" i="3"/>
  <c r="BK486" i="3"/>
  <c r="BM486" i="3"/>
  <c r="BL486" i="3" s="1"/>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A491" i="3" s="1"/>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N5" i="3" s="1"/>
  <c r="BO492" i="3"/>
  <c r="BP492" i="3"/>
  <c r="BR492" i="3"/>
  <c r="BS492" i="3"/>
  <c r="BT492" i="3"/>
  <c r="H493" i="3"/>
  <c r="AC493" i="3"/>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L495" i="3" s="1"/>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A497" i="3" s="1"/>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L498" i="3" s="1"/>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L499" i="3" s="1"/>
  <c r="BT499" i="3"/>
  <c r="H500" i="3"/>
  <c r="AC500" i="3"/>
  <c r="G500" i="3" s="1"/>
  <c r="BB500" i="3"/>
  <c r="BC500" i="3"/>
  <c r="BD500" i="3"/>
  <c r="BE500" i="3"/>
  <c r="BF500" i="3"/>
  <c r="BG500" i="3"/>
  <c r="BH500" i="3"/>
  <c r="BI500" i="3"/>
  <c r="BJ500" i="3"/>
  <c r="BK500" i="3"/>
  <c r="BM500" i="3"/>
  <c r="BN500" i="3"/>
  <c r="BO500" i="3"/>
  <c r="BP500" i="3"/>
  <c r="BR500" i="3"/>
  <c r="BS500" i="3"/>
  <c r="BS5" i="3" s="1"/>
  <c r="F28" i="6" s="1"/>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L503" i="3" s="1"/>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L504" i="3" s="1"/>
  <c r="AZ504" i="3" s="1"/>
  <c r="BT504" i="3"/>
  <c r="H505" i="3"/>
  <c r="AC505" i="3"/>
  <c r="G505" i="3"/>
  <c r="BB505" i="3"/>
  <c r="BC505" i="3"/>
  <c r="BD505" i="3"/>
  <c r="BE505" i="3"/>
  <c r="BF505" i="3"/>
  <c r="BG505" i="3"/>
  <c r="BH505" i="3"/>
  <c r="BI505" i="3"/>
  <c r="BJ505" i="3"/>
  <c r="BK505" i="3"/>
  <c r="BM505" i="3"/>
  <c r="BN505" i="3"/>
  <c r="BL505" i="3" s="1"/>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BL509" i="3" s="1"/>
  <c r="H510" i="3"/>
  <c r="AC510" i="3"/>
  <c r="BB510" i="3"/>
  <c r="BC510" i="3"/>
  <c r="BD510" i="3"/>
  <c r="BE510" i="3"/>
  <c r="BF510" i="3"/>
  <c r="BG510" i="3"/>
  <c r="BH510" i="3"/>
  <c r="BI510" i="3"/>
  <c r="BJ510" i="3"/>
  <c r="BK510" i="3"/>
  <c r="BM510" i="3"/>
  <c r="BN510" i="3"/>
  <c r="BO510" i="3"/>
  <c r="BP510" i="3"/>
  <c r="BL510" i="3" s="1"/>
  <c r="BR510" i="3"/>
  <c r="BS510" i="3"/>
  <c r="BT510" i="3"/>
  <c r="H511" i="3"/>
  <c r="AC511" i="3"/>
  <c r="BB511" i="3"/>
  <c r="BC511" i="3"/>
  <c r="BD511" i="3"/>
  <c r="BA511" i="3" s="1"/>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A512" i="3" s="1"/>
  <c r="BF512" i="3"/>
  <c r="BG512" i="3"/>
  <c r="BH512" i="3"/>
  <c r="BI512" i="3"/>
  <c r="BJ512" i="3"/>
  <c r="BK512" i="3"/>
  <c r="BM512" i="3"/>
  <c r="BN512" i="3"/>
  <c r="BL512" i="3" s="1"/>
  <c r="AZ512" i="3" s="1"/>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BL515" i="3" s="1"/>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s="1"/>
  <c r="BQ517" i="3"/>
  <c r="BR517" i="3"/>
  <c r="BS517" i="3"/>
  <c r="BT517" i="3"/>
  <c r="H518" i="3"/>
  <c r="AC518" i="3"/>
  <c r="BB518" i="3"/>
  <c r="BC518" i="3"/>
  <c r="BD518" i="3"/>
  <c r="BE518" i="3"/>
  <c r="BF518" i="3"/>
  <c r="BG518" i="3"/>
  <c r="BH518" i="3"/>
  <c r="BI518" i="3"/>
  <c r="BJ518" i="3"/>
  <c r="BK518" i="3"/>
  <c r="BM518" i="3"/>
  <c r="BN518" i="3"/>
  <c r="BO518" i="3"/>
  <c r="BP518" i="3"/>
  <c r="BR518" i="3"/>
  <c r="BL518" i="3" s="1"/>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A522" i="3" s="1"/>
  <c r="BH522" i="3"/>
  <c r="BI522" i="3"/>
  <c r="BJ522" i="3"/>
  <c r="BK522" i="3"/>
  <c r="BM522" i="3"/>
  <c r="BN522" i="3"/>
  <c r="BO522" i="3"/>
  <c r="BP522" i="3"/>
  <c r="BL522" i="3" s="1"/>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A524" i="3" s="1"/>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A526" i="3" s="1"/>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L527" i="3" s="1"/>
  <c r="BT527" i="3"/>
  <c r="H528" i="3"/>
  <c r="G528" i="3" s="1"/>
  <c r="AC528" i="3"/>
  <c r="BB528" i="3"/>
  <c r="BC528" i="3"/>
  <c r="BD528" i="3"/>
  <c r="BE528" i="3"/>
  <c r="BF528" i="3"/>
  <c r="BG528" i="3"/>
  <c r="BH528" i="3"/>
  <c r="BI528" i="3"/>
  <c r="BJ528" i="3"/>
  <c r="BK528" i="3"/>
  <c r="BM528" i="3"/>
  <c r="BN528" i="3"/>
  <c r="BL528" i="3" s="1"/>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L530" i="3" s="1"/>
  <c r="BP530" i="3"/>
  <c r="BR530" i="3"/>
  <c r="BS530" i="3"/>
  <c r="BT530" i="3"/>
  <c r="H531" i="3"/>
  <c r="G531" i="3" s="1"/>
  <c r="AC531" i="3"/>
  <c r="BB531" i="3"/>
  <c r="BC531" i="3"/>
  <c r="BD531" i="3"/>
  <c r="BA531" i="3" s="1"/>
  <c r="BE531" i="3"/>
  <c r="BF531" i="3"/>
  <c r="BG531" i="3"/>
  <c r="BH531" i="3"/>
  <c r="BI531" i="3"/>
  <c r="BJ531" i="3"/>
  <c r="BK531" i="3"/>
  <c r="BM531" i="3"/>
  <c r="BL531" i="3" s="1"/>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A534" i="3" s="1"/>
  <c r="BI534" i="3"/>
  <c r="BJ534" i="3"/>
  <c r="BK534" i="3"/>
  <c r="BM534" i="3"/>
  <c r="BN534" i="3"/>
  <c r="BO534" i="3"/>
  <c r="BP534" i="3"/>
  <c r="BR534" i="3"/>
  <c r="BS534" i="3"/>
  <c r="BT534" i="3"/>
  <c r="H535" i="3"/>
  <c r="AC535" i="3"/>
  <c r="BB535" i="3"/>
  <c r="BC535" i="3"/>
  <c r="BD535" i="3"/>
  <c r="BA535" i="3" s="1"/>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L537" i="3" s="1"/>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L539" i="3" s="1"/>
  <c r="BQ539" i="3"/>
  <c r="BR539" i="3"/>
  <c r="BS539" i="3"/>
  <c r="BT539" i="3"/>
  <c r="H540" i="3"/>
  <c r="G540" i="3" s="1"/>
  <c r="AC540" i="3"/>
  <c r="BB540" i="3"/>
  <c r="BC540" i="3"/>
  <c r="BD540" i="3"/>
  <c r="BE540" i="3"/>
  <c r="BF540" i="3"/>
  <c r="BG540" i="3"/>
  <c r="BH540" i="3"/>
  <c r="BI540" i="3"/>
  <c r="BJ540" i="3"/>
  <c r="BK540" i="3"/>
  <c r="BM540" i="3"/>
  <c r="BN540" i="3"/>
  <c r="BO540" i="3"/>
  <c r="BP540" i="3"/>
  <c r="BL540" i="3" s="1"/>
  <c r="BR540" i="3"/>
  <c r="BS540" i="3"/>
  <c r="BT540" i="3"/>
  <c r="H541" i="3"/>
  <c r="G541" i="3" s="1"/>
  <c r="AC541" i="3"/>
  <c r="BB541" i="3"/>
  <c r="BC541" i="3"/>
  <c r="BD541" i="3"/>
  <c r="BE541" i="3"/>
  <c r="BF541" i="3"/>
  <c r="BG541" i="3"/>
  <c r="BA541" i="3" s="1"/>
  <c r="AZ541" i="3" s="1"/>
  <c r="BH541" i="3"/>
  <c r="BI541" i="3"/>
  <c r="BJ541" i="3"/>
  <c r="BK541" i="3"/>
  <c r="BM541" i="3"/>
  <c r="BN541" i="3"/>
  <c r="BO541" i="3"/>
  <c r="BP541" i="3"/>
  <c r="BL541" i="3" s="1"/>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AC544" i="3"/>
  <c r="BB544" i="3"/>
  <c r="BC544" i="3"/>
  <c r="BD544" i="3"/>
  <c r="BE544" i="3"/>
  <c r="BF544" i="3"/>
  <c r="BA544" i="3" s="1"/>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A546" i="3" s="1"/>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BL547" i="3" s="1"/>
  <c r="H548" i="3"/>
  <c r="AC548" i="3"/>
  <c r="G548" i="3" s="1"/>
  <c r="BB548" i="3"/>
  <c r="BC548" i="3"/>
  <c r="BD548" i="3"/>
  <c r="BE548" i="3"/>
  <c r="BF548" i="3"/>
  <c r="BG548" i="3"/>
  <c r="BH548" i="3"/>
  <c r="BI548" i="3"/>
  <c r="BJ548" i="3"/>
  <c r="BK548" i="3"/>
  <c r="BM548" i="3"/>
  <c r="BL548" i="3" s="1"/>
  <c r="BN548" i="3"/>
  <c r="BO548" i="3"/>
  <c r="BP548" i="3"/>
  <c r="BR548" i="3"/>
  <c r="BS548" i="3"/>
  <c r="BT548" i="3"/>
  <c r="H549" i="3"/>
  <c r="AC549" i="3"/>
  <c r="BB549" i="3"/>
  <c r="BC549" i="3"/>
  <c r="BA549" i="3" s="1"/>
  <c r="AZ549" i="3" s="1"/>
  <c r="BD549" i="3"/>
  <c r="BE549" i="3"/>
  <c r="BF549" i="3"/>
  <c r="BG549" i="3"/>
  <c r="BH549" i="3"/>
  <c r="BI549" i="3"/>
  <c r="BJ549" i="3"/>
  <c r="BK549" i="3"/>
  <c r="BM549" i="3"/>
  <c r="BN549" i="3"/>
  <c r="BO549" i="3"/>
  <c r="BL549" i="3" s="1"/>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L551" i="3" s="1"/>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A554" i="3" s="1"/>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A558" i="3" s="1"/>
  <c r="AZ558" i="3" s="1"/>
  <c r="BI558" i="3"/>
  <c r="BJ558" i="3"/>
  <c r="BK558" i="3"/>
  <c r="BM558" i="3"/>
  <c r="BN558" i="3"/>
  <c r="BO558" i="3"/>
  <c r="BP558" i="3"/>
  <c r="BR558" i="3"/>
  <c r="BS558" i="3"/>
  <c r="BT558" i="3"/>
  <c r="H559" i="3"/>
  <c r="AC559" i="3"/>
  <c r="G559" i="3"/>
  <c r="BB559" i="3"/>
  <c r="BC559" i="3"/>
  <c r="BD559" i="3"/>
  <c r="BA559" i="3" s="1"/>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A560" i="3" s="1"/>
  <c r="BI560" i="3"/>
  <c r="BJ560" i="3"/>
  <c r="BK560" i="3"/>
  <c r="BM560" i="3"/>
  <c r="BN560" i="3"/>
  <c r="BO560" i="3"/>
  <c r="BP560" i="3"/>
  <c r="BR560" i="3"/>
  <c r="BS560" i="3"/>
  <c r="BT560" i="3"/>
  <c r="H561" i="3"/>
  <c r="AC561" i="3"/>
  <c r="BB561" i="3"/>
  <c r="BC561" i="3"/>
  <c r="BD561" i="3"/>
  <c r="BE561" i="3"/>
  <c r="BA561" i="3" s="1"/>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A565" i="3" s="1"/>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A567" i="3" s="1"/>
  <c r="BF567" i="3"/>
  <c r="BG567" i="3"/>
  <c r="BH567" i="3"/>
  <c r="BI567" i="3"/>
  <c r="BJ567" i="3"/>
  <c r="BK567" i="3"/>
  <c r="BM567" i="3"/>
  <c r="BN567" i="3"/>
  <c r="BL567" i="3" s="1"/>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c r="J26" i="35" s="1"/>
  <c r="J31" i="35"/>
  <c r="H31" i="35"/>
  <c r="F31" i="35"/>
  <c r="D87" i="35"/>
  <c r="E87" i="35"/>
  <c r="F87" i="35" s="1"/>
  <c r="G87" i="35" s="1"/>
  <c r="H87" i="35" s="1"/>
  <c r="I87" i="35"/>
  <c r="J87" i="35"/>
  <c r="K87" i="35" s="1"/>
  <c r="L87" i="35" s="1"/>
  <c r="M87" i="35" s="1"/>
  <c r="H34" i="37"/>
  <c r="AB34" i="37" s="1"/>
  <c r="D101" i="37"/>
  <c r="E101" i="37" s="1"/>
  <c r="F101" i="37" s="1"/>
  <c r="G101" i="37" s="1"/>
  <c r="F34" i="37"/>
  <c r="D99" i="37"/>
  <c r="E99" i="37"/>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c r="F111" i="33" s="1"/>
  <c r="G111" i="33" s="1"/>
  <c r="H111" i="33" s="1"/>
  <c r="I111" i="33"/>
  <c r="J111" i="33"/>
  <c r="K111" i="33" s="1"/>
  <c r="L111" i="33" s="1"/>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B119" i="40"/>
  <c r="J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B102" i="40"/>
  <c r="D101" i="40"/>
  <c r="E101" i="40"/>
  <c r="F101" i="40" s="1"/>
  <c r="G101" i="40" s="1"/>
  <c r="H101" i="40" s="1"/>
  <c r="I101" i="40" s="1"/>
  <c r="J101" i="40" s="1"/>
  <c r="K101" i="40" s="1"/>
  <c r="L101" i="40" s="1"/>
  <c r="M101" i="40" s="1"/>
  <c r="D99" i="40"/>
  <c r="E99" i="40"/>
  <c r="F99" i="40" s="1"/>
  <c r="D97" i="40"/>
  <c r="E97" i="40" s="1"/>
  <c r="B96" i="40"/>
  <c r="D93" i="40"/>
  <c r="E93" i="40" s="1"/>
  <c r="F93" i="40" s="1"/>
  <c r="D91" i="40"/>
  <c r="D89" i="40"/>
  <c r="H21" i="40"/>
  <c r="AB21" i="40"/>
  <c r="D87" i="40"/>
  <c r="E87" i="40" s="1"/>
  <c r="F87" i="40" s="1"/>
  <c r="D85" i="40"/>
  <c r="E85" i="40" s="1"/>
  <c r="J17" i="40"/>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B108" i="37"/>
  <c r="J38" i="37" s="1"/>
  <c r="C23" i="37"/>
  <c r="C19" i="37"/>
  <c r="C17" i="37"/>
  <c r="C15" i="37"/>
  <c r="B112" i="37"/>
  <c r="D107" i="37"/>
  <c r="E107" i="37" s="1"/>
  <c r="D105" i="37"/>
  <c r="E105" i="37" s="1"/>
  <c r="F105" i="37" s="1"/>
  <c r="H36" i="37"/>
  <c r="D103" i="37"/>
  <c r="E103" i="37" s="1"/>
  <c r="F103" i="37" s="1"/>
  <c r="G103" i="37" s="1"/>
  <c r="H103" i="37" s="1"/>
  <c r="I103" i="37" s="1"/>
  <c r="J103" i="37" s="1"/>
  <c r="K103" i="37" s="1"/>
  <c r="L103" i="37" s="1"/>
  <c r="M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c r="F75" i="37" s="1"/>
  <c r="D73" i="37"/>
  <c r="E73" i="37" s="1"/>
  <c r="F73" i="37" s="1"/>
  <c r="G73" i="37" s="1"/>
  <c r="D71" i="37"/>
  <c r="E71" i="37"/>
  <c r="F71" i="37" s="1"/>
  <c r="G71" i="37" s="1"/>
  <c r="F15" i="37"/>
  <c r="AA15" i="37"/>
  <c r="B68" i="37"/>
  <c r="H14" i="37"/>
  <c r="U14" i="37"/>
  <c r="B66" i="37"/>
  <c r="F13" i="37" s="1"/>
  <c r="B64" i="37"/>
  <c r="D63" i="37"/>
  <c r="E63" i="37"/>
  <c r="F63" i="37"/>
  <c r="G63" i="37" s="1"/>
  <c r="H63" i="37"/>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c r="Q35" i="37"/>
  <c r="Z35" i="37" s="1"/>
  <c r="Q34" i="37"/>
  <c r="Z34" i="37" s="1"/>
  <c r="Q33" i="37"/>
  <c r="Z33" i="37"/>
  <c r="Q32" i="37"/>
  <c r="Z32" i="37"/>
  <c r="Q31" i="37"/>
  <c r="Z31" i="37" s="1"/>
  <c r="J31" i="37"/>
  <c r="Q30" i="37"/>
  <c r="Z30" i="37" s="1"/>
  <c r="J30" i="37"/>
  <c r="W30" i="37" s="1"/>
  <c r="H30" i="37"/>
  <c r="AB30" i="37" s="1"/>
  <c r="F30" i="37"/>
  <c r="Q29" i="37"/>
  <c r="Z29" i="37" s="1"/>
  <c r="H29" i="37"/>
  <c r="U29" i="37"/>
  <c r="Q28" i="37"/>
  <c r="Z28" i="37" s="1"/>
  <c r="Q27" i="37"/>
  <c r="Z27" i="37" s="1"/>
  <c r="Q26" i="37"/>
  <c r="Z26" i="37" s="1"/>
  <c r="J26" i="37"/>
  <c r="H26" i="37"/>
  <c r="AB26" i="37" s="1"/>
  <c r="F26" i="37"/>
  <c r="AA26" i="37"/>
  <c r="Q25" i="37"/>
  <c r="Z25" i="37"/>
  <c r="J25" i="37"/>
  <c r="F25" i="37"/>
  <c r="AA25" i="37"/>
  <c r="Q23" i="37"/>
  <c r="Z23" i="37"/>
  <c r="Q19" i="37"/>
  <c r="Z19" i="37"/>
  <c r="Q17" i="37"/>
  <c r="Z17" i="37" s="1"/>
  <c r="Q15" i="37"/>
  <c r="Z15" i="37" s="1"/>
  <c r="Q14" i="37"/>
  <c r="Z14" i="37" s="1"/>
  <c r="Q13" i="37"/>
  <c r="Z13" i="37"/>
  <c r="Q12" i="37"/>
  <c r="Z12" i="37" s="1"/>
  <c r="Q11" i="37"/>
  <c r="Z11" i="37"/>
  <c r="Q10" i="37"/>
  <c r="Z10" i="37"/>
  <c r="F10" i="37"/>
  <c r="AA10" i="37" s="1"/>
  <c r="Q9" i="37"/>
  <c r="Z9" i="37"/>
  <c r="J8" i="37"/>
  <c r="W8" i="37"/>
  <c r="H8" i="37"/>
  <c r="AB8" i="37" s="1"/>
  <c r="F8" i="37"/>
  <c r="C7" i="37"/>
  <c r="C52" i="37" s="1"/>
  <c r="D52" i="37" s="1"/>
  <c r="E52" i="37" s="1"/>
  <c r="F52" i="37" s="1"/>
  <c r="G52" i="37" s="1"/>
  <c r="H52" i="37" s="1"/>
  <c r="I52" i="37" s="1"/>
  <c r="J52" i="37" s="1"/>
  <c r="K52" i="37" s="1"/>
  <c r="J31" i="36"/>
  <c r="W31" i="36" s="1"/>
  <c r="H31" i="36"/>
  <c r="AB31" i="36"/>
  <c r="F31" i="36"/>
  <c r="S31" i="36" s="1"/>
  <c r="M86" i="36"/>
  <c r="L86" i="36"/>
  <c r="K86" i="36"/>
  <c r="J86" i="36"/>
  <c r="I86" i="36"/>
  <c r="H86" i="36"/>
  <c r="G86" i="36"/>
  <c r="F86" i="36"/>
  <c r="E86" i="36"/>
  <c r="D86" i="36"/>
  <c r="C86" i="36"/>
  <c r="D85" i="36"/>
  <c r="H29" i="36"/>
  <c r="AB29" i="36"/>
  <c r="D81" i="36"/>
  <c r="E81" i="36" s="1"/>
  <c r="F81" i="36" s="1"/>
  <c r="G81" i="36" s="1"/>
  <c r="H81" i="36" s="1"/>
  <c r="I81" i="36" s="1"/>
  <c r="J81" i="36" s="1"/>
  <c r="K81" i="36" s="1"/>
  <c r="L81" i="36" s="1"/>
  <c r="M81" i="36" s="1"/>
  <c r="F79" i="36"/>
  <c r="E79" i="36"/>
  <c r="D79" i="36"/>
  <c r="C79" i="36"/>
  <c r="B93" i="36"/>
  <c r="B91" i="36"/>
  <c r="F32" i="36"/>
  <c r="S32" i="36" s="1"/>
  <c r="B95" i="36"/>
  <c r="H34" i="36"/>
  <c r="AB34" i="36" s="1"/>
  <c r="D83" i="36"/>
  <c r="E83" i="36"/>
  <c r="F83" i="36" s="1"/>
  <c r="G83" i="36"/>
  <c r="H83" i="36" s="1"/>
  <c r="I83" i="36" s="1"/>
  <c r="J83" i="36" s="1"/>
  <c r="K83" i="36" s="1"/>
  <c r="L83" i="36" s="1"/>
  <c r="M83" i="36" s="1"/>
  <c r="D78" i="36"/>
  <c r="J26" i="36"/>
  <c r="W26" i="36" s="1"/>
  <c r="B75" i="36"/>
  <c r="H25" i="36" s="1"/>
  <c r="B73" i="36"/>
  <c r="B71" i="36"/>
  <c r="D70" i="36"/>
  <c r="H22" i="36"/>
  <c r="AB22" i="36" s="1"/>
  <c r="D68" i="36"/>
  <c r="E68" i="36" s="1"/>
  <c r="F68" i="36" s="1"/>
  <c r="D64" i="36"/>
  <c r="E64" i="36"/>
  <c r="F64" i="36"/>
  <c r="G64" i="36" s="1"/>
  <c r="J16" i="36"/>
  <c r="D62" i="36"/>
  <c r="E62" i="36" s="1"/>
  <c r="B59" i="36"/>
  <c r="J13" i="36" s="1"/>
  <c r="B57" i="36"/>
  <c r="B55" i="36"/>
  <c r="J10" i="36"/>
  <c r="W10" i="36" s="1"/>
  <c r="C51" i="36"/>
  <c r="F9" i="36" s="1"/>
  <c r="AA9" i="36" s="1"/>
  <c r="P37" i="36"/>
  <c r="P36" i="36"/>
  <c r="V35" i="36"/>
  <c r="T35" i="36"/>
  <c r="R35" i="36"/>
  <c r="P35" i="36"/>
  <c r="Q34" i="36"/>
  <c r="Z34" i="36"/>
  <c r="Q33" i="36"/>
  <c r="Z33" i="36" s="1"/>
  <c r="Q32" i="36"/>
  <c r="Z32" i="36" s="1"/>
  <c r="Q31" i="36"/>
  <c r="Z31" i="36"/>
  <c r="Q30" i="36"/>
  <c r="Z30" i="36"/>
  <c r="Q29" i="36"/>
  <c r="Z29" i="36" s="1"/>
  <c r="Q28" i="36"/>
  <c r="Z28" i="36"/>
  <c r="J28" i="36"/>
  <c r="AC28" i="36"/>
  <c r="Q27" i="36"/>
  <c r="Z27" i="36"/>
  <c r="Q26" i="36"/>
  <c r="Z26" i="36" s="1"/>
  <c r="H26" i="36"/>
  <c r="Q25" i="36"/>
  <c r="Z25" i="36"/>
  <c r="Q24" i="36"/>
  <c r="Z24" i="36"/>
  <c r="Q23" i="36"/>
  <c r="Z23" i="36"/>
  <c r="Q22" i="36"/>
  <c r="Z22" i="36"/>
  <c r="J22" i="36"/>
  <c r="Q20" i="36"/>
  <c r="Z20" i="36"/>
  <c r="Q16" i="36"/>
  <c r="Z16" i="36" s="1"/>
  <c r="Q14" i="36"/>
  <c r="Z14" i="36"/>
  <c r="Q13" i="36"/>
  <c r="Z13" i="36" s="1"/>
  <c r="Q12" i="36"/>
  <c r="Z12" i="36"/>
  <c r="H12" i="36"/>
  <c r="U12" i="36"/>
  <c r="Q11" i="36"/>
  <c r="Z11" i="36"/>
  <c r="Q10" i="36"/>
  <c r="Z10" i="36" s="1"/>
  <c r="F10" i="36"/>
  <c r="AA10" i="36" s="1"/>
  <c r="Q9" i="36"/>
  <c r="Z9" i="36" s="1"/>
  <c r="J9" i="36"/>
  <c r="AC9" i="36" s="1"/>
  <c r="H9" i="36"/>
  <c r="AB9" i="36" s="1"/>
  <c r="J8" i="36"/>
  <c r="AC8" i="36" s="1"/>
  <c r="H8" i="36"/>
  <c r="U8" i="36"/>
  <c r="F8" i="36"/>
  <c r="AA8" i="36"/>
  <c r="D89" i="35"/>
  <c r="H30" i="35"/>
  <c r="U30" i="35"/>
  <c r="M90" i="35"/>
  <c r="L90" i="35"/>
  <c r="K90" i="35"/>
  <c r="J90" i="35"/>
  <c r="I90" i="35"/>
  <c r="H90" i="35"/>
  <c r="G90" i="35"/>
  <c r="F90" i="35"/>
  <c r="E90" i="35"/>
  <c r="D90" i="35"/>
  <c r="C90" i="35"/>
  <c r="F85" i="35"/>
  <c r="E85" i="35"/>
  <c r="D85" i="35"/>
  <c r="C85" i="35"/>
  <c r="J27" i="35"/>
  <c r="H27" i="35"/>
  <c r="U27" i="35"/>
  <c r="F27" i="35"/>
  <c r="AA27" i="35"/>
  <c r="J22" i="35"/>
  <c r="AC22" i="35" s="1"/>
  <c r="B101" i="35"/>
  <c r="H36" i="35"/>
  <c r="B99" i="35"/>
  <c r="F35" i="35" s="1"/>
  <c r="B97" i="35"/>
  <c r="F34" i="35" s="1"/>
  <c r="AA34" i="35" s="1"/>
  <c r="B77" i="35"/>
  <c r="H25" i="35" s="1"/>
  <c r="B75" i="35"/>
  <c r="J24" i="35"/>
  <c r="B73" i="35"/>
  <c r="B57" i="35"/>
  <c r="B61" i="35"/>
  <c r="J13" i="35" s="1"/>
  <c r="B59" i="35"/>
  <c r="B131" i="34"/>
  <c r="B129" i="34"/>
  <c r="B127" i="34"/>
  <c r="B99" i="34"/>
  <c r="J32" i="34" s="1"/>
  <c r="B97" i="34"/>
  <c r="B95" i="34"/>
  <c r="J30" i="34" s="1"/>
  <c r="B93" i="34"/>
  <c r="F29" i="34" s="1"/>
  <c r="B75" i="34"/>
  <c r="B73" i="34"/>
  <c r="F13" i="34" s="1"/>
  <c r="AA13" i="34" s="1"/>
  <c r="B71" i="34"/>
  <c r="B130" i="33"/>
  <c r="B128" i="33"/>
  <c r="B126" i="33"/>
  <c r="H44" i="33" s="1"/>
  <c r="B98" i="33"/>
  <c r="F31" i="33" s="1"/>
  <c r="B96" i="33"/>
  <c r="B94" i="33"/>
  <c r="B74" i="33"/>
  <c r="B72" i="33"/>
  <c r="B70" i="33"/>
  <c r="D96" i="35"/>
  <c r="E96" i="35" s="1"/>
  <c r="F96" i="35" s="1"/>
  <c r="G96" i="35" s="1"/>
  <c r="D94" i="35"/>
  <c r="D84" i="35"/>
  <c r="E84" i="35" s="1"/>
  <c r="F84" i="35" s="1"/>
  <c r="G84" i="35"/>
  <c r="H84" i="35" s="1"/>
  <c r="I84" i="35" s="1"/>
  <c r="J84" i="35" s="1"/>
  <c r="K84" i="35" s="1"/>
  <c r="L84" i="35" s="1"/>
  <c r="M84" i="35" s="1"/>
  <c r="D80" i="35"/>
  <c r="D72" i="35"/>
  <c r="E72" i="35" s="1"/>
  <c r="D70" i="35"/>
  <c r="E70" i="35" s="1"/>
  <c r="F70" i="35" s="1"/>
  <c r="G70" i="35" s="1"/>
  <c r="D66" i="35"/>
  <c r="E66" i="35"/>
  <c r="F66" i="35" s="1"/>
  <c r="G66" i="35" s="1"/>
  <c r="D64" i="35"/>
  <c r="E64" i="35"/>
  <c r="F64" i="35" s="1"/>
  <c r="G64" i="35" s="1"/>
  <c r="C53" i="35"/>
  <c r="P39" i="35"/>
  <c r="P38" i="35"/>
  <c r="V37" i="35"/>
  <c r="T37" i="35"/>
  <c r="R37" i="35"/>
  <c r="P37" i="35"/>
  <c r="Q36" i="35"/>
  <c r="Z36" i="35"/>
  <c r="J36" i="35"/>
  <c r="AC36" i="35" s="1"/>
  <c r="Q35" i="35"/>
  <c r="Z35" i="35" s="1"/>
  <c r="Q34" i="35"/>
  <c r="Z34" i="35" s="1"/>
  <c r="J34" i="35"/>
  <c r="AC34" i="35" s="1"/>
  <c r="H34" i="35"/>
  <c r="AB34" i="35" s="1"/>
  <c r="Q33" i="35"/>
  <c r="Z33" i="35" s="1"/>
  <c r="Q32" i="35"/>
  <c r="Z32" i="35"/>
  <c r="H32" i="35"/>
  <c r="AB32" i="35"/>
  <c r="F32" i="35"/>
  <c r="AA32" i="35" s="1"/>
  <c r="Q31" i="35"/>
  <c r="Z31" i="35"/>
  <c r="AC31" i="35"/>
  <c r="AA31" i="35"/>
  <c r="Q30" i="35"/>
  <c r="Z30" i="35"/>
  <c r="Q29" i="35"/>
  <c r="Z29" i="35"/>
  <c r="Q28" i="35"/>
  <c r="Z28" i="35" s="1"/>
  <c r="J28" i="35"/>
  <c r="H28" i="35"/>
  <c r="F28" i="35"/>
  <c r="AA28" i="35"/>
  <c r="Q27" i="35"/>
  <c r="Z27" i="35"/>
  <c r="Q26" i="35"/>
  <c r="Z26" i="35" s="1"/>
  <c r="Q25" i="35"/>
  <c r="Z25" i="35" s="1"/>
  <c r="Q24" i="35"/>
  <c r="Z24" i="35"/>
  <c r="Q23" i="35"/>
  <c r="Z23" i="35"/>
  <c r="J23" i="35"/>
  <c r="AC23" i="35" s="1"/>
  <c r="Q22" i="35"/>
  <c r="Z22" i="35" s="1"/>
  <c r="Q20" i="35"/>
  <c r="Z20" i="35"/>
  <c r="Q16" i="35"/>
  <c r="Z16" i="35"/>
  <c r="Q14" i="35"/>
  <c r="Z14" i="35" s="1"/>
  <c r="Q13" i="35"/>
  <c r="Z13" i="35"/>
  <c r="Q12" i="35"/>
  <c r="Z12" i="35"/>
  <c r="Q11" i="35"/>
  <c r="Z11" i="35" s="1"/>
  <c r="Q10" i="35"/>
  <c r="Z10" i="35" s="1"/>
  <c r="Q9" i="35"/>
  <c r="Z9" i="35"/>
  <c r="F9" i="35"/>
  <c r="AA9" i="35"/>
  <c r="J8" i="35"/>
  <c r="AC8" i="35" s="1"/>
  <c r="H8" i="35"/>
  <c r="F8" i="35"/>
  <c r="AA8" i="35"/>
  <c r="D120" i="34"/>
  <c r="E120" i="34"/>
  <c r="F120" i="34" s="1"/>
  <c r="G120" i="34" s="1"/>
  <c r="H120" i="34" s="1"/>
  <c r="I120" i="34" s="1"/>
  <c r="J120" i="34" s="1"/>
  <c r="K120" i="34" s="1"/>
  <c r="L120" i="34" s="1"/>
  <c r="M120" i="34" s="1"/>
  <c r="D90" i="34"/>
  <c r="E90" i="34" s="1"/>
  <c r="C15" i="34"/>
  <c r="H10" i="34"/>
  <c r="AB10" i="34" s="1"/>
  <c r="D126" i="34"/>
  <c r="E126" i="34" s="1"/>
  <c r="F126" i="34" s="1"/>
  <c r="G126" i="34" s="1"/>
  <c r="D124" i="34"/>
  <c r="E124" i="34" s="1"/>
  <c r="F124" i="34" s="1"/>
  <c r="G124" i="34" s="1"/>
  <c r="H124" i="34"/>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c r="L109" i="34" s="1"/>
  <c r="M109" i="34" s="1"/>
  <c r="J36" i="34"/>
  <c r="D107" i="34"/>
  <c r="E107" i="34"/>
  <c r="F107" i="34" s="1"/>
  <c r="G107" i="34" s="1"/>
  <c r="H107" i="34" s="1"/>
  <c r="F35" i="34"/>
  <c r="M103" i="34"/>
  <c r="L103" i="34"/>
  <c r="K103" i="34"/>
  <c r="J103" i="34"/>
  <c r="I103" i="34"/>
  <c r="H103" i="34"/>
  <c r="G103" i="34"/>
  <c r="F103" i="34"/>
  <c r="E103" i="34"/>
  <c r="D103" i="34"/>
  <c r="C103" i="34"/>
  <c r="D102" i="34"/>
  <c r="E102" i="34"/>
  <c r="F102" i="34" s="1"/>
  <c r="G102" i="34"/>
  <c r="H102" i="34"/>
  <c r="I102" i="34" s="1"/>
  <c r="J102" i="34" s="1"/>
  <c r="K102" i="34" s="1"/>
  <c r="L102" i="34" s="1"/>
  <c r="M102" i="34" s="1"/>
  <c r="H33" i="34"/>
  <c r="U33" i="34" s="1"/>
  <c r="D92" i="34"/>
  <c r="E92" i="34" s="1"/>
  <c r="F92" i="34" s="1"/>
  <c r="G92" i="34" s="1"/>
  <c r="H92" i="34" s="1"/>
  <c r="I92" i="34" s="1"/>
  <c r="J92" i="34" s="1"/>
  <c r="K92" i="34" s="1"/>
  <c r="L92" i="34" s="1"/>
  <c r="M92" i="34" s="1"/>
  <c r="B91" i="34"/>
  <c r="B89" i="34"/>
  <c r="H27" i="34" s="1"/>
  <c r="J27" i="34"/>
  <c r="D88" i="34"/>
  <c r="E88" i="34" s="1"/>
  <c r="F88" i="34" s="1"/>
  <c r="G88" i="34" s="1"/>
  <c r="H88" i="34" s="1"/>
  <c r="I88" i="34"/>
  <c r="J88" i="34" s="1"/>
  <c r="K88" i="34" s="1"/>
  <c r="L88" i="34" s="1"/>
  <c r="M88" i="34"/>
  <c r="D86" i="34"/>
  <c r="E86" i="34"/>
  <c r="D82" i="34"/>
  <c r="E82" i="34" s="1"/>
  <c r="F82" i="34" s="1"/>
  <c r="G82" i="34" s="1"/>
  <c r="D80" i="34"/>
  <c r="D78" i="34"/>
  <c r="D70" i="34"/>
  <c r="E70" i="34"/>
  <c r="F70" i="34"/>
  <c r="G70" i="34" s="1"/>
  <c r="H70" i="34" s="1"/>
  <c r="I70" i="34" s="1"/>
  <c r="J70" i="34"/>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c r="H44" i="34"/>
  <c r="AB44" i="34" s="1"/>
  <c r="Q43" i="34"/>
  <c r="Z43" i="34"/>
  <c r="F43" i="34"/>
  <c r="AA43" i="34"/>
  <c r="Q42" i="34"/>
  <c r="Z42" i="34"/>
  <c r="Q41" i="34"/>
  <c r="Z41" i="34" s="1"/>
  <c r="Q40" i="34"/>
  <c r="Z40" i="34"/>
  <c r="F40" i="34"/>
  <c r="S40" i="34"/>
  <c r="Q39" i="34"/>
  <c r="Z39" i="34"/>
  <c r="J39" i="34"/>
  <c r="H39" i="34"/>
  <c r="F39" i="34"/>
  <c r="Q38" i="34"/>
  <c r="Z38" i="34" s="1"/>
  <c r="Q37" i="34"/>
  <c r="Z37" i="34"/>
  <c r="Q36" i="34"/>
  <c r="Z36" i="34"/>
  <c r="Q35" i="34"/>
  <c r="Z35" i="34" s="1"/>
  <c r="Q34" i="34"/>
  <c r="Z34" i="34"/>
  <c r="J34" i="34"/>
  <c r="H34" i="34"/>
  <c r="AB34" i="34"/>
  <c r="F34" i="34"/>
  <c r="AA34" i="34"/>
  <c r="Q33" i="34"/>
  <c r="Z33" i="34"/>
  <c r="Q32" i="34"/>
  <c r="Z32" i="34" s="1"/>
  <c r="Q31" i="34"/>
  <c r="Z31" i="34" s="1"/>
  <c r="Q30" i="34"/>
  <c r="Z30" i="34"/>
  <c r="Q29" i="34"/>
  <c r="Z29" i="34"/>
  <c r="Q28" i="34"/>
  <c r="Z28" i="34" s="1"/>
  <c r="Q27" i="34"/>
  <c r="Z27" i="34"/>
  <c r="Q25" i="34"/>
  <c r="Z25" i="34"/>
  <c r="Q23" i="34"/>
  <c r="Z23" i="34"/>
  <c r="C23" i="34"/>
  <c r="Q19" i="34"/>
  <c r="Z19" i="34"/>
  <c r="C19" i="34"/>
  <c r="Q17" i="34"/>
  <c r="Z17" i="34"/>
  <c r="C17" i="34"/>
  <c r="Q15" i="34"/>
  <c r="Z15" i="34"/>
  <c r="Q14" i="34"/>
  <c r="Z14" i="34"/>
  <c r="Q13" i="34"/>
  <c r="Z13" i="34" s="1"/>
  <c r="Q12" i="34"/>
  <c r="Z12" i="34" s="1"/>
  <c r="Q11" i="34"/>
  <c r="Z11" i="34" s="1"/>
  <c r="Q10" i="34"/>
  <c r="Z10" i="34" s="1"/>
  <c r="F10" i="34"/>
  <c r="S10" i="34" s="1"/>
  <c r="Q9" i="34"/>
  <c r="Z9" i="34" s="1"/>
  <c r="AC9" i="34"/>
  <c r="H9" i="34"/>
  <c r="F9" i="34"/>
  <c r="AA9" i="34" s="1"/>
  <c r="J8" i="34"/>
  <c r="H8" i="34"/>
  <c r="U8" i="34"/>
  <c r="F8" i="34"/>
  <c r="AA8" i="34"/>
  <c r="D121" i="33"/>
  <c r="F109" i="33"/>
  <c r="E109" i="33"/>
  <c r="D109" i="33"/>
  <c r="C109" i="33"/>
  <c r="D91" i="33"/>
  <c r="E91" i="33"/>
  <c r="F91" i="33"/>
  <c r="G91" i="33" s="1"/>
  <c r="H91" i="33" s="1"/>
  <c r="I91" i="33" s="1"/>
  <c r="J91" i="33" s="1"/>
  <c r="K91" i="33" s="1"/>
  <c r="L91" i="33" s="1"/>
  <c r="M91" i="33" s="1"/>
  <c r="B88" i="33"/>
  <c r="F26" i="33" s="1"/>
  <c r="AA26" i="33" s="1"/>
  <c r="J26" i="33"/>
  <c r="AC26" i="33"/>
  <c r="C23" i="33"/>
  <c r="C19" i="33"/>
  <c r="C17" i="33"/>
  <c r="C15" i="33"/>
  <c r="C15" i="21"/>
  <c r="D125" i="33"/>
  <c r="F43" i="33" s="1"/>
  <c r="AA43" i="33" s="1"/>
  <c r="D123" i="33"/>
  <c r="D117" i="33"/>
  <c r="E117" i="33" s="1"/>
  <c r="F117" i="33" s="1"/>
  <c r="G117" i="33" s="1"/>
  <c r="D115" i="33"/>
  <c r="E115" i="33"/>
  <c r="F115" i="33" s="1"/>
  <c r="G115" i="33"/>
  <c r="H115" i="33" s="1"/>
  <c r="I115" i="33" s="1"/>
  <c r="J115" i="33" s="1"/>
  <c r="K115" i="33"/>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U27" i="33"/>
  <c r="D87" i="33"/>
  <c r="E87" i="33" s="1"/>
  <c r="D85" i="33"/>
  <c r="E85" i="33" s="1"/>
  <c r="D81" i="33"/>
  <c r="E81" i="33" s="1"/>
  <c r="F81" i="33" s="1"/>
  <c r="D79" i="33"/>
  <c r="E79" i="33" s="1"/>
  <c r="D77" i="33"/>
  <c r="E77" i="33" s="1"/>
  <c r="D69" i="33"/>
  <c r="E69" i="33"/>
  <c r="F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W41" i="33"/>
  <c r="Q41" i="33"/>
  <c r="Z41" i="33"/>
  <c r="Q40" i="33"/>
  <c r="Z40" i="33"/>
  <c r="J40" i="33"/>
  <c r="AC40" i="33" s="1"/>
  <c r="H40" i="33"/>
  <c r="Q39" i="33"/>
  <c r="Z39" i="33"/>
  <c r="J39" i="33"/>
  <c r="AC39" i="33" s="1"/>
  <c r="Q38" i="33"/>
  <c r="Z38" i="33" s="1"/>
  <c r="J38" i="33"/>
  <c r="AC38" i="33" s="1"/>
  <c r="H38" i="33"/>
  <c r="F38" i="33"/>
  <c r="AA38" i="33"/>
  <c r="Q37" i="33"/>
  <c r="Z37" i="33" s="1"/>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c r="Q19" i="33"/>
  <c r="Z19" i="33" s="1"/>
  <c r="Q17" i="33"/>
  <c r="Z17" i="33"/>
  <c r="Q15" i="33"/>
  <c r="Z15" i="33"/>
  <c r="Q14" i="33"/>
  <c r="Z14" i="33" s="1"/>
  <c r="Q13" i="33"/>
  <c r="Z13" i="33"/>
  <c r="Q12" i="33"/>
  <c r="Z12" i="33"/>
  <c r="J12" i="33"/>
  <c r="W12" i="33" s="1"/>
  <c r="H12" i="33"/>
  <c r="U12" i="33" s="1"/>
  <c r="F12" i="33"/>
  <c r="Q11" i="33"/>
  <c r="Z11" i="33" s="1"/>
  <c r="Q10" i="33"/>
  <c r="Z10" i="33" s="1"/>
  <c r="Q9" i="33"/>
  <c r="Z9" i="33" s="1"/>
  <c r="H9" i="33"/>
  <c r="J8" i="33"/>
  <c r="W8" i="33" s="1"/>
  <c r="H8" i="33"/>
  <c r="AB8" i="33" s="1"/>
  <c r="F8" i="33"/>
  <c r="S8" i="33" s="1"/>
  <c r="M102" i="21"/>
  <c r="D102" i="21"/>
  <c r="E102" i="21"/>
  <c r="F102" i="21"/>
  <c r="G102" i="21"/>
  <c r="H102" i="21"/>
  <c r="I102" i="21"/>
  <c r="J102" i="21"/>
  <c r="K102" i="21"/>
  <c r="L102" i="21"/>
  <c r="C102" i="21"/>
  <c r="C63" i="21"/>
  <c r="G18" i="20"/>
  <c r="B90" i="46"/>
  <c r="C25" i="40"/>
  <c r="G16" i="20"/>
  <c r="G15" i="20"/>
  <c r="B83" i="46" s="1"/>
  <c r="C24" i="20"/>
  <c r="B75" i="46" s="1"/>
  <c r="C21" i="20"/>
  <c r="B99" i="46" s="1"/>
  <c r="C20" i="20"/>
  <c r="C18" i="20"/>
  <c r="C17" i="20"/>
  <c r="B61" i="46" s="1"/>
  <c r="C16" i="20"/>
  <c r="B50" i="46" s="1"/>
  <c r="C15" i="20"/>
  <c r="B72" i="46" s="1"/>
  <c r="E54" i="21"/>
  <c r="F54" i="21" s="1"/>
  <c r="I54" i="21"/>
  <c r="J54" i="21" s="1"/>
  <c r="G54" i="21"/>
  <c r="H54" i="21"/>
  <c r="D125" i="21"/>
  <c r="E125" i="21" s="1"/>
  <c r="F125" i="21" s="1"/>
  <c r="G125" i="21" s="1"/>
  <c r="D123" i="21"/>
  <c r="E123" i="21" s="1"/>
  <c r="F123" i="21" s="1"/>
  <c r="G123" i="21"/>
  <c r="H123" i="21" s="1"/>
  <c r="I123" i="21" s="1"/>
  <c r="J123" i="21" s="1"/>
  <c r="K123" i="21"/>
  <c r="L123" i="21" s="1"/>
  <c r="M123" i="21" s="1"/>
  <c r="H42" i="21"/>
  <c r="AB42" i="21" s="1"/>
  <c r="D119" i="21"/>
  <c r="E119" i="21" s="1"/>
  <c r="F119" i="21" s="1"/>
  <c r="G119" i="21" s="1"/>
  <c r="D117" i="21"/>
  <c r="E117" i="21" s="1"/>
  <c r="F117" i="21"/>
  <c r="G117" i="21" s="1"/>
  <c r="D115" i="21"/>
  <c r="E115" i="21"/>
  <c r="F115" i="21" s="1"/>
  <c r="G115" i="21" s="1"/>
  <c r="H115" i="21" s="1"/>
  <c r="I115" i="21" s="1"/>
  <c r="J115" i="21" s="1"/>
  <c r="K115" i="21" s="1"/>
  <c r="L115" i="21" s="1"/>
  <c r="M115" i="21" s="1"/>
  <c r="D113" i="21"/>
  <c r="E113" i="21" s="1"/>
  <c r="F113" i="21" s="1"/>
  <c r="G113" i="21"/>
  <c r="H113" i="21" s="1"/>
  <c r="D110" i="21"/>
  <c r="E110" i="21" s="1"/>
  <c r="F110" i="21"/>
  <c r="G110" i="21"/>
  <c r="H110" i="21" s="1"/>
  <c r="I110" i="21" s="1"/>
  <c r="J110" i="21"/>
  <c r="K110" i="21" s="1"/>
  <c r="L110" i="21" s="1"/>
  <c r="M110" i="21" s="1"/>
  <c r="J36" i="21"/>
  <c r="W36" i="21"/>
  <c r="D108" i="21"/>
  <c r="E108" i="21" s="1"/>
  <c r="F108" i="21" s="1"/>
  <c r="G108" i="21"/>
  <c r="H108" i="21" s="1"/>
  <c r="I108" i="21" s="1"/>
  <c r="J108" i="21" s="1"/>
  <c r="K108" i="21" s="1"/>
  <c r="L108" i="21"/>
  <c r="M108" i="21" s="1"/>
  <c r="D106" i="21"/>
  <c r="E106" i="21" s="1"/>
  <c r="F106" i="21" s="1"/>
  <c r="G106" i="21" s="1"/>
  <c r="H106" i="21" s="1"/>
  <c r="I106" i="21" s="1"/>
  <c r="J106" i="21"/>
  <c r="K106" i="21" s="1"/>
  <c r="L106" i="21" s="1"/>
  <c r="M106" i="21" s="1"/>
  <c r="D101" i="21"/>
  <c r="E101" i="21" s="1"/>
  <c r="F101" i="21"/>
  <c r="G101" i="21" s="1"/>
  <c r="H101" i="21" s="1"/>
  <c r="I101" i="21" s="1"/>
  <c r="J101" i="21" s="1"/>
  <c r="K101" i="21" s="1"/>
  <c r="L101" i="21" s="1"/>
  <c r="M101" i="21" s="1"/>
  <c r="D89" i="21"/>
  <c r="E89" i="21"/>
  <c r="F89" i="21"/>
  <c r="G89" i="21" s="1"/>
  <c r="H89" i="2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c r="D77" i="21"/>
  <c r="E77" i="21"/>
  <c r="B130" i="21"/>
  <c r="B128" i="21"/>
  <c r="B126" i="21"/>
  <c r="B98" i="21"/>
  <c r="B96" i="21"/>
  <c r="F30" i="21" s="1"/>
  <c r="B94" i="21"/>
  <c r="B92" i="21"/>
  <c r="B90" i="21"/>
  <c r="B74" i="21"/>
  <c r="B72" i="21"/>
  <c r="B70" i="21"/>
  <c r="F10" i="21"/>
  <c r="C19" i="21"/>
  <c r="C17" i="21"/>
  <c r="C23" i="21"/>
  <c r="Q9" i="21"/>
  <c r="Z9" i="21"/>
  <c r="Q10" i="21"/>
  <c r="Z10" i="21" s="1"/>
  <c r="Q11" i="21"/>
  <c r="Z11" i="21"/>
  <c r="Q12" i="21"/>
  <c r="Z12" i="21"/>
  <c r="Q13" i="21"/>
  <c r="Z13" i="21"/>
  <c r="Q14" i="21"/>
  <c r="Z14" i="21" s="1"/>
  <c r="Q15" i="21"/>
  <c r="Z15" i="21" s="1"/>
  <c r="Q17" i="21"/>
  <c r="Z17" i="21"/>
  <c r="Q19" i="21"/>
  <c r="Z19" i="21"/>
  <c r="Q23" i="21"/>
  <c r="Z23" i="21" s="1"/>
  <c r="Q25" i="21"/>
  <c r="Z25" i="21"/>
  <c r="Q26" i="21"/>
  <c r="Z26" i="21"/>
  <c r="Q27" i="21"/>
  <c r="Z27" i="21"/>
  <c r="Q28" i="21"/>
  <c r="Z28" i="21" s="1"/>
  <c r="Q29" i="21"/>
  <c r="Z29" i="21"/>
  <c r="Q30" i="21"/>
  <c r="Z30" i="21"/>
  <c r="Q31" i="21"/>
  <c r="Z31" i="21"/>
  <c r="Q32" i="21"/>
  <c r="Z32" i="21" s="1"/>
  <c r="Q33" i="21"/>
  <c r="Z33" i="21" s="1"/>
  <c r="Q34" i="21"/>
  <c r="Z34" i="21"/>
  <c r="J35" i="21"/>
  <c r="W35" i="21"/>
  <c r="Q35" i="21"/>
  <c r="Z35" i="21" s="1"/>
  <c r="Q36" i="21"/>
  <c r="Z36" i="21" s="1"/>
  <c r="Q37" i="21"/>
  <c r="Z37" i="21"/>
  <c r="J38" i="21"/>
  <c r="W38" i="21"/>
  <c r="Q38" i="21"/>
  <c r="Z38" i="21" s="1"/>
  <c r="J39" i="21"/>
  <c r="AC39" i="21"/>
  <c r="Q39" i="21"/>
  <c r="Z39" i="21"/>
  <c r="Q40" i="21"/>
  <c r="Z40" i="21"/>
  <c r="Q41" i="21"/>
  <c r="Z41" i="21" s="1"/>
  <c r="Q42" i="21"/>
  <c r="Z42" i="21"/>
  <c r="J43" i="21"/>
  <c r="AC43" i="21"/>
  <c r="Q43" i="21"/>
  <c r="Z43" i="21"/>
  <c r="Q44" i="21"/>
  <c r="Z44" i="21" s="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K5" i="3" s="1"/>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L571" i="3" s="1"/>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F43" i="21"/>
  <c r="S43" i="21"/>
  <c r="H38" i="21"/>
  <c r="AB38" i="21"/>
  <c r="H43" i="21"/>
  <c r="AB43" i="21"/>
  <c r="F32" i="21"/>
  <c r="F38" i="21"/>
  <c r="S38" i="21"/>
  <c r="F36" i="21"/>
  <c r="S36" i="21" s="1"/>
  <c r="F39" i="21"/>
  <c r="AA39" i="21" s="1"/>
  <c r="J40" i="21"/>
  <c r="W40" i="21"/>
  <c r="H35" i="21"/>
  <c r="AB35" i="21" s="1"/>
  <c r="J8" i="21"/>
  <c r="W8" i="21" s="1"/>
  <c r="AC8" i="21"/>
  <c r="H8" i="21"/>
  <c r="H10" i="21"/>
  <c r="U10" i="21" s="1"/>
  <c r="H39" i="21"/>
  <c r="AB39" i="21"/>
  <c r="J34" i="21"/>
  <c r="W34" i="21" s="1"/>
  <c r="H36" i="21"/>
  <c r="U36" i="21"/>
  <c r="F35" i="21"/>
  <c r="S35" i="21" s="1"/>
  <c r="AA35" i="21"/>
  <c r="J33" i="21"/>
  <c r="W33" i="21" s="1"/>
  <c r="H33" i="21"/>
  <c r="U33" i="21" s="1"/>
  <c r="F33" i="21"/>
  <c r="AA33" i="21" s="1"/>
  <c r="J10" i="21"/>
  <c r="AC10" i="21"/>
  <c r="H26" i="21"/>
  <c r="F19" i="21"/>
  <c r="AA19" i="21"/>
  <c r="H19" i="21"/>
  <c r="AB19" i="21" s="1"/>
  <c r="J19" i="21"/>
  <c r="H12" i="21"/>
  <c r="J26" i="21"/>
  <c r="W26" i="21"/>
  <c r="F26" i="21"/>
  <c r="AA26" i="21"/>
  <c r="AB41" i="21"/>
  <c r="S41" i="21"/>
  <c r="AA41" i="21"/>
  <c r="W41" i="21"/>
  <c r="S10" i="39"/>
  <c r="F39" i="37"/>
  <c r="S39" i="37"/>
  <c r="F29" i="36"/>
  <c r="AA29" i="36"/>
  <c r="F16" i="36"/>
  <c r="U22" i="36"/>
  <c r="AC31" i="36"/>
  <c r="J33" i="36"/>
  <c r="AC33" i="36" s="1"/>
  <c r="S34" i="35"/>
  <c r="W36" i="35"/>
  <c r="S31" i="35"/>
  <c r="W31" i="35"/>
  <c r="F36" i="34"/>
  <c r="S36" i="34"/>
  <c r="W9" i="34"/>
  <c r="S34" i="34"/>
  <c r="H39" i="33"/>
  <c r="W38" i="33"/>
  <c r="S40" i="33"/>
  <c r="S8" i="21"/>
  <c r="H39" i="37"/>
  <c r="AB39" i="37"/>
  <c r="AB27" i="35"/>
  <c r="W10" i="40"/>
  <c r="U11" i="40"/>
  <c r="U36" i="40"/>
  <c r="F11" i="21"/>
  <c r="S11" i="21"/>
  <c r="AC40" i="21"/>
  <c r="AA38" i="21"/>
  <c r="AB36" i="21"/>
  <c r="AC35" i="21"/>
  <c r="C29" i="39"/>
  <c r="U36" i="39"/>
  <c r="H32" i="33"/>
  <c r="AB32" i="33" s="1"/>
  <c r="H11" i="21"/>
  <c r="U11" i="21"/>
  <c r="J11" i="21"/>
  <c r="F85" i="40"/>
  <c r="G85" i="40" s="1"/>
  <c r="J27" i="36"/>
  <c r="W27" i="36" s="1"/>
  <c r="J34" i="36"/>
  <c r="W34" i="36"/>
  <c r="J30" i="35"/>
  <c r="AC30" i="35" s="1"/>
  <c r="W30" i="35"/>
  <c r="F22" i="35"/>
  <c r="AA22" i="35" s="1"/>
  <c r="H10" i="35"/>
  <c r="U10" i="35" s="1"/>
  <c r="U29" i="36"/>
  <c r="E85" i="36"/>
  <c r="F85" i="36" s="1"/>
  <c r="G85" i="36" s="1"/>
  <c r="H85" i="36" s="1"/>
  <c r="I85" i="36" s="1"/>
  <c r="J85" i="36" s="1"/>
  <c r="K85" i="36" s="1"/>
  <c r="L85" i="36" s="1"/>
  <c r="M85" i="36" s="1"/>
  <c r="J29" i="36"/>
  <c r="AC29" i="36" s="1"/>
  <c r="F34" i="36"/>
  <c r="S34" i="36"/>
  <c r="AB8" i="36"/>
  <c r="H16" i="35"/>
  <c r="H33" i="35"/>
  <c r="AB33" i="35" s="1"/>
  <c r="W8" i="35"/>
  <c r="F35" i="37"/>
  <c r="S35" i="37" s="1"/>
  <c r="H101" i="37"/>
  <c r="I101" i="37" s="1"/>
  <c r="J101" i="37" s="1"/>
  <c r="K101" i="37" s="1"/>
  <c r="L101" i="37" s="1"/>
  <c r="M101" i="37" s="1"/>
  <c r="J34" i="37"/>
  <c r="W34" i="37" s="1"/>
  <c r="AA39" i="37"/>
  <c r="H43" i="34"/>
  <c r="U42" i="34"/>
  <c r="H36" i="34"/>
  <c r="U36" i="34" s="1"/>
  <c r="F37" i="34"/>
  <c r="AA37" i="34" s="1"/>
  <c r="F33" i="34"/>
  <c r="S33" i="34" s="1"/>
  <c r="F19" i="34"/>
  <c r="AA19" i="34"/>
  <c r="J10" i="34"/>
  <c r="AC10" i="34" s="1"/>
  <c r="S38" i="33"/>
  <c r="F36" i="33"/>
  <c r="S36" i="33" s="1"/>
  <c r="W40" i="33"/>
  <c r="AB30" i="36"/>
  <c r="AC34" i="36"/>
  <c r="S22" i="35"/>
  <c r="H29" i="35"/>
  <c r="U29" i="35" s="1"/>
  <c r="U34" i="37"/>
  <c r="S34" i="37"/>
  <c r="AA34" i="37"/>
  <c r="AC43" i="34"/>
  <c r="AB42" i="34"/>
  <c r="J19" i="34"/>
  <c r="AC19" i="34" s="1"/>
  <c r="H37" i="33"/>
  <c r="W43" i="34"/>
  <c r="AA42" i="34"/>
  <c r="S42" i="34"/>
  <c r="AC38" i="34"/>
  <c r="W38" i="34"/>
  <c r="AA38" i="34"/>
  <c r="S38" i="34"/>
  <c r="J37" i="33"/>
  <c r="W37" i="33" s="1"/>
  <c r="J42" i="21"/>
  <c r="J44" i="34"/>
  <c r="AC44" i="34" s="1"/>
  <c r="F44" i="34"/>
  <c r="S44" i="34" s="1"/>
  <c r="J10" i="35"/>
  <c r="W10" i="35" s="1"/>
  <c r="AL5" i="3"/>
  <c r="BQ13" i="3"/>
  <c r="J14" i="21"/>
  <c r="W14" i="21" s="1"/>
  <c r="F14" i="21"/>
  <c r="AA14" i="21" s="1"/>
  <c r="H14" i="21"/>
  <c r="H28" i="21"/>
  <c r="F28" i="21"/>
  <c r="J28" i="21"/>
  <c r="AC28" i="21"/>
  <c r="H30" i="21"/>
  <c r="S30" i="21"/>
  <c r="J30" i="21"/>
  <c r="W30" i="21" s="1"/>
  <c r="J44" i="21"/>
  <c r="AC44" i="21"/>
  <c r="H44" i="21"/>
  <c r="U44" i="21"/>
  <c r="F44" i="21"/>
  <c r="H46" i="21"/>
  <c r="AB46" i="21"/>
  <c r="J46" i="21"/>
  <c r="W46" i="21"/>
  <c r="F46" i="21"/>
  <c r="H26" i="33"/>
  <c r="U26" i="33" s="1"/>
  <c r="F33" i="35"/>
  <c r="S33" i="35"/>
  <c r="J33" i="35"/>
  <c r="W33" i="35"/>
  <c r="F30" i="35"/>
  <c r="E89" i="35"/>
  <c r="F89" i="35"/>
  <c r="G89" i="35" s="1"/>
  <c r="H89" i="35" s="1"/>
  <c r="I89" i="35" s="1"/>
  <c r="J89" i="35" s="1"/>
  <c r="K89" i="35" s="1"/>
  <c r="L89" i="35" s="1"/>
  <c r="M89" i="35" s="1"/>
  <c r="H10" i="36"/>
  <c r="AB10" i="36" s="1"/>
  <c r="F28" i="36"/>
  <c r="S28" i="36"/>
  <c r="F27" i="36"/>
  <c r="S27" i="36"/>
  <c r="H13" i="21"/>
  <c r="J13" i="21"/>
  <c r="AC13" i="21"/>
  <c r="F13" i="21"/>
  <c r="AA13" i="21" s="1"/>
  <c r="H27" i="21"/>
  <c r="AB27" i="21"/>
  <c r="J27" i="21"/>
  <c r="W27" i="21" s="1"/>
  <c r="F27" i="21"/>
  <c r="J31" i="21"/>
  <c r="AC31" i="21"/>
  <c r="H31" i="21"/>
  <c r="U31" i="21" s="1"/>
  <c r="F31" i="21"/>
  <c r="S31" i="21"/>
  <c r="J45" i="21"/>
  <c r="W45" i="21" s="1"/>
  <c r="F45" i="21"/>
  <c r="S45" i="21" s="1"/>
  <c r="AA45" i="21"/>
  <c r="H45" i="21"/>
  <c r="U45" i="21"/>
  <c r="J27" i="33"/>
  <c r="AC27" i="33"/>
  <c r="F27" i="33"/>
  <c r="S27" i="33" s="1"/>
  <c r="J29" i="33"/>
  <c r="AC29" i="33" s="1"/>
  <c r="W29" i="33"/>
  <c r="J31" i="33"/>
  <c r="AC31" i="33" s="1"/>
  <c r="H31" i="33"/>
  <c r="J45" i="33"/>
  <c r="F11" i="35"/>
  <c r="S11" i="35"/>
  <c r="H28" i="36"/>
  <c r="U28" i="36" s="1"/>
  <c r="H32" i="36"/>
  <c r="AB32" i="36"/>
  <c r="J32" i="36"/>
  <c r="J11" i="36"/>
  <c r="W11" i="36" s="1"/>
  <c r="H13" i="36"/>
  <c r="AB13" i="36" s="1"/>
  <c r="E89" i="37"/>
  <c r="F89" i="37" s="1"/>
  <c r="G89" i="37" s="1"/>
  <c r="H89" i="37" s="1"/>
  <c r="I89" i="37" s="1"/>
  <c r="J89" i="37" s="1"/>
  <c r="K89" i="37" s="1"/>
  <c r="L89" i="37" s="1"/>
  <c r="M89" i="37" s="1"/>
  <c r="J29" i="37"/>
  <c r="W29" i="37"/>
  <c r="F29" i="37"/>
  <c r="AA29" i="37" s="1"/>
  <c r="AB36" i="37"/>
  <c r="F107" i="37"/>
  <c r="G107" i="37" s="1"/>
  <c r="H107" i="37" s="1"/>
  <c r="J37" i="37"/>
  <c r="AC37" i="37" s="1"/>
  <c r="H37" i="37"/>
  <c r="H40" i="37"/>
  <c r="U40" i="37"/>
  <c r="J40" i="37"/>
  <c r="W40" i="37" s="1"/>
  <c r="F40" i="37"/>
  <c r="AA40" i="37" s="1"/>
  <c r="H14" i="33"/>
  <c r="U14" i="33" s="1"/>
  <c r="F14" i="33"/>
  <c r="AA14" i="33" s="1"/>
  <c r="J14" i="33"/>
  <c r="AC14" i="33" s="1"/>
  <c r="H30" i="33"/>
  <c r="AB30" i="33"/>
  <c r="F30" i="33"/>
  <c r="AA30" i="33" s="1"/>
  <c r="S30" i="33"/>
  <c r="J30" i="33"/>
  <c r="AC30" i="33" s="1"/>
  <c r="U44" i="33"/>
  <c r="J44" i="33"/>
  <c r="AC44" i="33" s="1"/>
  <c r="F44" i="33"/>
  <c r="S44" i="33"/>
  <c r="J46" i="33"/>
  <c r="AC46" i="33" s="1"/>
  <c r="F46" i="33"/>
  <c r="AA46" i="33"/>
  <c r="H46" i="33"/>
  <c r="AB46" i="33" s="1"/>
  <c r="H13" i="34"/>
  <c r="U13" i="34" s="1"/>
  <c r="J13" i="34"/>
  <c r="W13" i="34"/>
  <c r="S29" i="34"/>
  <c r="H29" i="34"/>
  <c r="U29" i="34" s="1"/>
  <c r="J31" i="34"/>
  <c r="W31" i="34" s="1"/>
  <c r="AC31" i="34"/>
  <c r="H31" i="34"/>
  <c r="AB31" i="34" s="1"/>
  <c r="F31" i="34"/>
  <c r="AA31" i="34" s="1"/>
  <c r="H45" i="34"/>
  <c r="AB45" i="34" s="1"/>
  <c r="U45" i="34"/>
  <c r="J45" i="34"/>
  <c r="W45" i="34"/>
  <c r="F45" i="34"/>
  <c r="F47" i="34"/>
  <c r="AA47" i="34"/>
  <c r="J35" i="35"/>
  <c r="AC35" i="35" s="1"/>
  <c r="S35" i="35"/>
  <c r="H35" i="35"/>
  <c r="U35" i="35" s="1"/>
  <c r="J25" i="36"/>
  <c r="W25" i="36"/>
  <c r="F25" i="36"/>
  <c r="AB25" i="36"/>
  <c r="H13" i="37"/>
  <c r="AB13" i="37" s="1"/>
  <c r="J13" i="37"/>
  <c r="AC13" i="37" s="1"/>
  <c r="H28" i="37"/>
  <c r="U28" i="37" s="1"/>
  <c r="H38" i="37"/>
  <c r="AB38" i="37"/>
  <c r="AC38" i="37"/>
  <c r="F38" i="37"/>
  <c r="F14" i="37"/>
  <c r="F27" i="37"/>
  <c r="AA27" i="37"/>
  <c r="J14" i="37"/>
  <c r="W14" i="37"/>
  <c r="J27" i="37"/>
  <c r="W46" i="33"/>
  <c r="U30" i="33"/>
  <c r="AB40" i="37"/>
  <c r="J36" i="37"/>
  <c r="G105" i="37"/>
  <c r="AB31" i="21"/>
  <c r="U46" i="21"/>
  <c r="AC30" i="21"/>
  <c r="S28" i="21"/>
  <c r="AA28" i="21"/>
  <c r="S46" i="33"/>
  <c r="U36" i="37"/>
  <c r="AA27" i="33"/>
  <c r="AB27" i="33"/>
  <c r="AB44" i="21"/>
  <c r="S19" i="21"/>
  <c r="G529" i="3"/>
  <c r="G521" i="3"/>
  <c r="G517" i="3"/>
  <c r="G508" i="3"/>
  <c r="G499" i="3"/>
  <c r="G493" i="3"/>
  <c r="G565" i="3"/>
  <c r="G561" i="3"/>
  <c r="G557" i="3"/>
  <c r="G549" i="3"/>
  <c r="G545" i="3"/>
  <c r="G539" i="3"/>
  <c r="BL557" i="3"/>
  <c r="BL519" i="3"/>
  <c r="BL555" i="3"/>
  <c r="G518" i="3"/>
  <c r="G514" i="3"/>
  <c r="G510" i="3"/>
  <c r="BA555" i="3"/>
  <c r="AZ555" i="3" s="1"/>
  <c r="BA505" i="3"/>
  <c r="BA487" i="3"/>
  <c r="BA566" i="3"/>
  <c r="BA520" i="3"/>
  <c r="BA502" i="3"/>
  <c r="BA498" i="3"/>
  <c r="AZ498" i="3" s="1"/>
  <c r="BA20" i="3"/>
  <c r="G556" i="3"/>
  <c r="G550" i="3"/>
  <c r="G546" i="3"/>
  <c r="AC542" i="3"/>
  <c r="G542" i="3" s="1"/>
  <c r="BQ542" i="3"/>
  <c r="BL542" i="3"/>
  <c r="BQ568" i="3"/>
  <c r="BQ566" i="3"/>
  <c r="BQ564" i="3"/>
  <c r="BQ562" i="3"/>
  <c r="BQ560" i="3"/>
  <c r="BQ558" i="3"/>
  <c r="BL558" i="3"/>
  <c r="BQ556" i="3"/>
  <c r="BQ554" i="3"/>
  <c r="BQ552" i="3"/>
  <c r="BQ550" i="3"/>
  <c r="BQ548" i="3"/>
  <c r="BQ546" i="3"/>
  <c r="BQ544" i="3"/>
  <c r="G544" i="3"/>
  <c r="G538" i="3"/>
  <c r="G530" i="3"/>
  <c r="G522" i="3"/>
  <c r="BQ540" i="3"/>
  <c r="BQ538" i="3"/>
  <c r="BQ536" i="3"/>
  <c r="BQ534" i="3"/>
  <c r="BQ532" i="3"/>
  <c r="BQ530" i="3"/>
  <c r="BQ528" i="3"/>
  <c r="BQ526" i="3"/>
  <c r="BQ524" i="3"/>
  <c r="BQ522" i="3"/>
  <c r="BQ520" i="3"/>
  <c r="BL520" i="3"/>
  <c r="AZ520" i="3" s="1"/>
  <c r="BQ518" i="3"/>
  <c r="BQ516" i="3"/>
  <c r="BQ514" i="3"/>
  <c r="BQ512" i="3"/>
  <c r="BQ510" i="3"/>
  <c r="BQ508" i="3"/>
  <c r="BL508" i="3" s="1"/>
  <c r="AC506" i="3"/>
  <c r="G506" i="3"/>
  <c r="BQ506" i="3"/>
  <c r="G502" i="3"/>
  <c r="BQ504" i="3"/>
  <c r="BQ502" i="3"/>
  <c r="BQ500" i="3"/>
  <c r="BQ498" i="3"/>
  <c r="BQ496" i="3"/>
  <c r="AC494" i="3"/>
  <c r="BQ494" i="3"/>
  <c r="G484" i="3"/>
  <c r="BQ492" i="3"/>
  <c r="BQ490" i="3"/>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c r="E125" i="33"/>
  <c r="F125" i="33" s="1"/>
  <c r="G125" i="33" s="1"/>
  <c r="H43" i="33"/>
  <c r="U43" i="33" s="1"/>
  <c r="H17" i="37"/>
  <c r="U17" i="37"/>
  <c r="F23" i="37"/>
  <c r="F79" i="37"/>
  <c r="AB27" i="37"/>
  <c r="F39" i="33"/>
  <c r="AA39" i="33" s="1"/>
  <c r="E123" i="33"/>
  <c r="F123" i="33" s="1"/>
  <c r="G123" i="33" s="1"/>
  <c r="H123" i="33" s="1"/>
  <c r="I123" i="33" s="1"/>
  <c r="J123" i="33" s="1"/>
  <c r="K123" i="33" s="1"/>
  <c r="L123" i="33" s="1"/>
  <c r="M123" i="33" s="1"/>
  <c r="F22" i="36"/>
  <c r="S22" i="36" s="1"/>
  <c r="H35" i="34"/>
  <c r="U35" i="34"/>
  <c r="F41" i="34"/>
  <c r="S41" i="34" s="1"/>
  <c r="H41" i="34"/>
  <c r="U41" i="34"/>
  <c r="J41" i="34"/>
  <c r="F10" i="35"/>
  <c r="AA10" i="35" s="1"/>
  <c r="F24" i="35"/>
  <c r="AA24" i="35"/>
  <c r="H24" i="35"/>
  <c r="AB24" i="35" s="1"/>
  <c r="H23" i="37"/>
  <c r="AB23" i="37"/>
  <c r="J32" i="37"/>
  <c r="AC32" i="37"/>
  <c r="F36" i="37"/>
  <c r="F37" i="37"/>
  <c r="AA37" i="37" s="1"/>
  <c r="U23" i="37"/>
  <c r="J43" i="33"/>
  <c r="AC43" i="33" s="1"/>
  <c r="G79" i="37"/>
  <c r="J23" i="37"/>
  <c r="W23" i="37" s="1"/>
  <c r="F17" i="37"/>
  <c r="AA17" i="37"/>
  <c r="D3" i="21"/>
  <c r="W23" i="35"/>
  <c r="S27" i="37"/>
  <c r="U39" i="37"/>
  <c r="AC8" i="37"/>
  <c r="S25" i="37"/>
  <c r="AB8" i="34"/>
  <c r="U19" i="21"/>
  <c r="AC33" i="21"/>
  <c r="AA36" i="21"/>
  <c r="AB44" i="33"/>
  <c r="I107" i="37"/>
  <c r="J107" i="37" s="1"/>
  <c r="K107" i="37"/>
  <c r="L107" i="37" s="1"/>
  <c r="M107" i="37" s="1"/>
  <c r="F37" i="21"/>
  <c r="S37" i="21"/>
  <c r="J37" i="21"/>
  <c r="W37" i="21" s="1"/>
  <c r="H19" i="34"/>
  <c r="AB19" i="34"/>
  <c r="J10" i="37"/>
  <c r="AC10" i="37" s="1"/>
  <c r="F36" i="35"/>
  <c r="S36" i="35"/>
  <c r="J9" i="37"/>
  <c r="W9" i="37"/>
  <c r="H9" i="37"/>
  <c r="U9" i="37"/>
  <c r="F9" i="37"/>
  <c r="S9" i="37" s="1"/>
  <c r="F11" i="37"/>
  <c r="J12" i="37"/>
  <c r="H15" i="37"/>
  <c r="U15" i="37"/>
  <c r="E94" i="37"/>
  <c r="F94" i="37" s="1"/>
  <c r="G94" i="37" s="1"/>
  <c r="H94" i="37" s="1"/>
  <c r="F31" i="37"/>
  <c r="S31" i="37" s="1"/>
  <c r="I94" i="37"/>
  <c r="J94" i="37" s="1"/>
  <c r="K94" i="37" s="1"/>
  <c r="L94" i="37" s="1"/>
  <c r="M94" i="37" s="1"/>
  <c r="H31" i="37"/>
  <c r="J15" i="37"/>
  <c r="W15" i="37"/>
  <c r="J11" i="37"/>
  <c r="E89" i="40"/>
  <c r="F21" i="40"/>
  <c r="S21" i="40" s="1"/>
  <c r="F89" i="40"/>
  <c r="G89" i="40" s="1"/>
  <c r="J21" i="40"/>
  <c r="AC21" i="40" s="1"/>
  <c r="S27" i="31"/>
  <c r="G515" i="3"/>
  <c r="G507" i="3"/>
  <c r="G501" i="3"/>
  <c r="BA15" i="3"/>
  <c r="AZ15" i="3" s="1"/>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AZ379" i="3" s="1"/>
  <c r="BA114" i="3"/>
  <c r="AZ114" i="3" s="1"/>
  <c r="BL115" i="3"/>
  <c r="G116" i="3"/>
  <c r="BA118" i="3"/>
  <c r="BL119" i="3"/>
  <c r="G120" i="3"/>
  <c r="BA122" i="3"/>
  <c r="BL123" i="3"/>
  <c r="AZ123" i="3" s="1"/>
  <c r="G124" i="3"/>
  <c r="BA126" i="3"/>
  <c r="BL127" i="3"/>
  <c r="G128" i="3"/>
  <c r="BA130" i="3"/>
  <c r="AZ130" i="3" s="1"/>
  <c r="BL131" i="3"/>
  <c r="G132" i="3"/>
  <c r="BA134" i="3"/>
  <c r="AZ134" i="3" s="1"/>
  <c r="BL135" i="3"/>
  <c r="AZ135" i="3" s="1"/>
  <c r="G136" i="3"/>
  <c r="BA138" i="3"/>
  <c r="BL139" i="3"/>
  <c r="AZ139" i="3" s="1"/>
  <c r="G140" i="3"/>
  <c r="BA142" i="3"/>
  <c r="BL143" i="3"/>
  <c r="G144" i="3"/>
  <c r="BA146" i="3"/>
  <c r="BL147" i="3"/>
  <c r="G148" i="3"/>
  <c r="BA150" i="3"/>
  <c r="BL151" i="3"/>
  <c r="BA153" i="3"/>
  <c r="BL154" i="3"/>
  <c r="AZ154" i="3" s="1"/>
  <c r="G155" i="3"/>
  <c r="BA157" i="3"/>
  <c r="BL158" i="3"/>
  <c r="G159" i="3"/>
  <c r="BA161" i="3"/>
  <c r="BL162" i="3"/>
  <c r="G163" i="3"/>
  <c r="BA165" i="3"/>
  <c r="BL166" i="3"/>
  <c r="G167" i="3"/>
  <c r="BA169" i="3"/>
  <c r="AZ169" i="3"/>
  <c r="BL170" i="3"/>
  <c r="AZ170" i="3" s="1"/>
  <c r="G171" i="3"/>
  <c r="BA173" i="3"/>
  <c r="BL174" i="3"/>
  <c r="AZ174" i="3" s="1"/>
  <c r="G175" i="3"/>
  <c r="BA178" i="3"/>
  <c r="BL179" i="3"/>
  <c r="G180" i="3"/>
  <c r="G537" i="3"/>
  <c r="BL181" i="3"/>
  <c r="G182" i="3"/>
  <c r="BA184" i="3"/>
  <c r="AZ184" i="3"/>
  <c r="BL185" i="3"/>
  <c r="G186" i="3"/>
  <c r="BA188" i="3"/>
  <c r="BL189" i="3"/>
  <c r="G190" i="3"/>
  <c r="BA192" i="3"/>
  <c r="BL193" i="3"/>
  <c r="G194" i="3"/>
  <c r="BA196" i="3"/>
  <c r="BL197" i="3"/>
  <c r="G198" i="3"/>
  <c r="BA200" i="3"/>
  <c r="AZ200" i="3" s="1"/>
  <c r="BL201" i="3"/>
  <c r="BA298" i="3"/>
  <c r="AZ298" i="3" s="1"/>
  <c r="BA299" i="3"/>
  <c r="AZ299" i="3" s="1"/>
  <c r="BL299" i="3"/>
  <c r="G300" i="3"/>
  <c r="G303" i="3"/>
  <c r="BL304" i="3"/>
  <c r="BA306" i="3"/>
  <c r="BA307" i="3"/>
  <c r="BL307" i="3"/>
  <c r="AZ307" i="3" s="1"/>
  <c r="G308" i="3"/>
  <c r="G319" i="3"/>
  <c r="BL320" i="3"/>
  <c r="BA322" i="3"/>
  <c r="BA323" i="3"/>
  <c r="AZ323" i="3" s="1"/>
  <c r="BL323" i="3"/>
  <c r="G324" i="3"/>
  <c r="G327" i="3"/>
  <c r="BL328" i="3"/>
  <c r="BA330" i="3"/>
  <c r="BA331" i="3"/>
  <c r="BL331" i="3"/>
  <c r="AZ331" i="3" s="1"/>
  <c r="G332" i="3"/>
  <c r="G335" i="3"/>
  <c r="BL336" i="3"/>
  <c r="BA338" i="3"/>
  <c r="AZ338" i="3" s="1"/>
  <c r="BA339" i="3"/>
  <c r="BL339" i="3"/>
  <c r="G340" i="3"/>
  <c r="G343" i="3"/>
  <c r="BL344" i="3"/>
  <c r="BA346" i="3"/>
  <c r="AZ346" i="3" s="1"/>
  <c r="BA347" i="3"/>
  <c r="AZ347" i="3" s="1"/>
  <c r="BL347" i="3"/>
  <c r="G348" i="3"/>
  <c r="G351" i="3"/>
  <c r="BL352" i="3"/>
  <c r="BA354" i="3"/>
  <c r="AZ354" i="3" s="1"/>
  <c r="BA355" i="3"/>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BA381" i="3"/>
  <c r="AZ381" i="3" s="1"/>
  <c r="BL381" i="3"/>
  <c r="G382" i="3"/>
  <c r="G385"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G326" i="3"/>
  <c r="BA328" i="3"/>
  <c r="AZ328" i="3" s="1"/>
  <c r="BL329" i="3"/>
  <c r="G330" i="3"/>
  <c r="BA332" i="3"/>
  <c r="AZ332" i="3" s="1"/>
  <c r="BL333" i="3"/>
  <c r="G334" i="3"/>
  <c r="BA336" i="3"/>
  <c r="BL337" i="3"/>
  <c r="AZ337" i="3" s="1"/>
  <c r="G338" i="3"/>
  <c r="BA340" i="3"/>
  <c r="BL341" i="3"/>
  <c r="AZ341" i="3" s="1"/>
  <c r="G342" i="3"/>
  <c r="BA344" i="3"/>
  <c r="AZ344" i="3" s="1"/>
  <c r="BL345" i="3"/>
  <c r="G346" i="3"/>
  <c r="BA348" i="3"/>
  <c r="AZ348" i="3" s="1"/>
  <c r="BL349" i="3"/>
  <c r="G350" i="3"/>
  <c r="BA352" i="3"/>
  <c r="AZ352" i="3" s="1"/>
  <c r="BL353" i="3"/>
  <c r="G354" i="3"/>
  <c r="BA356" i="3"/>
  <c r="AZ356" i="3" s="1"/>
  <c r="BL357" i="3"/>
  <c r="G358" i="3"/>
  <c r="BA362" i="3"/>
  <c r="BL363" i="3"/>
  <c r="G364" i="3"/>
  <c r="BA366" i="3"/>
  <c r="BL367" i="3"/>
  <c r="AZ321" i="3"/>
  <c r="AZ353" i="3"/>
  <c r="AZ363" i="3"/>
  <c r="G368" i="3"/>
  <c r="BA370" i="3"/>
  <c r="AZ370" i="3" s="1"/>
  <c r="BL371" i="3"/>
  <c r="G372" i="3"/>
  <c r="BA374" i="3"/>
  <c r="BL375" i="3"/>
  <c r="G376" i="3"/>
  <c r="BA378" i="3"/>
  <c r="AZ378" i="3"/>
  <c r="BL379" i="3"/>
  <c r="G380" i="3"/>
  <c r="BA382" i="3"/>
  <c r="BL383" i="3"/>
  <c r="G384" i="3"/>
  <c r="AZ311" i="3"/>
  <c r="AZ315" i="3"/>
  <c r="AZ339" i="3"/>
  <c r="AZ361" i="3"/>
  <c r="F37" i="46"/>
  <c r="AB15" i="37"/>
  <c r="AA43" i="21"/>
  <c r="U43" i="21"/>
  <c r="AA13" i="40"/>
  <c r="F77" i="40"/>
  <c r="G77" i="40" s="1"/>
  <c r="H77" i="40"/>
  <c r="I77" i="40" s="1"/>
  <c r="J77" i="40" s="1"/>
  <c r="K77" i="40" s="1"/>
  <c r="L77" i="40" s="1"/>
  <c r="M77" i="40" s="1"/>
  <c r="R16" i="4"/>
  <c r="D3" i="35"/>
  <c r="G4" i="4"/>
  <c r="S37" i="34"/>
  <c r="J16" i="35"/>
  <c r="W16" i="35" s="1"/>
  <c r="AC26" i="36"/>
  <c r="AZ300" i="3"/>
  <c r="AA36" i="35"/>
  <c r="H11" i="37"/>
  <c r="AB11" i="37"/>
  <c r="W37" i="37"/>
  <c r="AB17" i="37"/>
  <c r="AC11" i="36"/>
  <c r="AC14" i="37"/>
  <c r="AB35" i="35"/>
  <c r="W44" i="33"/>
  <c r="W30" i="33"/>
  <c r="AC29" i="37"/>
  <c r="J33" i="34"/>
  <c r="AC33" i="34" s="1"/>
  <c r="AB36" i="34"/>
  <c r="J40" i="34"/>
  <c r="F16" i="35"/>
  <c r="J35" i="34"/>
  <c r="I107" i="34"/>
  <c r="J107" i="34" s="1"/>
  <c r="K107" i="34" s="1"/>
  <c r="L107" i="34" s="1"/>
  <c r="M107" i="34" s="1"/>
  <c r="S30" i="36"/>
  <c r="H16" i="36"/>
  <c r="AB16" i="36" s="1"/>
  <c r="H35" i="37"/>
  <c r="AB35" i="37"/>
  <c r="S26" i="21"/>
  <c r="H32" i="21"/>
  <c r="U32" i="21" s="1"/>
  <c r="AB26" i="21"/>
  <c r="U26" i="21"/>
  <c r="S33" i="21"/>
  <c r="U39" i="21"/>
  <c r="J32" i="21"/>
  <c r="AC32" i="21" s="1"/>
  <c r="F17" i="21"/>
  <c r="H17" i="21"/>
  <c r="AB17" i="21" s="1"/>
  <c r="J17" i="21"/>
  <c r="AC17" i="21"/>
  <c r="H37" i="21"/>
  <c r="U37" i="21"/>
  <c r="F40" i="21"/>
  <c r="S40" i="21" s="1"/>
  <c r="H40" i="21"/>
  <c r="AB40" i="21" s="1"/>
  <c r="H119" i="21"/>
  <c r="I119" i="21" s="1"/>
  <c r="J119" i="21" s="1"/>
  <c r="K119" i="21" s="1"/>
  <c r="L119" i="21"/>
  <c r="M119" i="21" s="1"/>
  <c r="AA8" i="33"/>
  <c r="AC8" i="33"/>
  <c r="F10" i="33"/>
  <c r="AA10" i="33" s="1"/>
  <c r="F32" i="33"/>
  <c r="AA32" i="33"/>
  <c r="J32" i="33"/>
  <c r="AC32" i="33" s="1"/>
  <c r="F35" i="33"/>
  <c r="AA35" i="33" s="1"/>
  <c r="F11" i="34"/>
  <c r="S11" i="34"/>
  <c r="E80" i="34"/>
  <c r="F80" i="34" s="1"/>
  <c r="H17" i="34"/>
  <c r="AC27" i="34"/>
  <c r="W27" i="34"/>
  <c r="AB28" i="35"/>
  <c r="U28" i="35"/>
  <c r="H29" i="33"/>
  <c r="AB29" i="33" s="1"/>
  <c r="F29" i="33"/>
  <c r="J12" i="34"/>
  <c r="AC12" i="34"/>
  <c r="H12" i="34"/>
  <c r="AB12" i="34"/>
  <c r="F12" i="34"/>
  <c r="J14" i="34"/>
  <c r="W14" i="34"/>
  <c r="F14" i="34"/>
  <c r="S14" i="34"/>
  <c r="H14" i="34"/>
  <c r="AB14" i="34" s="1"/>
  <c r="H30" i="34"/>
  <c r="F30" i="34"/>
  <c r="S30" i="34" s="1"/>
  <c r="W30" i="34"/>
  <c r="H32" i="34"/>
  <c r="AB32" i="34"/>
  <c r="W32" i="34"/>
  <c r="H46" i="34"/>
  <c r="AB46" i="34"/>
  <c r="F46" i="34"/>
  <c r="S46" i="34" s="1"/>
  <c r="AA46" i="34"/>
  <c r="J46" i="34"/>
  <c r="AC46" i="34" s="1"/>
  <c r="H11" i="35"/>
  <c r="U11" i="35" s="1"/>
  <c r="J11" i="35"/>
  <c r="AC11" i="35" s="1"/>
  <c r="F96" i="37"/>
  <c r="G96" i="37" s="1"/>
  <c r="H32" i="37"/>
  <c r="AB32" i="37" s="1"/>
  <c r="U31" i="34"/>
  <c r="AC40" i="37"/>
  <c r="W27" i="33"/>
  <c r="AC45" i="21"/>
  <c r="S14" i="21"/>
  <c r="AA44" i="34"/>
  <c r="AA35" i="37"/>
  <c r="AA32" i="21"/>
  <c r="S32" i="21"/>
  <c r="U38" i="21"/>
  <c r="F42" i="21"/>
  <c r="AA42" i="21" s="1"/>
  <c r="AB40" i="33"/>
  <c r="U40" i="33"/>
  <c r="AA35" i="34"/>
  <c r="S35" i="34"/>
  <c r="AB27" i="34"/>
  <c r="AB8" i="35"/>
  <c r="U8" i="35"/>
  <c r="S9" i="35"/>
  <c r="J14" i="35"/>
  <c r="AC14" i="35"/>
  <c r="F14" i="35"/>
  <c r="AA14" i="35" s="1"/>
  <c r="H14" i="35"/>
  <c r="U14" i="35"/>
  <c r="E80" i="35"/>
  <c r="F80" i="35" s="1"/>
  <c r="E94" i="35"/>
  <c r="F94" i="35" s="1"/>
  <c r="G94" i="35" s="1"/>
  <c r="H94" i="35"/>
  <c r="I94" i="35" s="1"/>
  <c r="J94" i="35" s="1"/>
  <c r="K94" i="35" s="1"/>
  <c r="L94" i="35" s="1"/>
  <c r="M94" i="35" s="1"/>
  <c r="J32" i="35"/>
  <c r="AC32" i="35" s="1"/>
  <c r="H11" i="36"/>
  <c r="AB11" i="36" s="1"/>
  <c r="F11" i="36"/>
  <c r="S11" i="36"/>
  <c r="W16" i="36"/>
  <c r="AC16" i="36"/>
  <c r="E78" i="36"/>
  <c r="F78" i="36" s="1"/>
  <c r="G78" i="36"/>
  <c r="H78" i="36" s="1"/>
  <c r="I78" i="36" s="1"/>
  <c r="J78" i="36" s="1"/>
  <c r="K78" i="36"/>
  <c r="L78" i="36" s="1"/>
  <c r="M78" i="36" s="1"/>
  <c r="F26" i="36"/>
  <c r="S26" i="36"/>
  <c r="U34" i="36"/>
  <c r="H33" i="36"/>
  <c r="F33" i="36"/>
  <c r="AA33" i="36"/>
  <c r="H27" i="36"/>
  <c r="AB27" i="36"/>
  <c r="AA31" i="36"/>
  <c r="AC26" i="37"/>
  <c r="W26" i="37"/>
  <c r="AB29" i="37"/>
  <c r="AA30" i="37"/>
  <c r="S30" i="37"/>
  <c r="AC30" i="37"/>
  <c r="AC31" i="37"/>
  <c r="W31" i="37"/>
  <c r="AB14" i="37"/>
  <c r="F17" i="39"/>
  <c r="H17" i="39"/>
  <c r="U17" i="39" s="1"/>
  <c r="J17" i="39"/>
  <c r="F21" i="39"/>
  <c r="H21" i="39"/>
  <c r="J21" i="39"/>
  <c r="W21" i="39"/>
  <c r="F33" i="39"/>
  <c r="H33" i="39"/>
  <c r="U33" i="39" s="1"/>
  <c r="J33" i="39"/>
  <c r="E127" i="39"/>
  <c r="F127" i="39" s="1"/>
  <c r="G127" i="39" s="1"/>
  <c r="H127" i="39" s="1"/>
  <c r="I127" i="39" s="1"/>
  <c r="J127" i="39" s="1"/>
  <c r="K127" i="39" s="1"/>
  <c r="L127" i="39" s="1"/>
  <c r="M127" i="39" s="1"/>
  <c r="F46" i="39"/>
  <c r="S46" i="39" s="1"/>
  <c r="H46" i="39"/>
  <c r="F29" i="39"/>
  <c r="AA29" i="39" s="1"/>
  <c r="E102" i="39"/>
  <c r="F102" i="39" s="1"/>
  <c r="G102" i="39" s="1"/>
  <c r="H29" i="39"/>
  <c r="U29" i="39"/>
  <c r="F34" i="39"/>
  <c r="AA34" i="39" s="1"/>
  <c r="H34" i="39"/>
  <c r="AB34" i="39" s="1"/>
  <c r="J34" i="39"/>
  <c r="AC34" i="39" s="1"/>
  <c r="F39" i="39"/>
  <c r="H39" i="39"/>
  <c r="AB39" i="39" s="1"/>
  <c r="J39" i="39"/>
  <c r="AC39" i="39" s="1"/>
  <c r="J29" i="35"/>
  <c r="AC29" i="35"/>
  <c r="F29" i="35"/>
  <c r="S29" i="35" s="1"/>
  <c r="W30" i="36"/>
  <c r="AC30" i="36"/>
  <c r="F37" i="39"/>
  <c r="S37" i="39"/>
  <c r="H37" i="39"/>
  <c r="U37" i="39"/>
  <c r="J37" i="39"/>
  <c r="W37" i="39" s="1"/>
  <c r="BL568" i="3"/>
  <c r="BL566" i="3"/>
  <c r="AZ566" i="3" s="1"/>
  <c r="BA564" i="3"/>
  <c r="BA553" i="3"/>
  <c r="AZ553" i="3" s="1"/>
  <c r="BA537" i="3"/>
  <c r="AZ537" i="3" s="1"/>
  <c r="BA523" i="3"/>
  <c r="AZ523" i="3" s="1"/>
  <c r="BL521" i="3"/>
  <c r="BA514" i="3"/>
  <c r="BL513" i="3"/>
  <c r="BA510" i="3"/>
  <c r="AZ510" i="3" s="1"/>
  <c r="BA507" i="3"/>
  <c r="BA504" i="3"/>
  <c r="BL497" i="3"/>
  <c r="BA496" i="3"/>
  <c r="BA495" i="3"/>
  <c r="AZ495" i="3" s="1"/>
  <c r="G494" i="3"/>
  <c r="BL489" i="3"/>
  <c r="BA489" i="3"/>
  <c r="AZ489" i="3" s="1"/>
  <c r="BL19" i="3"/>
  <c r="H38" i="34"/>
  <c r="H30" i="40"/>
  <c r="G99" i="40"/>
  <c r="J30" i="40"/>
  <c r="AC30" i="40"/>
  <c r="F38" i="40"/>
  <c r="AA36" i="34"/>
  <c r="AB33" i="21"/>
  <c r="AB10" i="21"/>
  <c r="U8" i="21"/>
  <c r="AB8" i="21"/>
  <c r="S34" i="21"/>
  <c r="AC36" i="21"/>
  <c r="U8" i="33"/>
  <c r="H34" i="33"/>
  <c r="U34" i="33" s="1"/>
  <c r="F34" i="33"/>
  <c r="S34" i="33" s="1"/>
  <c r="E121" i="33"/>
  <c r="F121" i="33" s="1"/>
  <c r="F41" i="33"/>
  <c r="S41" i="33"/>
  <c r="AC34" i="34"/>
  <c r="W34" i="34"/>
  <c r="AA39" i="34"/>
  <c r="S39" i="34"/>
  <c r="S43" i="34"/>
  <c r="E78" i="34"/>
  <c r="F15" i="34"/>
  <c r="AC28" i="35"/>
  <c r="W28" i="35"/>
  <c r="J20" i="35"/>
  <c r="F72" i="35"/>
  <c r="G72" i="35" s="1"/>
  <c r="H22" i="35"/>
  <c r="AB22" i="35"/>
  <c r="H23" i="35"/>
  <c r="U23" i="35" s="1"/>
  <c r="F23" i="35"/>
  <c r="AA23" i="35"/>
  <c r="U31" i="36"/>
  <c r="S8" i="37"/>
  <c r="AA8" i="37"/>
  <c r="F14" i="39"/>
  <c r="AA14" i="39" s="1"/>
  <c r="H14" i="39"/>
  <c r="AB14" i="39"/>
  <c r="J14" i="39"/>
  <c r="AC14" i="39"/>
  <c r="H16" i="39"/>
  <c r="U16" i="39" s="1"/>
  <c r="E96" i="39"/>
  <c r="H23" i="39" s="1"/>
  <c r="AB23" i="39" s="1"/>
  <c r="F15" i="40"/>
  <c r="J15" i="40"/>
  <c r="AC15" i="40" s="1"/>
  <c r="H15" i="40"/>
  <c r="AB15" i="40" s="1"/>
  <c r="E91" i="40"/>
  <c r="F91" i="40"/>
  <c r="G91" i="40" s="1"/>
  <c r="H23" i="40"/>
  <c r="U23" i="40"/>
  <c r="H41" i="40"/>
  <c r="F41" i="40"/>
  <c r="AA41" i="40" s="1"/>
  <c r="H36" i="33"/>
  <c r="AB36" i="33" s="1"/>
  <c r="H37" i="34"/>
  <c r="F15" i="39"/>
  <c r="AA15" i="39"/>
  <c r="H15" i="39"/>
  <c r="J15" i="39"/>
  <c r="AC15" i="39"/>
  <c r="H25" i="39"/>
  <c r="U25" i="39" s="1"/>
  <c r="J25" i="39"/>
  <c r="AC25" i="39" s="1"/>
  <c r="F25" i="39"/>
  <c r="AA25" i="39" s="1"/>
  <c r="F45" i="39"/>
  <c r="AA45" i="39" s="1"/>
  <c r="H45" i="39"/>
  <c r="U45" i="39" s="1"/>
  <c r="J45" i="39"/>
  <c r="H47" i="39"/>
  <c r="AB47" i="39" s="1"/>
  <c r="F41" i="39"/>
  <c r="AA41" i="39" s="1"/>
  <c r="H41" i="39"/>
  <c r="AB41" i="39" s="1"/>
  <c r="J41" i="39"/>
  <c r="AC41" i="39" s="1"/>
  <c r="J25" i="40"/>
  <c r="AC25" i="40" s="1"/>
  <c r="J32" i="40"/>
  <c r="H32" i="40"/>
  <c r="U32" i="40" s="1"/>
  <c r="H33" i="40"/>
  <c r="AB33" i="40" s="1"/>
  <c r="F33" i="40"/>
  <c r="AA33" i="40" s="1"/>
  <c r="J33" i="40"/>
  <c r="AC33" i="40" s="1"/>
  <c r="H35" i="40"/>
  <c r="AB35" i="40" s="1"/>
  <c r="F35" i="40"/>
  <c r="AA35" i="40" s="1"/>
  <c r="J35" i="40"/>
  <c r="AC35" i="40" s="1"/>
  <c r="J38" i="39"/>
  <c r="W38" i="39" s="1"/>
  <c r="H38" i="39"/>
  <c r="U38" i="39"/>
  <c r="J14" i="40"/>
  <c r="H42" i="40"/>
  <c r="AB42" i="40" s="1"/>
  <c r="H40" i="40"/>
  <c r="U40" i="40" s="1"/>
  <c r="H34" i="40"/>
  <c r="U34" i="40"/>
  <c r="B41" i="1"/>
  <c r="J40" i="40"/>
  <c r="AC40" i="40"/>
  <c r="J34" i="40"/>
  <c r="AC34" i="40" s="1"/>
  <c r="H16" i="40"/>
  <c r="U16" i="40" s="1"/>
  <c r="AB16" i="40"/>
  <c r="H14" i="40"/>
  <c r="U14" i="40"/>
  <c r="F32" i="40"/>
  <c r="AA32" i="40" s="1"/>
  <c r="F61" i="46"/>
  <c r="H61" i="46" s="1"/>
  <c r="AZ137" i="3"/>
  <c r="F72" i="46"/>
  <c r="AZ32" i="3"/>
  <c r="AZ48" i="3"/>
  <c r="J13" i="40"/>
  <c r="AC13" i="40" s="1"/>
  <c r="W13" i="40"/>
  <c r="AB14" i="40"/>
  <c r="W40" i="40"/>
  <c r="F72" i="9"/>
  <c r="S33" i="40"/>
  <c r="U37" i="34"/>
  <c r="AB37" i="34"/>
  <c r="AC41" i="40"/>
  <c r="W41" i="40"/>
  <c r="J23" i="40"/>
  <c r="AC23" i="40"/>
  <c r="F23" i="40"/>
  <c r="S23" i="40" s="1"/>
  <c r="W14" i="39"/>
  <c r="AB23" i="35"/>
  <c r="H20" i="35"/>
  <c r="AB20" i="35" s="1"/>
  <c r="F20" i="35"/>
  <c r="AA20" i="35" s="1"/>
  <c r="S20" i="35"/>
  <c r="H15" i="34"/>
  <c r="AB15" i="34"/>
  <c r="F78" i="34"/>
  <c r="G78" i="34" s="1"/>
  <c r="J15" i="34"/>
  <c r="W15" i="34" s="1"/>
  <c r="H41" i="33"/>
  <c r="U41" i="33" s="1"/>
  <c r="G121" i="33"/>
  <c r="H121" i="33" s="1"/>
  <c r="I121" i="33" s="1"/>
  <c r="J121" i="33" s="1"/>
  <c r="K121" i="33" s="1"/>
  <c r="L121" i="33" s="1"/>
  <c r="M121" i="33" s="1"/>
  <c r="F30" i="40"/>
  <c r="H99" i="40"/>
  <c r="I99" i="40" s="1"/>
  <c r="J99" i="40" s="1"/>
  <c r="K99" i="40" s="1"/>
  <c r="L99" i="40" s="1"/>
  <c r="M99" i="40" s="1"/>
  <c r="AZ497" i="3"/>
  <c r="AB37" i="39"/>
  <c r="AA29" i="35"/>
  <c r="U39" i="39"/>
  <c r="J29" i="39"/>
  <c r="AC29" i="39" s="1"/>
  <c r="AB21" i="39"/>
  <c r="U21" i="39"/>
  <c r="AB17" i="39"/>
  <c r="AA11" i="36"/>
  <c r="F33" i="37"/>
  <c r="U46" i="34"/>
  <c r="AC30" i="34"/>
  <c r="AA14" i="34"/>
  <c r="W12" i="34"/>
  <c r="U29" i="33"/>
  <c r="AA11" i="34"/>
  <c r="AA40" i="21"/>
  <c r="U17" i="21"/>
  <c r="AB34" i="40"/>
  <c r="U42" i="40"/>
  <c r="H25" i="40"/>
  <c r="AB25" i="40"/>
  <c r="G93" i="40"/>
  <c r="W15" i="39"/>
  <c r="J37" i="34"/>
  <c r="AC37" i="34" s="1"/>
  <c r="J36" i="33"/>
  <c r="W36" i="33" s="1"/>
  <c r="S41" i="40"/>
  <c r="AB23" i="40"/>
  <c r="S15" i="34"/>
  <c r="AA15" i="34"/>
  <c r="AA41" i="33"/>
  <c r="J34" i="33"/>
  <c r="AC34" i="33" s="1"/>
  <c r="AA37" i="39"/>
  <c r="W29" i="35"/>
  <c r="W39" i="39"/>
  <c r="AA39" i="39"/>
  <c r="S39" i="39"/>
  <c r="AB29" i="39"/>
  <c r="AC33" i="39"/>
  <c r="W33" i="39"/>
  <c r="AA33" i="39"/>
  <c r="S33" i="39"/>
  <c r="G80" i="35"/>
  <c r="H80" i="35" s="1"/>
  <c r="I80" i="35" s="1"/>
  <c r="J80" i="35" s="1"/>
  <c r="K80" i="35" s="1"/>
  <c r="L80" i="35" s="1"/>
  <c r="M80" i="35" s="1"/>
  <c r="W14" i="35"/>
  <c r="F90" i="34"/>
  <c r="G90" i="34"/>
  <c r="H90" i="34" s="1"/>
  <c r="I90" i="34" s="1"/>
  <c r="J90" i="34" s="1"/>
  <c r="K90" i="34" s="1"/>
  <c r="L90" i="34" s="1"/>
  <c r="M90" i="34" s="1"/>
  <c r="F27" i="34"/>
  <c r="AA27" i="34" s="1"/>
  <c r="S27" i="34"/>
  <c r="H96" i="37"/>
  <c r="I96" i="37" s="1"/>
  <c r="J96" i="37" s="1"/>
  <c r="K96" i="37" s="1"/>
  <c r="L96" i="37" s="1"/>
  <c r="M96" i="37" s="1"/>
  <c r="F32" i="37"/>
  <c r="U32" i="34"/>
  <c r="U14" i="34"/>
  <c r="AC14" i="34"/>
  <c r="U12" i="34"/>
  <c r="G80" i="34"/>
  <c r="F17" i="34"/>
  <c r="J17" i="34"/>
  <c r="AC17" i="34"/>
  <c r="H11" i="34"/>
  <c r="AB11" i="34"/>
  <c r="J35" i="33"/>
  <c r="W35" i="33" s="1"/>
  <c r="S32" i="33"/>
  <c r="H11" i="33"/>
  <c r="U11" i="33" s="1"/>
  <c r="H10" i="33"/>
  <c r="U10" i="33" s="1"/>
  <c r="J10" i="33"/>
  <c r="W10" i="33" s="1"/>
  <c r="U40" i="21"/>
  <c r="U11" i="37"/>
  <c r="AC16" i="35"/>
  <c r="J11" i="34"/>
  <c r="F25" i="40"/>
  <c r="AA25" i="40" s="1"/>
  <c r="J11" i="33"/>
  <c r="W11" i="33" s="1"/>
  <c r="H33" i="37"/>
  <c r="U33" i="37" s="1"/>
  <c r="AB33" i="37"/>
  <c r="AC15" i="34"/>
  <c r="U20" i="35"/>
  <c r="W23" i="40"/>
  <c r="B11" i="1"/>
  <c r="E11" i="1" s="1"/>
  <c r="K11" i="1"/>
  <c r="M11" i="1" s="1"/>
  <c r="B9" i="1"/>
  <c r="E9" i="1" s="1"/>
  <c r="K9" i="1"/>
  <c r="M9" i="1" s="1"/>
  <c r="B7" i="1"/>
  <c r="E7" i="1" s="1"/>
  <c r="K7" i="1"/>
  <c r="M7" i="1" s="1"/>
  <c r="AP6" i="1"/>
  <c r="M20" i="44"/>
  <c r="AC25" i="36"/>
  <c r="S8" i="36"/>
  <c r="AA26" i="36"/>
  <c r="AA28" i="36"/>
  <c r="U25" i="36"/>
  <c r="H20" i="36"/>
  <c r="U20" i="36"/>
  <c r="G68" i="36"/>
  <c r="J20" i="36"/>
  <c r="AC20" i="36" s="1"/>
  <c r="F20" i="36"/>
  <c r="AA20" i="36" s="1"/>
  <c r="S20" i="36"/>
  <c r="F62" i="36"/>
  <c r="G62" i="36"/>
  <c r="J14" i="36"/>
  <c r="H14" i="36"/>
  <c r="F14" i="36"/>
  <c r="AA14" i="36" s="1"/>
  <c r="W20" i="36"/>
  <c r="U27" i="36"/>
  <c r="U32" i="36"/>
  <c r="AB12" i="36"/>
  <c r="U9" i="36"/>
  <c r="S33" i="36"/>
  <c r="AA27" i="36"/>
  <c r="S29" i="36"/>
  <c r="AC33" i="35"/>
  <c r="U22" i="35"/>
  <c r="S8" i="35"/>
  <c r="S23" i="35"/>
  <c r="AB14" i="35"/>
  <c r="AC18" i="35"/>
  <c r="W18" i="35"/>
  <c r="U18" i="35"/>
  <c r="AB18" i="35"/>
  <c r="AA35" i="35"/>
  <c r="AB30" i="35"/>
  <c r="S27" i="35"/>
  <c r="S28" i="35"/>
  <c r="F26" i="35"/>
  <c r="S26" i="35" s="1"/>
  <c r="H26" i="35"/>
  <c r="AB9" i="37"/>
  <c r="S17" i="37"/>
  <c r="AA31" i="37"/>
  <c r="S33" i="37"/>
  <c r="AA33" i="37"/>
  <c r="U32" i="37"/>
  <c r="J33" i="37"/>
  <c r="W33" i="37"/>
  <c r="S29" i="37"/>
  <c r="J19" i="37"/>
  <c r="AC19" i="37" s="1"/>
  <c r="G75" i="37"/>
  <c r="F19" i="37"/>
  <c r="AA19" i="37" s="1"/>
  <c r="H19" i="37"/>
  <c r="U19" i="37" s="1"/>
  <c r="J17" i="37"/>
  <c r="S15" i="37"/>
  <c r="AC21" i="37"/>
  <c r="W21" i="37"/>
  <c r="AC9" i="37"/>
  <c r="W32" i="37"/>
  <c r="U35" i="37"/>
  <c r="U8" i="37"/>
  <c r="AB25" i="37"/>
  <c r="AB21" i="37"/>
  <c r="U21" i="37"/>
  <c r="S37" i="37"/>
  <c r="S40" i="37"/>
  <c r="W46" i="34"/>
  <c r="AC45" i="34"/>
  <c r="AA40" i="34"/>
  <c r="W33" i="34"/>
  <c r="AB33" i="34"/>
  <c r="AA30" i="34"/>
  <c r="AC32" i="34"/>
  <c r="AA33" i="34"/>
  <c r="U44" i="34"/>
  <c r="U34" i="34"/>
  <c r="J25" i="34"/>
  <c r="AC25" i="34" s="1"/>
  <c r="H25" i="34"/>
  <c r="F25" i="34"/>
  <c r="AA25" i="34" s="1"/>
  <c r="J23" i="34"/>
  <c r="AC23" i="34" s="1"/>
  <c r="F86" i="34"/>
  <c r="G86" i="34"/>
  <c r="F23" i="34"/>
  <c r="H23" i="34"/>
  <c r="W17" i="34"/>
  <c r="U11" i="34"/>
  <c r="W37" i="34"/>
  <c r="W44" i="34"/>
  <c r="AC21" i="34"/>
  <c r="W21" i="34"/>
  <c r="U15" i="34"/>
  <c r="AB21" i="34"/>
  <c r="U21" i="34"/>
  <c r="U27" i="34"/>
  <c r="U19" i="34"/>
  <c r="AB41" i="34"/>
  <c r="S13" i="34"/>
  <c r="AA41" i="34"/>
  <c r="S9" i="34"/>
  <c r="W31" i="33"/>
  <c r="U46" i="33"/>
  <c r="W26" i="33"/>
  <c r="AB26" i="33"/>
  <c r="H25" i="33"/>
  <c r="AB25" i="33"/>
  <c r="J25" i="33"/>
  <c r="W25" i="33" s="1"/>
  <c r="F87" i="33"/>
  <c r="G87" i="33"/>
  <c r="H87" i="33" s="1"/>
  <c r="I87" i="33" s="1"/>
  <c r="J87" i="33" s="1"/>
  <c r="K87" i="33" s="1"/>
  <c r="L87" i="33" s="1"/>
  <c r="M87" i="33" s="1"/>
  <c r="F25" i="33"/>
  <c r="S25" i="33" s="1"/>
  <c r="S14" i="33"/>
  <c r="AC21" i="33"/>
  <c r="W21" i="33"/>
  <c r="W14" i="33"/>
  <c r="U25" i="33"/>
  <c r="AB21" i="33"/>
  <c r="U21" i="33"/>
  <c r="AA21" i="33"/>
  <c r="S21" i="33"/>
  <c r="AA44" i="33"/>
  <c r="AA36" i="33"/>
  <c r="W39" i="21"/>
  <c r="AC34" i="21"/>
  <c r="W32" i="21"/>
  <c r="U35" i="21"/>
  <c r="W43" i="21"/>
  <c r="AA37" i="21"/>
  <c r="S42" i="21"/>
  <c r="AB37" i="21"/>
  <c r="AB32" i="21"/>
  <c r="W28" i="21"/>
  <c r="AC46" i="21"/>
  <c r="AC26" i="21"/>
  <c r="F85" i="21"/>
  <c r="G85" i="21"/>
  <c r="J23" i="21"/>
  <c r="W23" i="21" s="1"/>
  <c r="F23" i="21"/>
  <c r="S23" i="21" s="1"/>
  <c r="H23" i="21"/>
  <c r="AB23" i="21" s="1"/>
  <c r="W17" i="21"/>
  <c r="F15" i="21"/>
  <c r="AA15" i="21" s="1"/>
  <c r="S15" i="21"/>
  <c r="F77" i="21"/>
  <c r="G77" i="21" s="1"/>
  <c r="J15" i="21"/>
  <c r="AC15" i="21" s="1"/>
  <c r="H15" i="21"/>
  <c r="AB11" i="21"/>
  <c r="W13" i="21"/>
  <c r="AA11" i="21"/>
  <c r="AC21" i="21"/>
  <c r="W21" i="21"/>
  <c r="W44" i="21"/>
  <c r="W10" i="21"/>
  <c r="AC38" i="21"/>
  <c r="AB21" i="21"/>
  <c r="U21" i="21"/>
  <c r="AA30" i="21"/>
  <c r="AA31" i="21"/>
  <c r="W33" i="40"/>
  <c r="S35" i="40"/>
  <c r="U15" i="40"/>
  <c r="S14" i="40"/>
  <c r="AB13" i="40"/>
  <c r="W11" i="40"/>
  <c r="AA21" i="40"/>
  <c r="U21" i="40"/>
  <c r="W25" i="40"/>
  <c r="U25" i="40"/>
  <c r="U35" i="40"/>
  <c r="F37" i="40"/>
  <c r="S37" i="40" s="1"/>
  <c r="J37" i="40"/>
  <c r="AC37" i="40" s="1"/>
  <c r="H37" i="40"/>
  <c r="AB37" i="40" s="1"/>
  <c r="G112" i="40"/>
  <c r="H112" i="40"/>
  <c r="I112" i="40" s="1"/>
  <c r="J112" i="40" s="1"/>
  <c r="K112" i="40" s="1"/>
  <c r="L112" i="40" s="1"/>
  <c r="M112" i="40" s="1"/>
  <c r="F39" i="40"/>
  <c r="H39" i="40"/>
  <c r="AB39" i="40" s="1"/>
  <c r="J39" i="40"/>
  <c r="AC39" i="40" s="1"/>
  <c r="W38" i="40"/>
  <c r="F29" i="40"/>
  <c r="S29" i="40" s="1"/>
  <c r="H29" i="40"/>
  <c r="AB29" i="40" s="1"/>
  <c r="J29" i="40"/>
  <c r="F97" i="40"/>
  <c r="G97" i="40" s="1"/>
  <c r="H97" i="40" s="1"/>
  <c r="I97" i="40" s="1"/>
  <c r="J97" i="40" s="1"/>
  <c r="K97" i="40" s="1"/>
  <c r="L97" i="40" s="1"/>
  <c r="M97" i="40" s="1"/>
  <c r="AA23" i="40"/>
  <c r="G87" i="40"/>
  <c r="F19" i="40"/>
  <c r="S19" i="40" s="1"/>
  <c r="H19" i="40"/>
  <c r="AB19" i="40" s="1"/>
  <c r="J19" i="40"/>
  <c r="W17" i="40"/>
  <c r="AC17" i="40"/>
  <c r="F17" i="40"/>
  <c r="AA17" i="40" s="1"/>
  <c r="H17" i="40"/>
  <c r="U17" i="40" s="1"/>
  <c r="W21" i="40"/>
  <c r="AB40" i="40"/>
  <c r="U10" i="40"/>
  <c r="U27" i="40"/>
  <c r="AB27" i="40"/>
  <c r="S11" i="39"/>
  <c r="AB45" i="39"/>
  <c r="AC38" i="39"/>
  <c r="W29" i="39"/>
  <c r="S29" i="39"/>
  <c r="AC21" i="39"/>
  <c r="S14" i="39"/>
  <c r="U11" i="39"/>
  <c r="AB38" i="39"/>
  <c r="U31" i="39"/>
  <c r="AB31" i="39"/>
  <c r="S38" i="39"/>
  <c r="D18" i="9"/>
  <c r="M44" i="9" s="1"/>
  <c r="M43" i="9"/>
  <c r="D96" i="9"/>
  <c r="M18" i="15"/>
  <c r="A18" i="64"/>
  <c r="B74" i="63"/>
  <c r="C53" i="10"/>
  <c r="A25" i="64" s="1"/>
  <c r="A18" i="51"/>
  <c r="B14" i="63" s="1"/>
  <c r="BA16" i="3"/>
  <c r="AZ16" i="3" s="1"/>
  <c r="BA17" i="3"/>
  <c r="AZ17" i="3" s="1"/>
  <c r="F3" i="35"/>
  <c r="K1" i="43"/>
  <c r="K1" i="12"/>
  <c r="G1" i="44"/>
  <c r="I4" i="6"/>
  <c r="G3" i="46" s="1"/>
  <c r="Z7" i="46" s="1"/>
  <c r="BL16" i="3"/>
  <c r="G28" i="12"/>
  <c r="D24" i="44"/>
  <c r="D26" i="44"/>
  <c r="F50" i="46"/>
  <c r="H52" i="46" s="1"/>
  <c r="M5" i="46"/>
  <c r="C6" i="46" s="1"/>
  <c r="I5" i="48"/>
  <c r="K21" i="46"/>
  <c r="F42" i="46"/>
  <c r="D74" i="46"/>
  <c r="D87" i="46"/>
  <c r="D72" i="46"/>
  <c r="A4" i="51"/>
  <c r="B6" i="63" s="1"/>
  <c r="H83" i="46"/>
  <c r="H87" i="46"/>
  <c r="W11" i="35"/>
  <c r="AA11" i="35"/>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G1" i="15"/>
  <c r="F66" i="36"/>
  <c r="H18" i="36"/>
  <c r="U16" i="36"/>
  <c r="AA34" i="36"/>
  <c r="AC27" i="36"/>
  <c r="W28" i="36"/>
  <c r="AA32" i="36"/>
  <c r="U13" i="36"/>
  <c r="AA22" i="36"/>
  <c r="W29" i="36"/>
  <c r="W9" i="36"/>
  <c r="S9" i="36"/>
  <c r="W8" i="36"/>
  <c r="U24" i="35"/>
  <c r="W32" i="35"/>
  <c r="S24" i="35"/>
  <c r="AA33" i="35"/>
  <c r="U32" i="35"/>
  <c r="W22" i="35"/>
  <c r="W34" i="35"/>
  <c r="S32" i="35"/>
  <c r="W35" i="37"/>
  <c r="AC33" i="37"/>
  <c r="AC15" i="37"/>
  <c r="W38" i="37"/>
  <c r="AB28" i="37"/>
  <c r="W13" i="37"/>
  <c r="U38" i="37"/>
  <c r="S26" i="37"/>
  <c r="AB35" i="34"/>
  <c r="AB13" i="34"/>
  <c r="AC13" i="34"/>
  <c r="S47" i="34"/>
  <c r="AA29" i="34"/>
  <c r="S19" i="34"/>
  <c r="S8" i="34"/>
  <c r="AC25" i="33"/>
  <c r="S43" i="33"/>
  <c r="AB14" i="33"/>
  <c r="S26" i="33"/>
  <c r="AB12" i="33"/>
  <c r="S39" i="21"/>
  <c r="AB25" i="21"/>
  <c r="AB45" i="21"/>
  <c r="W25" i="21"/>
  <c r="AA25" i="21"/>
  <c r="AC37" i="21"/>
  <c r="U27" i="21"/>
  <c r="W31" i="21"/>
  <c r="AC27" i="21"/>
  <c r="G95" i="40"/>
  <c r="J27" i="40"/>
  <c r="W27" i="40" s="1"/>
  <c r="W37" i="40"/>
  <c r="W30" i="40"/>
  <c r="U38" i="40"/>
  <c r="S40" i="40"/>
  <c r="G104" i="39"/>
  <c r="J31" i="39"/>
  <c r="W31" i="39" s="1"/>
  <c r="S45" i="39"/>
  <c r="AB33" i="39"/>
  <c r="AC46" i="39"/>
  <c r="S34" i="39"/>
  <c r="W42" i="39"/>
  <c r="W36" i="39"/>
  <c r="AC37" i="39"/>
  <c r="U14" i="39"/>
  <c r="S15" i="39"/>
  <c r="AA46" i="39"/>
  <c r="W10" i="39"/>
  <c r="W11" i="39"/>
  <c r="U42" i="39"/>
  <c r="S32" i="40"/>
  <c r="C27" i="39"/>
  <c r="C17" i="39"/>
  <c r="C19" i="39"/>
  <c r="C21" i="39"/>
  <c r="C23" i="40"/>
  <c r="B51" i="46"/>
  <c r="B54" i="46"/>
  <c r="B58" i="46"/>
  <c r="B65" i="46"/>
  <c r="B69" i="46"/>
  <c r="B56" i="46"/>
  <c r="B67" i="46"/>
  <c r="D24" i="15"/>
  <c r="AB20" i="36"/>
  <c r="AC14" i="36"/>
  <c r="W14" i="36"/>
  <c r="U14" i="36"/>
  <c r="AB14" i="36"/>
  <c r="U18" i="36"/>
  <c r="AB18" i="36"/>
  <c r="AA26" i="35"/>
  <c r="U26" i="35"/>
  <c r="AB26" i="35"/>
  <c r="W26" i="35"/>
  <c r="AC26" i="35"/>
  <c r="S19" i="37"/>
  <c r="W19" i="37"/>
  <c r="AC17" i="37"/>
  <c r="W17" i="37"/>
  <c r="U25" i="34"/>
  <c r="AB25" i="34"/>
  <c r="W25" i="34"/>
  <c r="U23" i="34"/>
  <c r="AB23" i="34"/>
  <c r="AA23" i="34"/>
  <c r="S23" i="34"/>
  <c r="AA25" i="33"/>
  <c r="U15" i="21"/>
  <c r="AB15" i="21"/>
  <c r="W15" i="21"/>
  <c r="AA39" i="40"/>
  <c r="S39" i="40"/>
  <c r="U37" i="40"/>
  <c r="AA37" i="40"/>
  <c r="U29" i="40"/>
  <c r="AC29" i="40"/>
  <c r="W29" i="40"/>
  <c r="AA29" i="40"/>
  <c r="W19" i="40"/>
  <c r="AC19" i="40"/>
  <c r="AA19" i="40"/>
  <c r="U19" i="40"/>
  <c r="AC27" i="40"/>
  <c r="A17" i="51"/>
  <c r="B13" i="63" s="1"/>
  <c r="AT6" i="3"/>
  <c r="G66" i="36"/>
  <c r="J18" i="36"/>
  <c r="W18" i="36"/>
  <c r="AC18" i="36"/>
  <c r="L20" i="6"/>
  <c r="C45" i="9"/>
  <c r="B7" i="66" s="1"/>
  <c r="N76" i="9"/>
  <c r="C46" i="9"/>
  <c r="O41" i="9" s="1"/>
  <c r="R8" i="54" s="1"/>
  <c r="B54" i="63" s="1"/>
  <c r="B8" i="66"/>
  <c r="J21" i="46"/>
  <c r="F38" i="46"/>
  <c r="F41" i="46"/>
  <c r="F40" i="46"/>
  <c r="H117" i="46"/>
  <c r="F24" i="59"/>
  <c r="F23" i="59"/>
  <c r="F22" i="59" s="1"/>
  <c r="F21" i="59" s="1"/>
  <c r="Y23" i="59"/>
  <c r="Z23" i="59" s="1"/>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C24" i="46"/>
  <c r="F9" i="67"/>
  <c r="E14" i="67"/>
  <c r="J3" i="65"/>
  <c r="B11" i="67"/>
  <c r="J7" i="65"/>
  <c r="M8" i="15"/>
  <c r="B8" i="67"/>
  <c r="B14" i="67"/>
  <c r="F13" i="67"/>
  <c r="F8" i="67"/>
  <c r="N7" i="65"/>
  <c r="F26" i="15"/>
  <c r="F45" i="44"/>
  <c r="J17" i="44"/>
  <c r="B13" i="67"/>
  <c r="E12" i="67"/>
  <c r="I6" i="65"/>
  <c r="I4" i="65"/>
  <c r="B10" i="67"/>
  <c r="I5" i="65"/>
  <c r="B9" i="67"/>
  <c r="F12" i="67"/>
  <c r="J5" i="65"/>
  <c r="I3" i="65"/>
  <c r="J6" i="65"/>
  <c r="E13" i="67"/>
  <c r="B12" i="67"/>
  <c r="M24" i="44"/>
  <c r="M30" i="44"/>
  <c r="N5" i="65"/>
  <c r="J4" i="65"/>
  <c r="F9" i="44"/>
  <c r="F42" i="15"/>
  <c r="E9" i="67"/>
  <c r="N4" i="65"/>
  <c r="N3" i="65"/>
  <c r="E11" i="67"/>
  <c r="E8" i="67"/>
  <c r="F11" i="67"/>
  <c r="F18" i="44"/>
  <c r="F14" i="67"/>
  <c r="I7" i="65"/>
  <c r="M11" i="44"/>
  <c r="E10" i="67"/>
  <c r="M28" i="44"/>
  <c r="M26" i="15"/>
  <c r="N6" i="65"/>
  <c r="F10" i="67"/>
  <c r="AZ531" i="3" l="1"/>
  <c r="AB25" i="35"/>
  <c r="U25" i="35"/>
  <c r="W28" i="33"/>
  <c r="AC28" i="33"/>
  <c r="AC13" i="35"/>
  <c r="W13" i="35"/>
  <c r="F20" i="59"/>
  <c r="F19" i="59" s="1"/>
  <c r="F18" i="59" s="1"/>
  <c r="F17" i="59" s="1"/>
  <c r="V21" i="59"/>
  <c r="AZ491" i="3"/>
  <c r="J13" i="33"/>
  <c r="F13" i="33"/>
  <c r="S14" i="36"/>
  <c r="BM5" i="3"/>
  <c r="F29" i="6" s="1"/>
  <c r="BA486" i="3"/>
  <c r="AZ486" i="3" s="1"/>
  <c r="AZ564" i="3"/>
  <c r="U46" i="39"/>
  <c r="AB46" i="39"/>
  <c r="S12" i="34"/>
  <c r="AA12" i="34"/>
  <c r="H13" i="33"/>
  <c r="W40" i="34"/>
  <c r="AC40" i="34"/>
  <c r="AA11" i="37"/>
  <c r="S11" i="37"/>
  <c r="BL534" i="3"/>
  <c r="AZ534" i="3" s="1"/>
  <c r="AA14" i="37"/>
  <c r="S14" i="37"/>
  <c r="W45" i="33"/>
  <c r="AC45" i="33"/>
  <c r="AB37" i="33"/>
  <c r="U37" i="33"/>
  <c r="G69" i="33"/>
  <c r="H69" i="33" s="1"/>
  <c r="I69" i="33" s="1"/>
  <c r="J69" i="33" s="1"/>
  <c r="K69" i="33" s="1"/>
  <c r="L69" i="33" s="1"/>
  <c r="M69" i="33" s="1"/>
  <c r="F11" i="33"/>
  <c r="S11" i="33" s="1"/>
  <c r="S23" i="37"/>
  <c r="AA23" i="37"/>
  <c r="AB39" i="33"/>
  <c r="U39" i="33"/>
  <c r="BA547" i="3"/>
  <c r="AZ547" i="3" s="1"/>
  <c r="BA545" i="3"/>
  <c r="BA543" i="3"/>
  <c r="AZ543" i="3" s="1"/>
  <c r="W11" i="34"/>
  <c r="AC11" i="34"/>
  <c r="AB15" i="39"/>
  <c r="U15" i="39"/>
  <c r="H29" i="21"/>
  <c r="J29" i="21"/>
  <c r="B94" i="46"/>
  <c r="B84" i="46"/>
  <c r="C19" i="40"/>
  <c r="J25" i="35"/>
  <c r="F25" i="35"/>
  <c r="BA484" i="3"/>
  <c r="AA23" i="21"/>
  <c r="AB41" i="33"/>
  <c r="AB16" i="39"/>
  <c r="W20" i="35"/>
  <c r="AC20" i="35"/>
  <c r="S21" i="39"/>
  <c r="AA21" i="39"/>
  <c r="AC34" i="37"/>
  <c r="AC23" i="37"/>
  <c r="BL492" i="3"/>
  <c r="BL500" i="3"/>
  <c r="BL544" i="3"/>
  <c r="AZ544" i="3" s="1"/>
  <c r="W35" i="35"/>
  <c r="J29" i="34"/>
  <c r="U37" i="37"/>
  <c r="AB37" i="37"/>
  <c r="F29" i="21"/>
  <c r="U30" i="21"/>
  <c r="AB30" i="21"/>
  <c r="J9" i="33"/>
  <c r="AC9" i="33" s="1"/>
  <c r="F9" i="33"/>
  <c r="AA9" i="33" s="1"/>
  <c r="AC13" i="36"/>
  <c r="W13" i="36"/>
  <c r="W25" i="37"/>
  <c r="AC25" i="37"/>
  <c r="F16" i="39"/>
  <c r="J16" i="39"/>
  <c r="J44" i="39"/>
  <c r="W44" i="39" s="1"/>
  <c r="F44" i="39"/>
  <c r="S44" i="39" s="1"/>
  <c r="AZ559" i="3"/>
  <c r="BA551" i="3"/>
  <c r="AZ551" i="3" s="1"/>
  <c r="BA540" i="3"/>
  <c r="AZ540" i="3" s="1"/>
  <c r="G536" i="3"/>
  <c r="AZ535" i="3"/>
  <c r="BA533" i="3"/>
  <c r="AZ533" i="3" s="1"/>
  <c r="BA532" i="3"/>
  <c r="BA515" i="3"/>
  <c r="AZ515" i="3" s="1"/>
  <c r="BA513" i="3"/>
  <c r="AZ513" i="3" s="1"/>
  <c r="BA508" i="3"/>
  <c r="AZ508" i="3" s="1"/>
  <c r="BA506" i="3"/>
  <c r="AZ506" i="3" s="1"/>
  <c r="AZ505" i="3"/>
  <c r="BL494" i="3"/>
  <c r="BA493" i="3"/>
  <c r="AZ493" i="3" s="1"/>
  <c r="BA490" i="3"/>
  <c r="AZ490" i="3" s="1"/>
  <c r="BA488" i="3"/>
  <c r="AZ488" i="3" s="1"/>
  <c r="BL487" i="3"/>
  <c r="AZ487" i="3" s="1"/>
  <c r="G487" i="3"/>
  <c r="AZ19" i="3"/>
  <c r="BR5" i="3"/>
  <c r="AC5" i="3"/>
  <c r="U33" i="40"/>
  <c r="AC12" i="33"/>
  <c r="U33" i="35"/>
  <c r="W34" i="40"/>
  <c r="W15" i="40"/>
  <c r="H74" i="46"/>
  <c r="H72" i="46"/>
  <c r="AC32" i="40"/>
  <c r="W32" i="40"/>
  <c r="H44" i="39"/>
  <c r="U44" i="39" s="1"/>
  <c r="AB29" i="35"/>
  <c r="S17" i="21"/>
  <c r="AA17" i="21"/>
  <c r="AZ322" i="3"/>
  <c r="BL20" i="3"/>
  <c r="BL524" i="3"/>
  <c r="AZ524" i="3" s="1"/>
  <c r="BL546" i="3"/>
  <c r="AZ546" i="3" s="1"/>
  <c r="BL560" i="3"/>
  <c r="AZ560" i="3" s="1"/>
  <c r="W27" i="37"/>
  <c r="AC27" i="37"/>
  <c r="S31" i="34"/>
  <c r="AA44" i="21"/>
  <c r="S44" i="21"/>
  <c r="W33" i="36"/>
  <c r="AA10" i="21"/>
  <c r="S10" i="21"/>
  <c r="AC27" i="35"/>
  <c r="W27" i="35"/>
  <c r="H23" i="36"/>
  <c r="J23" i="36"/>
  <c r="F23" i="36"/>
  <c r="H12" i="37"/>
  <c r="F12" i="37"/>
  <c r="AC39" i="37"/>
  <c r="W39" i="37"/>
  <c r="BA538" i="3"/>
  <c r="AZ538" i="3" s="1"/>
  <c r="U39" i="40"/>
  <c r="S25" i="34"/>
  <c r="U26" i="37"/>
  <c r="AB11" i="35"/>
  <c r="U47" i="39"/>
  <c r="AB28" i="36"/>
  <c r="U34" i="21"/>
  <c r="AB34" i="21"/>
  <c r="AB9" i="33"/>
  <c r="U9" i="33"/>
  <c r="BA552" i="3"/>
  <c r="BL550" i="3"/>
  <c r="W11" i="37"/>
  <c r="AC11" i="37"/>
  <c r="AA27" i="21"/>
  <c r="S27" i="21"/>
  <c r="F13" i="35"/>
  <c r="H13" i="35"/>
  <c r="BA563" i="3"/>
  <c r="AZ563" i="3" s="1"/>
  <c r="BL554" i="3"/>
  <c r="AZ554" i="3" s="1"/>
  <c r="BL552" i="3"/>
  <c r="BA548" i="3"/>
  <c r="AZ548" i="3" s="1"/>
  <c r="W23" i="34"/>
  <c r="C17" i="40"/>
  <c r="U13" i="37"/>
  <c r="S32" i="37"/>
  <c r="AA32" i="37"/>
  <c r="U11" i="36"/>
  <c r="F96" i="39"/>
  <c r="G96" i="39" s="1"/>
  <c r="AA17" i="39"/>
  <c r="S17" i="39"/>
  <c r="S29" i="33"/>
  <c r="AA29" i="33"/>
  <c r="AB17" i="34"/>
  <c r="U17" i="34"/>
  <c r="W35" i="34"/>
  <c r="AC35" i="34"/>
  <c r="W41" i="34"/>
  <c r="AC41" i="34"/>
  <c r="BL514" i="3"/>
  <c r="AZ514" i="3" s="1"/>
  <c r="BL564" i="3"/>
  <c r="F13" i="36"/>
  <c r="U30" i="37"/>
  <c r="J9" i="21"/>
  <c r="F9" i="21"/>
  <c r="H9" i="21"/>
  <c r="AC8" i="34"/>
  <c r="W8" i="34"/>
  <c r="F47" i="39"/>
  <c r="J47" i="39"/>
  <c r="W47" i="39" s="1"/>
  <c r="AC42" i="34"/>
  <c r="W42" i="34"/>
  <c r="BL569" i="3"/>
  <c r="AZ567" i="3"/>
  <c r="BL565" i="3"/>
  <c r="AZ565" i="3" s="1"/>
  <c r="BA539" i="3"/>
  <c r="AZ539" i="3" s="1"/>
  <c r="BL538" i="3"/>
  <c r="BL536" i="3"/>
  <c r="BA530" i="3"/>
  <c r="AZ530" i="3" s="1"/>
  <c r="BA528" i="3"/>
  <c r="AZ528" i="3" s="1"/>
  <c r="AZ522" i="3"/>
  <c r="BA521" i="3"/>
  <c r="AZ521" i="3" s="1"/>
  <c r="BA519" i="3"/>
  <c r="AZ519" i="3" s="1"/>
  <c r="BL507" i="3"/>
  <c r="AZ507" i="3" s="1"/>
  <c r="BL506" i="3"/>
  <c r="BA503" i="3"/>
  <c r="AZ503" i="3" s="1"/>
  <c r="BL502" i="3"/>
  <c r="BA501" i="3"/>
  <c r="AZ501" i="3" s="1"/>
  <c r="BA500" i="3"/>
  <c r="AZ500" i="3" s="1"/>
  <c r="BL485" i="3"/>
  <c r="BA485" i="3"/>
  <c r="AZ485" i="3" s="1"/>
  <c r="BA483" i="3"/>
  <c r="AZ483" i="3" s="1"/>
  <c r="BL18" i="3"/>
  <c r="F28" i="33"/>
  <c r="H28" i="33"/>
  <c r="S25" i="40"/>
  <c r="W39" i="40"/>
  <c r="U23" i="21"/>
  <c r="AA9" i="37"/>
  <c r="U33" i="36"/>
  <c r="AB33" i="36"/>
  <c r="S36" i="37"/>
  <c r="AA36" i="37"/>
  <c r="W11" i="21"/>
  <c r="AC11" i="21"/>
  <c r="BL572" i="3"/>
  <c r="BA571" i="3"/>
  <c r="AZ571" i="3" s="1"/>
  <c r="B73" i="46"/>
  <c r="C23" i="39"/>
  <c r="B62" i="46"/>
  <c r="AB36" i="35"/>
  <c r="U36" i="35"/>
  <c r="J24" i="36"/>
  <c r="H24" i="36"/>
  <c r="F24" i="36"/>
  <c r="AA13" i="37"/>
  <c r="S13" i="37"/>
  <c r="BA499" i="3"/>
  <c r="AZ499" i="3" s="1"/>
  <c r="BL496" i="3"/>
  <c r="AZ496" i="3" s="1"/>
  <c r="AB29" i="34"/>
  <c r="BC5" i="3"/>
  <c r="AC23" i="21"/>
  <c r="AA17" i="34"/>
  <c r="S17" i="34"/>
  <c r="S14" i="35"/>
  <c r="AB30" i="40"/>
  <c r="U30" i="40"/>
  <c r="BL481" i="3"/>
  <c r="AZ481" i="3" s="1"/>
  <c r="AC14" i="21"/>
  <c r="AA45" i="34"/>
  <c r="S45" i="34"/>
  <c r="AA30" i="35"/>
  <c r="S30" i="35"/>
  <c r="U28" i="21"/>
  <c r="AB28" i="21"/>
  <c r="U34" i="35"/>
  <c r="J42" i="33"/>
  <c r="AC42" i="33" s="1"/>
  <c r="H42" i="33"/>
  <c r="U42" i="33" s="1"/>
  <c r="H28" i="34"/>
  <c r="F28" i="34"/>
  <c r="J28" i="34"/>
  <c r="AZ502" i="3"/>
  <c r="S38" i="37"/>
  <c r="AA38" i="37"/>
  <c r="W32" i="36"/>
  <c r="AC32" i="36"/>
  <c r="U31" i="35"/>
  <c r="AB31" i="35"/>
  <c r="BA527" i="3"/>
  <c r="AZ527" i="3" s="1"/>
  <c r="W19" i="34"/>
  <c r="AB41" i="40"/>
  <c r="U41" i="40"/>
  <c r="F23" i="39"/>
  <c r="AA23" i="39" s="1"/>
  <c r="J23" i="39"/>
  <c r="AC23" i="39" s="1"/>
  <c r="AB38" i="34"/>
  <c r="U38" i="34"/>
  <c r="U31" i="37"/>
  <c r="AB31" i="37"/>
  <c r="AC12" i="37"/>
  <c r="W12" i="37"/>
  <c r="U14" i="21"/>
  <c r="AB14" i="21"/>
  <c r="U43" i="34"/>
  <c r="AB43" i="34"/>
  <c r="U12" i="21"/>
  <c r="AB12" i="21"/>
  <c r="U39" i="34"/>
  <c r="AB39" i="34"/>
  <c r="U26" i="36"/>
  <c r="AB26" i="36"/>
  <c r="BA550" i="3"/>
  <c r="AZ550" i="3" s="1"/>
  <c r="BA525" i="3"/>
  <c r="BA518" i="3"/>
  <c r="AZ518" i="3" s="1"/>
  <c r="BA516" i="3"/>
  <c r="AZ511" i="3"/>
  <c r="AZ509" i="3"/>
  <c r="BA509" i="3"/>
  <c r="BA494" i="3"/>
  <c r="AZ494" i="3" s="1"/>
  <c r="AA30" i="40"/>
  <c r="S30" i="40"/>
  <c r="AC45" i="39"/>
  <c r="W45" i="39"/>
  <c r="AA15" i="40"/>
  <c r="S15" i="40"/>
  <c r="BL516" i="3"/>
  <c r="AZ516" i="3" s="1"/>
  <c r="AB31" i="33"/>
  <c r="U31" i="33"/>
  <c r="S46" i="21"/>
  <c r="AA46" i="21"/>
  <c r="W19" i="21"/>
  <c r="AC19" i="21"/>
  <c r="H45" i="33"/>
  <c r="F45" i="33"/>
  <c r="AC24" i="35"/>
  <c r="W24" i="35"/>
  <c r="F16" i="40"/>
  <c r="J16" i="40"/>
  <c r="AA34" i="40"/>
  <c r="S34" i="40"/>
  <c r="BA569" i="3"/>
  <c r="AZ569" i="3" s="1"/>
  <c r="BA536" i="3"/>
  <c r="BL529" i="3"/>
  <c r="AZ529" i="3" s="1"/>
  <c r="BP5" i="3"/>
  <c r="BB5" i="3"/>
  <c r="BA18" i="3"/>
  <c r="S38" i="40"/>
  <c r="AA38" i="40"/>
  <c r="W17" i="39"/>
  <c r="AC17" i="39"/>
  <c r="AB30" i="34"/>
  <c r="U30" i="34"/>
  <c r="AA16" i="35"/>
  <c r="S16" i="35"/>
  <c r="U42" i="21"/>
  <c r="AZ314" i="3"/>
  <c r="AZ122" i="3"/>
  <c r="U13" i="21"/>
  <c r="AB13" i="21"/>
  <c r="AC42" i="21"/>
  <c r="W42" i="21"/>
  <c r="U16" i="35"/>
  <c r="AB16" i="35"/>
  <c r="AB9" i="34"/>
  <c r="U9" i="34"/>
  <c r="U40" i="34"/>
  <c r="AB40" i="34"/>
  <c r="J47" i="34"/>
  <c r="H47" i="34"/>
  <c r="F28" i="37"/>
  <c r="J28" i="37"/>
  <c r="AB19" i="37"/>
  <c r="W14" i="40"/>
  <c r="AC14" i="40"/>
  <c r="F32" i="34"/>
  <c r="AZ374" i="3"/>
  <c r="S22" i="31"/>
  <c r="BL482" i="3"/>
  <c r="AZ482" i="3" s="1"/>
  <c r="AC36" i="37"/>
  <c r="W36" i="37"/>
  <c r="AA25" i="36"/>
  <c r="S25" i="36"/>
  <c r="AA16" i="36"/>
  <c r="S16" i="36"/>
  <c r="AC36" i="34"/>
  <c r="W36" i="34"/>
  <c r="AA31" i="33"/>
  <c r="S31" i="33"/>
  <c r="AC22" i="36"/>
  <c r="W22" i="36"/>
  <c r="F42" i="40"/>
  <c r="J42" i="40"/>
  <c r="AZ340" i="3"/>
  <c r="AZ329" i="3"/>
  <c r="AZ306" i="3"/>
  <c r="H9" i="35"/>
  <c r="J9" i="35"/>
  <c r="J12" i="35"/>
  <c r="F12" i="35"/>
  <c r="H12" i="35"/>
  <c r="BA568" i="3"/>
  <c r="AZ568" i="3" s="1"/>
  <c r="BA562" i="3"/>
  <c r="G562" i="3"/>
  <c r="BL561" i="3"/>
  <c r="AZ561" i="3" s="1"/>
  <c r="BA557" i="3"/>
  <c r="AZ557" i="3" s="1"/>
  <c r="BA556" i="3"/>
  <c r="AZ556" i="3" s="1"/>
  <c r="G543" i="3"/>
  <c r="BA542" i="3"/>
  <c r="AZ542" i="3" s="1"/>
  <c r="BA517" i="3"/>
  <c r="AZ517" i="3" s="1"/>
  <c r="G511" i="3"/>
  <c r="BA492" i="3"/>
  <c r="AZ336" i="3"/>
  <c r="AZ303" i="3"/>
  <c r="BL526" i="3"/>
  <c r="AZ526" i="3" s="1"/>
  <c r="E5" i="6"/>
  <c r="D12" i="11" s="1"/>
  <c r="C12" i="11" s="1"/>
  <c r="BL570" i="3"/>
  <c r="BF5" i="3"/>
  <c r="S12" i="33"/>
  <c r="AA12" i="33"/>
  <c r="AB38" i="33"/>
  <c r="U38" i="33"/>
  <c r="J12" i="36"/>
  <c r="F12" i="36"/>
  <c r="F92" i="39"/>
  <c r="H19" i="39"/>
  <c r="AB19" i="39" s="1"/>
  <c r="BL545" i="3"/>
  <c r="BL525" i="3"/>
  <c r="AZ470" i="3"/>
  <c r="AZ382" i="3"/>
  <c r="AZ362" i="3"/>
  <c r="AZ304" i="3"/>
  <c r="AZ327" i="3"/>
  <c r="BL484" i="3"/>
  <c r="BL532" i="3"/>
  <c r="AZ532" i="3" s="1"/>
  <c r="BA570" i="3"/>
  <c r="BE5" i="3"/>
  <c r="F12" i="21"/>
  <c r="J12" i="21"/>
  <c r="AC39" i="34"/>
  <c r="W39" i="34"/>
  <c r="G568" i="3"/>
  <c r="G555" i="3"/>
  <c r="AZ345" i="3"/>
  <c r="AZ324" i="3"/>
  <c r="AZ355" i="3"/>
  <c r="BL562" i="3"/>
  <c r="G570" i="3"/>
  <c r="G481" i="3"/>
  <c r="BA572" i="3"/>
  <c r="AZ572" i="3" s="1"/>
  <c r="AZ248" i="3"/>
  <c r="G535" i="3"/>
  <c r="AZ350" i="3"/>
  <c r="AZ389" i="3"/>
  <c r="AZ398" i="3"/>
  <c r="AZ407" i="3"/>
  <c r="AZ423" i="3"/>
  <c r="AZ469" i="3"/>
  <c r="AZ309" i="3"/>
  <c r="AZ313" i="3"/>
  <c r="AZ317" i="3"/>
  <c r="AZ349" i="3"/>
  <c r="AZ364" i="3"/>
  <c r="AZ375" i="3"/>
  <c r="AZ246" i="3"/>
  <c r="AZ264" i="3"/>
  <c r="AZ272" i="3"/>
  <c r="X19" i="59"/>
  <c r="X18" i="59"/>
  <c r="X3" i="59"/>
  <c r="BA390" i="3"/>
  <c r="AZ390" i="3" s="1"/>
  <c r="BL405" i="3"/>
  <c r="AZ412" i="3"/>
  <c r="BA440" i="3"/>
  <c r="BL466" i="3"/>
  <c r="AZ466" i="3" s="1"/>
  <c r="BL467" i="3"/>
  <c r="AZ476" i="3"/>
  <c r="BL310" i="3"/>
  <c r="AZ310" i="3" s="1"/>
  <c r="BL314" i="3"/>
  <c r="BA247" i="3"/>
  <c r="AZ247" i="3" s="1"/>
  <c r="BA255" i="3"/>
  <c r="BA262" i="3"/>
  <c r="AZ262" i="3" s="1"/>
  <c r="BL267" i="3"/>
  <c r="AZ267" i="3" s="1"/>
  <c r="BL268" i="3"/>
  <c r="AZ171" i="3"/>
  <c r="C29" i="59"/>
  <c r="Y28" i="59"/>
  <c r="Z28" i="59" s="1"/>
  <c r="Y29" i="59"/>
  <c r="Z29" i="59" s="1"/>
  <c r="S29" i="59"/>
  <c r="B28" i="59"/>
  <c r="B27" i="59" s="1"/>
  <c r="Y19" i="59"/>
  <c r="Z19" i="59" s="1"/>
  <c r="BA391" i="3"/>
  <c r="AZ391" i="3" s="1"/>
  <c r="BA393" i="3"/>
  <c r="BA429" i="3"/>
  <c r="AZ429" i="3" s="1"/>
  <c r="BL437" i="3"/>
  <c r="BA445" i="3"/>
  <c r="AZ445" i="3" s="1"/>
  <c r="BA472" i="3"/>
  <c r="AZ472" i="3" s="1"/>
  <c r="BA477" i="3"/>
  <c r="AZ477" i="3" s="1"/>
  <c r="BL318" i="3"/>
  <c r="AZ318" i="3" s="1"/>
  <c r="BL350" i="3"/>
  <c r="BL243" i="3"/>
  <c r="BL244" i="3"/>
  <c r="BL245" i="3"/>
  <c r="AZ245" i="3" s="1"/>
  <c r="BA249" i="3"/>
  <c r="AZ249" i="3" s="1"/>
  <c r="BA254" i="3"/>
  <c r="AZ254" i="3" s="1"/>
  <c r="BL259" i="3"/>
  <c r="BL260" i="3"/>
  <c r="AZ260" i="3" s="1"/>
  <c r="E29" i="59"/>
  <c r="AA28" i="59"/>
  <c r="AA29" i="59"/>
  <c r="AA27" i="59"/>
  <c r="AA24" i="59"/>
  <c r="Y25" i="59"/>
  <c r="Z25" i="59" s="1"/>
  <c r="A11" i="55"/>
  <c r="B62" i="63" s="1"/>
  <c r="BA395" i="3"/>
  <c r="BA396" i="3"/>
  <c r="AZ396" i="3" s="1"/>
  <c r="BL411" i="3"/>
  <c r="BL427" i="3"/>
  <c r="AZ427" i="3" s="1"/>
  <c r="BA430" i="3"/>
  <c r="AZ430" i="3" s="1"/>
  <c r="BL443" i="3"/>
  <c r="AZ443" i="3" s="1"/>
  <c r="BA446" i="3"/>
  <c r="AZ446" i="3" s="1"/>
  <c r="BL474" i="3"/>
  <c r="AZ474" i="3" s="1"/>
  <c r="BL475" i="3"/>
  <c r="AZ475" i="3" s="1"/>
  <c r="BL330" i="3"/>
  <c r="AZ330" i="3" s="1"/>
  <c r="AZ387" i="3"/>
  <c r="AZ214" i="3"/>
  <c r="BL250" i="3"/>
  <c r="AZ250" i="3" s="1"/>
  <c r="BL251" i="3"/>
  <c r="BL252" i="3"/>
  <c r="AZ252" i="3" s="1"/>
  <c r="AZ145" i="3"/>
  <c r="AZ155" i="3"/>
  <c r="BA26" i="3"/>
  <c r="AZ26" i="3" s="1"/>
  <c r="BA65" i="3"/>
  <c r="AZ73" i="3"/>
  <c r="AB27" i="59"/>
  <c r="F29" i="59"/>
  <c r="AB28" i="59"/>
  <c r="AB29" i="59"/>
  <c r="X25" i="59"/>
  <c r="Y27" i="59"/>
  <c r="Z27" i="59" s="1"/>
  <c r="Y26" i="59"/>
  <c r="Z26" i="59" s="1"/>
  <c r="C24" i="59"/>
  <c r="T25" i="59"/>
  <c r="D25" i="59"/>
  <c r="AA19" i="59"/>
  <c r="BL393" i="3"/>
  <c r="BA416" i="3"/>
  <c r="AZ416" i="3" s="1"/>
  <c r="BA418" i="3"/>
  <c r="BL428" i="3"/>
  <c r="AZ428" i="3" s="1"/>
  <c r="BA431" i="3"/>
  <c r="AZ431" i="3" s="1"/>
  <c r="G440" i="3"/>
  <c r="BL440" i="3"/>
  <c r="BL444" i="3"/>
  <c r="AZ444" i="3" s="1"/>
  <c r="BA448" i="3"/>
  <c r="BA451" i="3"/>
  <c r="G473" i="3"/>
  <c r="BA480" i="3"/>
  <c r="BA383" i="3"/>
  <c r="AZ383" i="3" s="1"/>
  <c r="BL385" i="3"/>
  <c r="AZ385" i="3" s="1"/>
  <c r="BA211" i="3"/>
  <c r="BA215" i="3"/>
  <c r="AZ215" i="3" s="1"/>
  <c r="BL231" i="3"/>
  <c r="G238" i="3"/>
  <c r="BL286" i="3"/>
  <c r="AZ286" i="3" s="1"/>
  <c r="BA292" i="3"/>
  <c r="AZ292" i="3" s="1"/>
  <c r="BA293" i="3"/>
  <c r="AZ293" i="3" s="1"/>
  <c r="BA119" i="3"/>
  <c r="AZ119" i="3" s="1"/>
  <c r="BA121" i="3"/>
  <c r="AZ121" i="3" s="1"/>
  <c r="BA132" i="3"/>
  <c r="BL132" i="3"/>
  <c r="BA141" i="3"/>
  <c r="AZ141" i="3" s="1"/>
  <c r="BA144" i="3"/>
  <c r="BL146" i="3"/>
  <c r="AZ146" i="3" s="1"/>
  <c r="BL150" i="3"/>
  <c r="AZ150" i="3" s="1"/>
  <c r="BA63" i="3"/>
  <c r="AZ63" i="3" s="1"/>
  <c r="Y39" i="59"/>
  <c r="Z39" i="59" s="1"/>
  <c r="Y30" i="59"/>
  <c r="Z30" i="59" s="1"/>
  <c r="Y31" i="59"/>
  <c r="Z31" i="59" s="1"/>
  <c r="C40" i="59"/>
  <c r="AB25" i="59"/>
  <c r="G392" i="3"/>
  <c r="G393" i="3"/>
  <c r="BL395" i="3"/>
  <c r="BA401" i="3"/>
  <c r="AZ401" i="3" s="1"/>
  <c r="BA402" i="3"/>
  <c r="BA403" i="3"/>
  <c r="BA404" i="3"/>
  <c r="AZ404" i="3" s="1"/>
  <c r="BL413" i="3"/>
  <c r="BA434" i="3"/>
  <c r="BL449" i="3"/>
  <c r="BA453" i="3"/>
  <c r="AZ453" i="3" s="1"/>
  <c r="BA459" i="3"/>
  <c r="BA460" i="3"/>
  <c r="AZ460" i="3" s="1"/>
  <c r="G472" i="3"/>
  <c r="BL472" i="3"/>
  <c r="BA325" i="3"/>
  <c r="AZ325" i="3" s="1"/>
  <c r="G329" i="3"/>
  <c r="BA335" i="3"/>
  <c r="AZ335" i="3" s="1"/>
  <c r="BA369" i="3"/>
  <c r="BL382" i="3"/>
  <c r="BA209" i="3"/>
  <c r="BL210" i="3"/>
  <c r="BL211" i="3"/>
  <c r="BL212" i="3"/>
  <c r="BL213" i="3"/>
  <c r="AZ213" i="3" s="1"/>
  <c r="BA224" i="3"/>
  <c r="BA226" i="3"/>
  <c r="BL230" i="3"/>
  <c r="BA237" i="3"/>
  <c r="BL278" i="3"/>
  <c r="BA284" i="3"/>
  <c r="BA285" i="3"/>
  <c r="AZ285" i="3" s="1"/>
  <c r="BA291" i="3"/>
  <c r="AZ291" i="3" s="1"/>
  <c r="BA113" i="3"/>
  <c r="BA116" i="3"/>
  <c r="BL116" i="3"/>
  <c r="BA125" i="3"/>
  <c r="BA128" i="3"/>
  <c r="AZ128" i="3" s="1"/>
  <c r="BL153" i="3"/>
  <c r="AZ153" i="3" s="1"/>
  <c r="BA38" i="3"/>
  <c r="AZ38" i="3" s="1"/>
  <c r="BA41" i="3"/>
  <c r="BA400" i="3"/>
  <c r="AZ400" i="3" s="1"/>
  <c r="BL414" i="3"/>
  <c r="AZ414" i="3" s="1"/>
  <c r="G417" i="3"/>
  <c r="BL417" i="3"/>
  <c r="AZ417" i="3" s="1"/>
  <c r="BL418" i="3"/>
  <c r="BA421" i="3"/>
  <c r="AZ421" i="3" s="1"/>
  <c r="BA436" i="3"/>
  <c r="AZ436" i="3" s="1"/>
  <c r="BL451" i="3"/>
  <c r="BA454" i="3"/>
  <c r="AZ454" i="3" s="1"/>
  <c r="BA456" i="3"/>
  <c r="AZ456" i="3" s="1"/>
  <c r="BA458" i="3"/>
  <c r="BA461" i="3"/>
  <c r="AZ461" i="3" s="1"/>
  <c r="BA367" i="3"/>
  <c r="AZ367" i="3" s="1"/>
  <c r="BL369" i="3"/>
  <c r="AZ369" i="3" s="1"/>
  <c r="BL380" i="3"/>
  <c r="AZ380" i="3" s="1"/>
  <c r="BL387" i="3"/>
  <c r="BA206" i="3"/>
  <c r="BA208" i="3"/>
  <c r="AZ208" i="3" s="1"/>
  <c r="BL208" i="3"/>
  <c r="BA218" i="3"/>
  <c r="AZ218" i="3" s="1"/>
  <c r="BL222" i="3"/>
  <c r="BA228" i="3"/>
  <c r="AZ228" i="3" s="1"/>
  <c r="BL270" i="3"/>
  <c r="AZ270" i="3" s="1"/>
  <c r="BA276" i="3"/>
  <c r="AZ276" i="3" s="1"/>
  <c r="BA277" i="3"/>
  <c r="AZ277" i="3" s="1"/>
  <c r="AZ279" i="3"/>
  <c r="BA288" i="3"/>
  <c r="AZ288" i="3" s="1"/>
  <c r="BA296" i="3"/>
  <c r="BL118" i="3"/>
  <c r="AZ118" i="3" s="1"/>
  <c r="BL138" i="3"/>
  <c r="AZ138" i="3" s="1"/>
  <c r="BL141" i="3"/>
  <c r="BL178" i="3"/>
  <c r="AZ178" i="3" s="1"/>
  <c r="BA35" i="3"/>
  <c r="AZ35" i="3" s="1"/>
  <c r="BL39" i="3"/>
  <c r="AZ39" i="3" s="1"/>
  <c r="D3" i="33"/>
  <c r="BL397" i="3"/>
  <c r="BL401" i="3"/>
  <c r="BL402" i="3"/>
  <c r="BL403" i="3"/>
  <c r="BA406" i="3"/>
  <c r="AZ406" i="3" s="1"/>
  <c r="G416" i="3"/>
  <c r="BL416" i="3"/>
  <c r="BA422" i="3"/>
  <c r="AZ422" i="3" s="1"/>
  <c r="G432" i="3"/>
  <c r="G433" i="3"/>
  <c r="BL433" i="3"/>
  <c r="AZ433" i="3" s="1"/>
  <c r="BL434" i="3"/>
  <c r="G448" i="3"/>
  <c r="BL448" i="3"/>
  <c r="BL452" i="3"/>
  <c r="AZ452" i="3" s="1"/>
  <c r="BA455" i="3"/>
  <c r="AZ455" i="3" s="1"/>
  <c r="BA457" i="3"/>
  <c r="BL457" i="3"/>
  <c r="BL458" i="3"/>
  <c r="AZ458" i="3" s="1"/>
  <c r="BL459" i="3"/>
  <c r="BA467" i="3"/>
  <c r="BA468" i="3"/>
  <c r="AZ468" i="3" s="1"/>
  <c r="G480" i="3"/>
  <c r="BL480" i="3"/>
  <c r="BA319" i="3"/>
  <c r="AZ319" i="3" s="1"/>
  <c r="G336" i="3"/>
  <c r="BA351" i="3"/>
  <c r="AZ351" i="3" s="1"/>
  <c r="BL366" i="3"/>
  <c r="AZ366" i="3" s="1"/>
  <c r="G208" i="3"/>
  <c r="G222" i="3"/>
  <c r="BL224" i="3"/>
  <c r="BL226" i="3"/>
  <c r="BA230" i="3"/>
  <c r="BA231" i="3"/>
  <c r="AZ231" i="3" s="1"/>
  <c r="BL262" i="3"/>
  <c r="AZ266" i="3"/>
  <c r="BA268" i="3"/>
  <c r="AZ268" i="3" s="1"/>
  <c r="BA269" i="3"/>
  <c r="AZ269" i="3" s="1"/>
  <c r="BA275" i="3"/>
  <c r="AZ275" i="3" s="1"/>
  <c r="BA278" i="3"/>
  <c r="AZ278" i="3" s="1"/>
  <c r="BA280" i="3"/>
  <c r="BL283" i="3"/>
  <c r="AZ283" i="3" s="1"/>
  <c r="BL284" i="3"/>
  <c r="G166" i="3"/>
  <c r="G86" i="3"/>
  <c r="BL110" i="3"/>
  <c r="BL360" i="3"/>
  <c r="AZ360" i="3" s="1"/>
  <c r="BL376" i="3"/>
  <c r="AZ376" i="3" s="1"/>
  <c r="BL388" i="3"/>
  <c r="AZ388" i="3" s="1"/>
  <c r="BA207" i="3"/>
  <c r="AZ207" i="3" s="1"/>
  <c r="BA220" i="3"/>
  <c r="AZ220" i="3" s="1"/>
  <c r="BL229" i="3"/>
  <c r="AZ229" i="3" s="1"/>
  <c r="BA234" i="3"/>
  <c r="BA236" i="3"/>
  <c r="AZ236" i="3" s="1"/>
  <c r="BL253" i="3"/>
  <c r="AZ253" i="3" s="1"/>
  <c r="BL255" i="3"/>
  <c r="BL261" i="3"/>
  <c r="AZ261" i="3" s="1"/>
  <c r="BL263" i="3"/>
  <c r="AZ263" i="3" s="1"/>
  <c r="BL122" i="3"/>
  <c r="BL125" i="3"/>
  <c r="BA176" i="3"/>
  <c r="BA185" i="3"/>
  <c r="AZ185" i="3" s="1"/>
  <c r="BA189" i="3"/>
  <c r="AZ189" i="3" s="1"/>
  <c r="BA193" i="3"/>
  <c r="AZ193" i="3" s="1"/>
  <c r="BA33" i="3"/>
  <c r="BL62" i="3"/>
  <c r="AZ62" i="3" s="1"/>
  <c r="S21" i="21"/>
  <c r="AA21" i="21"/>
  <c r="AB30" i="59"/>
  <c r="F31" i="59"/>
  <c r="F32" i="59" s="1"/>
  <c r="F33" i="59" s="1"/>
  <c r="V33" i="59" s="1"/>
  <c r="AB31" i="59"/>
  <c r="AB32" i="59"/>
  <c r="C36" i="59"/>
  <c r="D35" i="59"/>
  <c r="AA39" i="59"/>
  <c r="AA10" i="59"/>
  <c r="D88" i="59"/>
  <c r="C87" i="59"/>
  <c r="D87" i="59" s="1"/>
  <c r="AA13" i="59"/>
  <c r="BL438" i="3"/>
  <c r="AZ438" i="3" s="1"/>
  <c r="BA441" i="3"/>
  <c r="AZ441" i="3" s="1"/>
  <c r="BA449" i="3"/>
  <c r="AZ449" i="3" s="1"/>
  <c r="BL462" i="3"/>
  <c r="AZ462" i="3" s="1"/>
  <c r="BL470" i="3"/>
  <c r="BL478" i="3"/>
  <c r="AZ478" i="3" s="1"/>
  <c r="BA333" i="3"/>
  <c r="AZ333" i="3" s="1"/>
  <c r="BA357" i="3"/>
  <c r="AZ357" i="3" s="1"/>
  <c r="BL205" i="3"/>
  <c r="AZ205" i="3" s="1"/>
  <c r="BL216" i="3"/>
  <c r="AZ216" i="3" s="1"/>
  <c r="BL218" i="3"/>
  <c r="BA222" i="3"/>
  <c r="AZ222" i="3" s="1"/>
  <c r="BA235" i="3"/>
  <c r="BA238" i="3"/>
  <c r="AZ238" i="3" s="1"/>
  <c r="BL273" i="3"/>
  <c r="BL281" i="3"/>
  <c r="BL289" i="3"/>
  <c r="BL144" i="3"/>
  <c r="BL157" i="3"/>
  <c r="AZ157" i="3" s="1"/>
  <c r="BA166" i="3"/>
  <c r="AZ166" i="3" s="1"/>
  <c r="BA172" i="3"/>
  <c r="BA175" i="3"/>
  <c r="AZ175" i="3" s="1"/>
  <c r="BA177" i="3"/>
  <c r="AZ177" i="3" s="1"/>
  <c r="BL177" i="3"/>
  <c r="BL182" i="3"/>
  <c r="AZ182" i="3" s="1"/>
  <c r="BL183" i="3"/>
  <c r="AZ183" i="3" s="1"/>
  <c r="BA22" i="3"/>
  <c r="AZ22" i="3" s="1"/>
  <c r="BA23" i="3"/>
  <c r="AZ23" i="3" s="1"/>
  <c r="BA51" i="3"/>
  <c r="BL54" i="3"/>
  <c r="BL55" i="3"/>
  <c r="AZ55" i="3" s="1"/>
  <c r="BA57" i="3"/>
  <c r="B13" i="1"/>
  <c r="E13" i="1" s="1"/>
  <c r="K13" i="1"/>
  <c r="M13" i="1" s="1"/>
  <c r="D53" i="59"/>
  <c r="AA34" i="59"/>
  <c r="C64" i="59"/>
  <c r="D63" i="59"/>
  <c r="BA394" i="3"/>
  <c r="AZ394" i="3" s="1"/>
  <c r="BL399" i="3"/>
  <c r="AZ399" i="3" s="1"/>
  <c r="BA410" i="3"/>
  <c r="AZ410" i="3" s="1"/>
  <c r="BL415" i="3"/>
  <c r="AZ415" i="3" s="1"/>
  <c r="BA426" i="3"/>
  <c r="AZ426" i="3" s="1"/>
  <c r="BL439" i="3"/>
  <c r="AZ439" i="3" s="1"/>
  <c r="BA442" i="3"/>
  <c r="AZ442" i="3" s="1"/>
  <c r="BL447" i="3"/>
  <c r="BA450" i="3"/>
  <c r="AZ450" i="3" s="1"/>
  <c r="BL463" i="3"/>
  <c r="AZ463" i="3" s="1"/>
  <c r="BL471" i="3"/>
  <c r="AZ471" i="3" s="1"/>
  <c r="BL479" i="3"/>
  <c r="AZ479" i="3" s="1"/>
  <c r="BA368" i="3"/>
  <c r="AZ368" i="3" s="1"/>
  <c r="BA371" i="3"/>
  <c r="AZ371" i="3" s="1"/>
  <c r="BA384" i="3"/>
  <c r="AZ384" i="3" s="1"/>
  <c r="BA210" i="3"/>
  <c r="BL219" i="3"/>
  <c r="AZ219" i="3" s="1"/>
  <c r="BL220" i="3"/>
  <c r="BA223" i="3"/>
  <c r="AZ223" i="3" s="1"/>
  <c r="BL234" i="3"/>
  <c r="BL235" i="3"/>
  <c r="BL236" i="3"/>
  <c r="BA239" i="3"/>
  <c r="AZ239" i="3" s="1"/>
  <c r="BL128" i="3"/>
  <c r="BL163" i="3"/>
  <c r="BL186" i="3"/>
  <c r="BL188" i="3"/>
  <c r="AZ188" i="3" s="1"/>
  <c r="AZ25" i="3"/>
  <c r="BL31" i="3"/>
  <c r="C33" i="59"/>
  <c r="D32" i="59"/>
  <c r="X30" i="59"/>
  <c r="AA22" i="59"/>
  <c r="BL392" i="3"/>
  <c r="AZ392" i="3" s="1"/>
  <c r="BL408" i="3"/>
  <c r="AZ408" i="3" s="1"/>
  <c r="BA419" i="3"/>
  <c r="AZ419" i="3" s="1"/>
  <c r="BL424" i="3"/>
  <c r="AZ424" i="3" s="1"/>
  <c r="BL432" i="3"/>
  <c r="AZ432" i="3" s="1"/>
  <c r="BA435" i="3"/>
  <c r="AZ435" i="3" s="1"/>
  <c r="BL334" i="3"/>
  <c r="AZ334" i="3" s="1"/>
  <c r="BA386" i="3"/>
  <c r="AZ386" i="3" s="1"/>
  <c r="BA212" i="3"/>
  <c r="BL221" i="3"/>
  <c r="AZ221" i="3" s="1"/>
  <c r="G234" i="3"/>
  <c r="BL237" i="3"/>
  <c r="BA242" i="3"/>
  <c r="AZ242" i="3" s="1"/>
  <c r="BA244" i="3"/>
  <c r="BL272" i="3"/>
  <c r="BL280" i="3"/>
  <c r="BL288" i="3"/>
  <c r="BL296" i="3"/>
  <c r="BA151" i="3"/>
  <c r="AZ151" i="3" s="1"/>
  <c r="BA152" i="3"/>
  <c r="AZ152" i="3" s="1"/>
  <c r="BA162" i="3"/>
  <c r="AZ162" i="3" s="1"/>
  <c r="BL165" i="3"/>
  <c r="AZ165" i="3" s="1"/>
  <c r="BL172" i="3"/>
  <c r="BL196" i="3"/>
  <c r="AZ196" i="3" s="1"/>
  <c r="BA203" i="3"/>
  <c r="AZ203" i="3" s="1"/>
  <c r="BL22" i="3"/>
  <c r="BL23" i="3"/>
  <c r="BL41" i="3"/>
  <c r="BA45" i="3"/>
  <c r="BA49" i="3"/>
  <c r="BA67" i="3"/>
  <c r="AZ67" i="3" s="1"/>
  <c r="C67" i="59"/>
  <c r="O68" i="59"/>
  <c r="D68" i="59"/>
  <c r="AA33" i="59"/>
  <c r="AB19" i="59"/>
  <c r="AB11" i="59"/>
  <c r="BA273" i="3"/>
  <c r="BA281" i="3"/>
  <c r="AZ281" i="3" s="1"/>
  <c r="BA289" i="3"/>
  <c r="BL294" i="3"/>
  <c r="AZ294" i="3" s="1"/>
  <c r="BL124" i="3"/>
  <c r="AZ124" i="3" s="1"/>
  <c r="BL140" i="3"/>
  <c r="AZ140" i="3" s="1"/>
  <c r="BA158" i="3"/>
  <c r="AZ158" i="3" s="1"/>
  <c r="BA160" i="3"/>
  <c r="AZ160" i="3" s="1"/>
  <c r="BL171" i="3"/>
  <c r="BL187" i="3"/>
  <c r="AZ187" i="3" s="1"/>
  <c r="BA198" i="3"/>
  <c r="BA202" i="3"/>
  <c r="AZ202" i="3" s="1"/>
  <c r="G21" i="3"/>
  <c r="BL24" i="3"/>
  <c r="AZ24" i="3" s="1"/>
  <c r="G29" i="3"/>
  <c r="BA34" i="3"/>
  <c r="AZ34" i="3" s="1"/>
  <c r="G37" i="3"/>
  <c r="BL40" i="3"/>
  <c r="AZ40" i="3" s="1"/>
  <c r="G45" i="3"/>
  <c r="BA50" i="3"/>
  <c r="AZ50" i="3" s="1"/>
  <c r="G53" i="3"/>
  <c r="BL56" i="3"/>
  <c r="AZ56" i="3" s="1"/>
  <c r="G60" i="3"/>
  <c r="BL61" i="3"/>
  <c r="AZ61" i="3" s="1"/>
  <c r="G67" i="3"/>
  <c r="BL69" i="3"/>
  <c r="AZ69" i="3" s="1"/>
  <c r="BL70" i="3"/>
  <c r="AZ70" i="3" s="1"/>
  <c r="BA72" i="3"/>
  <c r="AZ72" i="3" s="1"/>
  <c r="BL77" i="3"/>
  <c r="BA100" i="3"/>
  <c r="BA102" i="3"/>
  <c r="AZ102" i="3" s="1"/>
  <c r="B32" i="59"/>
  <c r="B33" i="59" s="1"/>
  <c r="S33" i="59" s="1"/>
  <c r="Y38" i="59"/>
  <c r="Z38" i="59" s="1"/>
  <c r="C48" i="59"/>
  <c r="D48" i="59" s="1"/>
  <c r="D47" i="59"/>
  <c r="Y36" i="59"/>
  <c r="Z36" i="59" s="1"/>
  <c r="BL271" i="3"/>
  <c r="BA274" i="3"/>
  <c r="AZ274" i="3" s="1"/>
  <c r="BL279" i="3"/>
  <c r="BA282" i="3"/>
  <c r="AZ282" i="3" s="1"/>
  <c r="BL287" i="3"/>
  <c r="BA290" i="3"/>
  <c r="AZ290" i="3" s="1"/>
  <c r="BL295" i="3"/>
  <c r="AZ295" i="3" s="1"/>
  <c r="BL126" i="3"/>
  <c r="AZ126" i="3" s="1"/>
  <c r="BL142" i="3"/>
  <c r="AZ142" i="3" s="1"/>
  <c r="BL156" i="3"/>
  <c r="AZ156" i="3" s="1"/>
  <c r="BA163" i="3"/>
  <c r="BL173" i="3"/>
  <c r="AZ173" i="3" s="1"/>
  <c r="BL190" i="3"/>
  <c r="BL192" i="3"/>
  <c r="AZ192" i="3" s="1"/>
  <c r="BL194" i="3"/>
  <c r="BA197" i="3"/>
  <c r="AZ197" i="3" s="1"/>
  <c r="BA201" i="3"/>
  <c r="AZ201" i="3" s="1"/>
  <c r="BL203" i="3"/>
  <c r="BA204" i="3"/>
  <c r="AZ204" i="3" s="1"/>
  <c r="BL28" i="3"/>
  <c r="BL35" i="3"/>
  <c r="BA36" i="3"/>
  <c r="BL44" i="3"/>
  <c r="BL51" i="3"/>
  <c r="BA52" i="3"/>
  <c r="BA59" i="3"/>
  <c r="BL65" i="3"/>
  <c r="BL66" i="3"/>
  <c r="BL71" i="3"/>
  <c r="AZ71" i="3" s="1"/>
  <c r="AZ87" i="3"/>
  <c r="AZ88" i="3"/>
  <c r="AZ89" i="3"/>
  <c r="BA98" i="3"/>
  <c r="BA106" i="3"/>
  <c r="D53" i="46"/>
  <c r="J53" i="46"/>
  <c r="Y35" i="59"/>
  <c r="Z35" i="59" s="1"/>
  <c r="Y37" i="59"/>
  <c r="Z37" i="59" s="1"/>
  <c r="E49" i="59"/>
  <c r="U49" i="59" s="1"/>
  <c r="C60" i="59"/>
  <c r="D59" i="59"/>
  <c r="AA14" i="59"/>
  <c r="BL232" i="3"/>
  <c r="AZ232" i="3" s="1"/>
  <c r="BL240" i="3"/>
  <c r="AZ240" i="3" s="1"/>
  <c r="BL248" i="3"/>
  <c r="BL256" i="3"/>
  <c r="AZ256" i="3" s="1"/>
  <c r="BL264" i="3"/>
  <c r="BA115" i="3"/>
  <c r="AZ115" i="3" s="1"/>
  <c r="BA117" i="3"/>
  <c r="AZ117" i="3" s="1"/>
  <c r="BA131" i="3"/>
  <c r="AZ131" i="3" s="1"/>
  <c r="BA133" i="3"/>
  <c r="AZ133" i="3" s="1"/>
  <c r="BA147" i="3"/>
  <c r="AZ147" i="3" s="1"/>
  <c r="BA149" i="3"/>
  <c r="AZ149" i="3" s="1"/>
  <c r="BL159" i="3"/>
  <c r="AZ159" i="3" s="1"/>
  <c r="BA164" i="3"/>
  <c r="AZ164" i="3" s="1"/>
  <c r="BA180" i="3"/>
  <c r="AZ180" i="3" s="1"/>
  <c r="BL195" i="3"/>
  <c r="AZ195" i="3" s="1"/>
  <c r="BL198" i="3"/>
  <c r="BL57" i="3"/>
  <c r="BL75" i="3"/>
  <c r="BL85" i="3"/>
  <c r="BA91" i="3"/>
  <c r="BA93" i="3"/>
  <c r="AZ93" i="3" s="1"/>
  <c r="BA95" i="3"/>
  <c r="AZ95" i="3" s="1"/>
  <c r="BA97" i="3"/>
  <c r="BL100" i="3"/>
  <c r="BA110" i="3"/>
  <c r="AA35" i="59"/>
  <c r="S69" i="59"/>
  <c r="B68" i="59"/>
  <c r="B72" i="59"/>
  <c r="B71" i="59" s="1"/>
  <c r="AB12" i="59"/>
  <c r="AB18" i="59"/>
  <c r="X15" i="59"/>
  <c r="X14" i="59"/>
  <c r="X12" i="59"/>
  <c r="X13" i="59"/>
  <c r="X11" i="59"/>
  <c r="X17" i="59"/>
  <c r="AA12" i="59"/>
  <c r="BL209" i="3"/>
  <c r="BL217" i="3"/>
  <c r="AZ217" i="3" s="1"/>
  <c r="BL225" i="3"/>
  <c r="AZ225" i="3" s="1"/>
  <c r="BL233" i="3"/>
  <c r="AZ233" i="3" s="1"/>
  <c r="BL241" i="3"/>
  <c r="AZ241" i="3" s="1"/>
  <c r="BL249" i="3"/>
  <c r="BL257" i="3"/>
  <c r="AZ257" i="3" s="1"/>
  <c r="BL265" i="3"/>
  <c r="AZ265" i="3" s="1"/>
  <c r="BL113" i="3"/>
  <c r="BA120" i="3"/>
  <c r="AZ120" i="3" s="1"/>
  <c r="BL129" i="3"/>
  <c r="AZ129" i="3" s="1"/>
  <c r="BA136" i="3"/>
  <c r="AZ136" i="3" s="1"/>
  <c r="BL145" i="3"/>
  <c r="BL161" i="3"/>
  <c r="AZ161" i="3" s="1"/>
  <c r="BA167" i="3"/>
  <c r="AZ167" i="3" s="1"/>
  <c r="BL176" i="3"/>
  <c r="AZ176" i="3" s="1"/>
  <c r="BA179" i="3"/>
  <c r="AZ179" i="3" s="1"/>
  <c r="BA181" i="3"/>
  <c r="AZ181" i="3" s="1"/>
  <c r="BL199" i="3"/>
  <c r="AZ199" i="3" s="1"/>
  <c r="G85" i="3"/>
  <c r="BL87" i="3"/>
  <c r="BL91" i="3"/>
  <c r="BL102" i="3"/>
  <c r="BA105" i="3"/>
  <c r="C57" i="59"/>
  <c r="D56" i="59"/>
  <c r="AA31" i="59"/>
  <c r="C44" i="59"/>
  <c r="D43" i="59"/>
  <c r="T69" i="59"/>
  <c r="O69" i="59"/>
  <c r="D69" i="59"/>
  <c r="X28" i="59"/>
  <c r="X29" i="59"/>
  <c r="Y33" i="59"/>
  <c r="Z33" i="59" s="1"/>
  <c r="AB26" i="59"/>
  <c r="AB24" i="59"/>
  <c r="Y12" i="59"/>
  <c r="Z12" i="59" s="1"/>
  <c r="Y11" i="59"/>
  <c r="Z11" i="59" s="1"/>
  <c r="Y15" i="59"/>
  <c r="Z15" i="59" s="1"/>
  <c r="Y13" i="59"/>
  <c r="Z13" i="59" s="1"/>
  <c r="Y14" i="59"/>
  <c r="Z14" i="59" s="1"/>
  <c r="BA28" i="3"/>
  <c r="AZ28" i="3" s="1"/>
  <c r="BL33" i="3"/>
  <c r="BA44" i="3"/>
  <c r="AZ44" i="3" s="1"/>
  <c r="BL49" i="3"/>
  <c r="BA66" i="3"/>
  <c r="AZ66" i="3" s="1"/>
  <c r="BA76" i="3"/>
  <c r="AZ76" i="3" s="1"/>
  <c r="BA77" i="3"/>
  <c r="AZ77" i="3" s="1"/>
  <c r="BL94" i="3"/>
  <c r="AZ94" i="3" s="1"/>
  <c r="BL98" i="3"/>
  <c r="G99" i="3"/>
  <c r="BA104" i="3"/>
  <c r="AZ104" i="3" s="1"/>
  <c r="S18" i="36"/>
  <c r="V73" i="59"/>
  <c r="F72" i="59"/>
  <c r="F71" i="59" s="1"/>
  <c r="T77" i="59"/>
  <c r="X36" i="59"/>
  <c r="Y18" i="59"/>
  <c r="Z18" i="59" s="1"/>
  <c r="AA18" i="59"/>
  <c r="AA3" i="59"/>
  <c r="BA21" i="3"/>
  <c r="AZ21" i="3" s="1"/>
  <c r="BL26" i="3"/>
  <c r="BA37" i="3"/>
  <c r="AZ37" i="3" s="1"/>
  <c r="BL42" i="3"/>
  <c r="AZ42" i="3" s="1"/>
  <c r="BA53" i="3"/>
  <c r="AZ53" i="3" s="1"/>
  <c r="BL64" i="3"/>
  <c r="AZ64" i="3" s="1"/>
  <c r="G74" i="3"/>
  <c r="BL74" i="3"/>
  <c r="AZ74" i="3" s="1"/>
  <c r="BA78" i="3"/>
  <c r="AZ78" i="3" s="1"/>
  <c r="BA84" i="3"/>
  <c r="G98" i="3"/>
  <c r="BA107" i="3"/>
  <c r="AZ107" i="3" s="1"/>
  <c r="BA109" i="3"/>
  <c r="X32" i="59"/>
  <c r="AA38" i="59"/>
  <c r="Y6" i="59"/>
  <c r="Z6" i="59" s="1"/>
  <c r="Y8" i="59"/>
  <c r="Z8" i="59" s="1"/>
  <c r="Y7" i="59"/>
  <c r="Z7" i="59" s="1"/>
  <c r="Y5" i="59"/>
  <c r="Z5" i="59" s="1"/>
  <c r="Y10" i="59"/>
  <c r="Z10" i="59" s="1"/>
  <c r="E24" i="59"/>
  <c r="E23" i="59" s="1"/>
  <c r="E22" i="59" s="1"/>
  <c r="E21" i="59" s="1"/>
  <c r="U25" i="59"/>
  <c r="X24" i="59"/>
  <c r="X22" i="59"/>
  <c r="BL27" i="3"/>
  <c r="AZ27" i="3" s="1"/>
  <c r="BA30" i="3"/>
  <c r="AZ30" i="3" s="1"/>
  <c r="BL43" i="3"/>
  <c r="AZ43" i="3" s="1"/>
  <c r="BA46" i="3"/>
  <c r="AZ46" i="3" s="1"/>
  <c r="BL58" i="3"/>
  <c r="AZ58" i="3" s="1"/>
  <c r="BA60" i="3"/>
  <c r="AZ60" i="3" s="1"/>
  <c r="BA68" i="3"/>
  <c r="AZ68" i="3" s="1"/>
  <c r="BL76" i="3"/>
  <c r="BA79" i="3"/>
  <c r="AZ79" i="3" s="1"/>
  <c r="BA82" i="3"/>
  <c r="AZ82" i="3" s="1"/>
  <c r="BA83" i="3"/>
  <c r="AZ83" i="3" s="1"/>
  <c r="BA86" i="3"/>
  <c r="AZ86" i="3" s="1"/>
  <c r="BL97" i="3"/>
  <c r="BL103" i="3"/>
  <c r="AZ103" i="3" s="1"/>
  <c r="BL107" i="3"/>
  <c r="BA111" i="3"/>
  <c r="AZ111" i="3" s="1"/>
  <c r="AA30" i="59"/>
  <c r="Y32" i="59"/>
  <c r="Z32" i="59" s="1"/>
  <c r="E35" i="59"/>
  <c r="E36" i="59" s="1"/>
  <c r="E37" i="59" s="1"/>
  <c r="U37" i="59" s="1"/>
  <c r="F39" i="59"/>
  <c r="F40" i="59" s="1"/>
  <c r="F41" i="59" s="1"/>
  <c r="V41" i="59" s="1"/>
  <c r="AB38" i="59"/>
  <c r="AA5" i="59"/>
  <c r="AA6" i="59"/>
  <c r="AA8" i="59"/>
  <c r="AA7" i="59"/>
  <c r="AA40" i="59"/>
  <c r="AB34" i="59"/>
  <c r="Y24" i="59"/>
  <c r="Z24" i="59" s="1"/>
  <c r="AB3" i="59"/>
  <c r="BL191" i="3"/>
  <c r="AZ191" i="3" s="1"/>
  <c r="BL204" i="3"/>
  <c r="BA31" i="3"/>
  <c r="AZ31" i="3" s="1"/>
  <c r="BL36" i="3"/>
  <c r="BA47" i="3"/>
  <c r="AZ47" i="3" s="1"/>
  <c r="BL52" i="3"/>
  <c r="BL59" i="3"/>
  <c r="BA69" i="3"/>
  <c r="BA81" i="3"/>
  <c r="AZ81" i="3" s="1"/>
  <c r="BL83" i="3"/>
  <c r="BL84" i="3"/>
  <c r="G106" i="3"/>
  <c r="G107" i="3"/>
  <c r="BL109" i="3"/>
  <c r="BA112" i="3"/>
  <c r="AZ112" i="3" s="1"/>
  <c r="D76" i="59"/>
  <c r="AA32" i="59"/>
  <c r="F64" i="59"/>
  <c r="F65" i="59" s="1"/>
  <c r="V65" i="59" s="1"/>
  <c r="U81" i="59"/>
  <c r="E80" i="59"/>
  <c r="E79" i="59" s="1"/>
  <c r="AA26" i="59"/>
  <c r="BA75" i="3"/>
  <c r="AZ75" i="3" s="1"/>
  <c r="BL80" i="3"/>
  <c r="BL96" i="3"/>
  <c r="BA99" i="3"/>
  <c r="AZ99" i="3" s="1"/>
  <c r="E72" i="59"/>
  <c r="E71" i="59" s="1"/>
  <c r="AB8" i="59"/>
  <c r="AB10" i="59"/>
  <c r="AB6" i="59"/>
  <c r="AB7" i="59"/>
  <c r="AB5" i="59"/>
  <c r="Y34" i="59"/>
  <c r="Z34" i="59" s="1"/>
  <c r="AA16" i="59"/>
  <c r="AA11" i="59"/>
  <c r="BL73" i="3"/>
  <c r="BL89" i="3"/>
  <c r="BA92" i="3"/>
  <c r="AZ92" i="3" s="1"/>
  <c r="BL105" i="3"/>
  <c r="BA108" i="3"/>
  <c r="AZ108" i="3" s="1"/>
  <c r="C27" i="40"/>
  <c r="C80" i="59"/>
  <c r="E39" i="59"/>
  <c r="E40" i="59" s="1"/>
  <c r="E41" i="59" s="1"/>
  <c r="U41" i="59" s="1"/>
  <c r="AB16" i="59"/>
  <c r="AB13" i="59"/>
  <c r="AA15" i="59"/>
  <c r="BA85" i="3"/>
  <c r="AZ85" i="3" s="1"/>
  <c r="BL90" i="3"/>
  <c r="AZ90" i="3" s="1"/>
  <c r="BA101" i="3"/>
  <c r="AZ101" i="3" s="1"/>
  <c r="BL106" i="3"/>
  <c r="S31" i="39"/>
  <c r="X8" i="59"/>
  <c r="X6" i="59"/>
  <c r="X5" i="59"/>
  <c r="X7" i="59"/>
  <c r="X10" i="59"/>
  <c r="AB14" i="59"/>
  <c r="AB15" i="59"/>
  <c r="O40" i="9"/>
  <c r="K31" i="9" s="1"/>
  <c r="K32" i="9" s="1"/>
  <c r="K33" i="9"/>
  <c r="K34" i="9" s="1"/>
  <c r="J51" i="15"/>
  <c r="AB42" i="33"/>
  <c r="S25" i="39"/>
  <c r="W25" i="39"/>
  <c r="AB25" i="39"/>
  <c r="M6" i="1"/>
  <c r="O6" i="1" s="1"/>
  <c r="P6" i="1" s="1"/>
  <c r="C15" i="12" s="1"/>
  <c r="AH6" i="1"/>
  <c r="H125" i="39"/>
  <c r="I125" i="39" s="1"/>
  <c r="J125" i="39" s="1"/>
  <c r="K125" i="39" s="1"/>
  <c r="L125" i="39" s="1"/>
  <c r="M125" i="39" s="1"/>
  <c r="F43" i="39"/>
  <c r="AA43" i="39" s="1"/>
  <c r="J43" i="39"/>
  <c r="AC43" i="39" s="1"/>
  <c r="H43" i="39"/>
  <c r="U41" i="39"/>
  <c r="S41" i="39"/>
  <c r="W34" i="39"/>
  <c r="U34" i="39"/>
  <c r="AA44" i="39"/>
  <c r="AC44" i="39"/>
  <c r="AB44" i="39"/>
  <c r="U23" i="39"/>
  <c r="S23" i="39"/>
  <c r="W23" i="39"/>
  <c r="W42" i="33"/>
  <c r="F42" i="33"/>
  <c r="AA42" i="33" s="1"/>
  <c r="U33" i="33"/>
  <c r="W33" i="33"/>
  <c r="U36" i="33"/>
  <c r="AC36" i="33"/>
  <c r="AC37" i="33"/>
  <c r="AB34" i="33"/>
  <c r="S33" i="33"/>
  <c r="W43" i="33"/>
  <c r="AB43" i="33"/>
  <c r="S37" i="33"/>
  <c r="U35" i="33"/>
  <c r="S35" i="33"/>
  <c r="W34" i="33"/>
  <c r="W39" i="33"/>
  <c r="S39" i="33"/>
  <c r="AC35" i="33"/>
  <c r="AA34" i="33"/>
  <c r="U32" i="33"/>
  <c r="W32" i="33"/>
  <c r="F23" i="33"/>
  <c r="S23" i="33" s="1"/>
  <c r="F85" i="33"/>
  <c r="G85" i="33" s="1"/>
  <c r="J23" i="33"/>
  <c r="AC23" i="33" s="1"/>
  <c r="H23" i="33"/>
  <c r="AB23" i="33" s="1"/>
  <c r="W23" i="33"/>
  <c r="G81" i="33"/>
  <c r="H19" i="33"/>
  <c r="AB19" i="33" s="1"/>
  <c r="J19" i="33"/>
  <c r="W19" i="33" s="1"/>
  <c r="F19" i="33"/>
  <c r="AC19" i="33"/>
  <c r="F79" i="33"/>
  <c r="G79" i="33" s="1"/>
  <c r="F17" i="33"/>
  <c r="AA17" i="33" s="1"/>
  <c r="J17" i="33"/>
  <c r="W17" i="33" s="1"/>
  <c r="H17" i="33"/>
  <c r="AB17" i="33" s="1"/>
  <c r="AB11" i="33"/>
  <c r="AA11" i="33"/>
  <c r="AC11" i="33"/>
  <c r="F77" i="33"/>
  <c r="F15" i="33" s="1"/>
  <c r="AC17" i="33"/>
  <c r="S9" i="33"/>
  <c r="W9" i="33"/>
  <c r="A30" i="51"/>
  <c r="B22" i="63" s="1"/>
  <c r="A30" i="64"/>
  <c r="P75" i="15"/>
  <c r="F100" i="39"/>
  <c r="G100" i="39" s="1"/>
  <c r="H27" i="39"/>
  <c r="AB27" i="39" s="1"/>
  <c r="F27" i="39"/>
  <c r="AA27" i="39" s="1"/>
  <c r="J27" i="39"/>
  <c r="AC27" i="39" s="1"/>
  <c r="W41" i="39"/>
  <c r="U19" i="39"/>
  <c r="B101" i="46"/>
  <c r="B79" i="46"/>
  <c r="B76" i="46"/>
  <c r="B77" i="46"/>
  <c r="C31" i="39"/>
  <c r="B68" i="46"/>
  <c r="G29" i="6"/>
  <c r="C51" i="10"/>
  <c r="A9" i="64" s="1"/>
  <c r="G12" i="1"/>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37" i="3"/>
  <c r="AZ447" i="3"/>
  <c r="AZ451" i="3"/>
  <c r="AZ457" i="3"/>
  <c r="AZ465" i="3"/>
  <c r="AZ473" i="3"/>
  <c r="AZ206" i="3"/>
  <c r="AZ116" i="3"/>
  <c r="BT5" i="3"/>
  <c r="BI5" i="3"/>
  <c r="BG5" i="3"/>
  <c r="AZ211" i="3"/>
  <c r="AZ227" i="3"/>
  <c r="AZ235" i="3"/>
  <c r="AZ243" i="3"/>
  <c r="AZ251" i="3"/>
  <c r="AZ259" i="3"/>
  <c r="AZ271" i="3"/>
  <c r="AZ287" i="3"/>
  <c r="AZ168" i="3"/>
  <c r="AZ186" i="3"/>
  <c r="AZ190" i="3"/>
  <c r="AZ194" i="3"/>
  <c r="AZ198" i="3"/>
  <c r="AZ29" i="3"/>
  <c r="AZ33" i="3"/>
  <c r="AZ45" i="3"/>
  <c r="AZ54" i="3"/>
  <c r="AZ80" i="3"/>
  <c r="AZ96" i="3"/>
  <c r="AZ100" i="3"/>
  <c r="AP7" i="1"/>
  <c r="AP16" i="1" s="1"/>
  <c r="F22" i="11" s="1"/>
  <c r="B21" i="63"/>
  <c r="N4" i="63"/>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L48" i="35"/>
  <c r="M48" i="35" s="1"/>
  <c r="N48" i="35" s="1"/>
  <c r="O48" i="35"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B17" i="59"/>
  <c r="X16" i="59"/>
  <c r="Y16" i="59"/>
  <c r="Z1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7" i="59"/>
  <c r="AA17" i="59"/>
  <c r="Y17" i="59"/>
  <c r="Z17" i="59" s="1"/>
  <c r="P29" i="46"/>
  <c r="B72" i="39" s="1"/>
  <c r="J1" i="65"/>
  <c r="C27" i="15"/>
  <c r="M9" i="44"/>
  <c r="C4" i="65"/>
  <c r="B39" i="1" s="1"/>
  <c r="F8" i="15"/>
  <c r="J15" i="15"/>
  <c r="F36" i="15"/>
  <c r="F10" i="44"/>
  <c r="M28" i="15"/>
  <c r="F13" i="15"/>
  <c r="F7" i="15"/>
  <c r="M8" i="44"/>
  <c r="F8" i="44"/>
  <c r="M29" i="15"/>
  <c r="F16" i="15"/>
  <c r="L47" i="15"/>
  <c r="M26" i="44"/>
  <c r="F39" i="44"/>
  <c r="F15" i="44"/>
  <c r="M31" i="44"/>
  <c r="M25" i="44"/>
  <c r="M10" i="44"/>
  <c r="M23" i="15"/>
  <c r="F38" i="15"/>
  <c r="F40" i="44"/>
  <c r="F37" i="15"/>
  <c r="F38" i="44"/>
  <c r="L48" i="15"/>
  <c r="M22" i="15"/>
  <c r="M24" i="15"/>
  <c r="C18" i="44"/>
  <c r="F9" i="15"/>
  <c r="J36" i="15"/>
  <c r="F6" i="15"/>
  <c r="F43" i="15"/>
  <c r="F11" i="44"/>
  <c r="M6" i="15"/>
  <c r="E3" i="65"/>
  <c r="M9" i="15"/>
  <c r="F28" i="44"/>
  <c r="F40" i="15"/>
  <c r="F43" i="44"/>
  <c r="L49" i="44"/>
  <c r="L48" i="44"/>
  <c r="E2" i="65"/>
  <c r="Q72" i="15" l="1"/>
  <c r="C29" i="44"/>
  <c r="L59" i="44"/>
  <c r="Q75" i="44" s="1"/>
  <c r="L60" i="44"/>
  <c r="Q63" i="44" s="1"/>
  <c r="F48" i="15"/>
  <c r="F64" i="15"/>
  <c r="J58" i="44"/>
  <c r="J56" i="44" s="1"/>
  <c r="J59" i="44" s="1"/>
  <c r="Q52" i="44" s="1"/>
  <c r="I55" i="44"/>
  <c r="J54" i="44"/>
  <c r="F1" i="44" s="1"/>
  <c r="L57" i="44"/>
  <c r="F33" i="44"/>
  <c r="C8" i="44"/>
  <c r="C34" i="44" s="1"/>
  <c r="J53" i="15"/>
  <c r="F1" i="15" s="1"/>
  <c r="L56" i="15"/>
  <c r="F70" i="15"/>
  <c r="F65" i="15"/>
  <c r="L58" i="15"/>
  <c r="Q74" i="15" s="1"/>
  <c r="L59" i="15"/>
  <c r="Q75" i="15" s="1"/>
  <c r="Q73" i="44"/>
  <c r="F67" i="15"/>
  <c r="F50" i="15"/>
  <c r="F63" i="15"/>
  <c r="J57" i="15"/>
  <c r="J55" i="15" s="1"/>
  <c r="J58" i="15" s="1"/>
  <c r="Q51" i="15" s="1"/>
  <c r="AZ105" i="3"/>
  <c r="C23" i="59"/>
  <c r="D24" i="59"/>
  <c r="AC12" i="36"/>
  <c r="W12" i="36"/>
  <c r="AA16" i="40"/>
  <c r="S16" i="40"/>
  <c r="U28" i="34"/>
  <c r="AB28" i="34"/>
  <c r="AA28" i="33"/>
  <c r="S28" i="33"/>
  <c r="S13" i="36"/>
  <c r="AA13" i="36"/>
  <c r="AB13" i="35"/>
  <c r="U13" i="35"/>
  <c r="AB29" i="21"/>
  <c r="U29" i="21"/>
  <c r="P27" i="46"/>
  <c r="AZ13" i="3"/>
  <c r="A1" i="70"/>
  <c r="U19" i="33"/>
  <c r="AZ84" i="3"/>
  <c r="AZ289" i="3"/>
  <c r="O67" i="59"/>
  <c r="D67" i="59"/>
  <c r="O66" i="59"/>
  <c r="AZ212" i="3"/>
  <c r="AZ57" i="3"/>
  <c r="AZ125" i="3"/>
  <c r="AZ237" i="3"/>
  <c r="AZ209" i="3"/>
  <c r="AZ402" i="3"/>
  <c r="AZ144" i="3"/>
  <c r="AZ480" i="3"/>
  <c r="AZ65" i="3"/>
  <c r="AZ255" i="3"/>
  <c r="AZ440" i="3"/>
  <c r="AZ570" i="3"/>
  <c r="AZ525" i="3"/>
  <c r="AZ18" i="3"/>
  <c r="AA47" i="39"/>
  <c r="S47" i="39"/>
  <c r="S13" i="35"/>
  <c r="AA13" i="35"/>
  <c r="O23" i="46"/>
  <c r="AZ91" i="3"/>
  <c r="AZ36" i="3"/>
  <c r="U12" i="35"/>
  <c r="AB12" i="35"/>
  <c r="AC28" i="37"/>
  <c r="W28" i="37"/>
  <c r="AC29" i="34"/>
  <c r="W29" i="34"/>
  <c r="F16" i="59"/>
  <c r="F15" i="59" s="1"/>
  <c r="F14" i="59" s="1"/>
  <c r="F13" i="59" s="1"/>
  <c r="V17" i="59"/>
  <c r="P26" i="46"/>
  <c r="S42" i="33"/>
  <c r="AZ273" i="3"/>
  <c r="AZ49" i="3"/>
  <c r="AZ210" i="3"/>
  <c r="AZ234" i="3"/>
  <c r="AZ226" i="3"/>
  <c r="D29" i="59"/>
  <c r="C28" i="59"/>
  <c r="T29" i="59"/>
  <c r="S12" i="35"/>
  <c r="AA12" i="35"/>
  <c r="B20" i="31"/>
  <c r="R22" i="31"/>
  <c r="B21" i="31" s="1"/>
  <c r="S28" i="37"/>
  <c r="AA28" i="37"/>
  <c r="AZ536" i="3"/>
  <c r="AA45" i="33"/>
  <c r="S45" i="33"/>
  <c r="AA12" i="37"/>
  <c r="S12" i="37"/>
  <c r="W25" i="35"/>
  <c r="AC25" i="35"/>
  <c r="AB13" i="33"/>
  <c r="U13" i="33"/>
  <c r="P28" i="46"/>
  <c r="B67" i="40" s="1"/>
  <c r="N68" i="59"/>
  <c r="B67" i="59"/>
  <c r="AA25" i="35"/>
  <c r="S25" i="35"/>
  <c r="J8" i="44"/>
  <c r="J20" i="44" s="1"/>
  <c r="AC47" i="39"/>
  <c r="A9" i="51"/>
  <c r="B9" i="63" s="1"/>
  <c r="D44" i="59"/>
  <c r="C45" i="59"/>
  <c r="AZ244" i="3"/>
  <c r="C65" i="59"/>
  <c r="D64" i="59"/>
  <c r="AZ51" i="3"/>
  <c r="AZ172" i="3"/>
  <c r="AZ459" i="3"/>
  <c r="AZ434" i="3"/>
  <c r="AZ403" i="3"/>
  <c r="AZ113" i="3"/>
  <c r="AZ224" i="3"/>
  <c r="AZ132" i="3"/>
  <c r="AZ448" i="3"/>
  <c r="U29" i="59"/>
  <c r="E28" i="59"/>
  <c r="E27" i="59" s="1"/>
  <c r="AZ393" i="3"/>
  <c r="AC12" i="35"/>
  <c r="W12" i="35"/>
  <c r="W42" i="40"/>
  <c r="AC42" i="40"/>
  <c r="AB47" i="34"/>
  <c r="U47" i="34"/>
  <c r="U45" i="33"/>
  <c r="AB45" i="33"/>
  <c r="AA24" i="36"/>
  <c r="S24" i="36"/>
  <c r="U9" i="21"/>
  <c r="AB9" i="21"/>
  <c r="U12" i="37"/>
  <c r="AB12" i="37"/>
  <c r="E15" i="6"/>
  <c r="E66" i="39" s="1"/>
  <c r="S43" i="39"/>
  <c r="D80" i="59"/>
  <c r="C79" i="59"/>
  <c r="D79" i="59" s="1"/>
  <c r="AZ110" i="3"/>
  <c r="AZ163" i="3"/>
  <c r="T33" i="59"/>
  <c r="D33" i="59"/>
  <c r="AZ41" i="3"/>
  <c r="AC9" i="35"/>
  <c r="W9" i="35"/>
  <c r="AA42" i="40"/>
  <c r="S42" i="40"/>
  <c r="AC47" i="34"/>
  <c r="W47" i="34"/>
  <c r="AB24" i="36"/>
  <c r="U24" i="36"/>
  <c r="S9" i="21"/>
  <c r="AA9" i="21"/>
  <c r="AA23" i="36"/>
  <c r="S23" i="36"/>
  <c r="W16" i="39"/>
  <c r="AC16" i="39"/>
  <c r="D60" i="59"/>
  <c r="C61" i="59"/>
  <c r="I54" i="15"/>
  <c r="S27" i="39"/>
  <c r="E20" i="59"/>
  <c r="E19" i="59" s="1"/>
  <c r="E18" i="59" s="1"/>
  <c r="E17" i="59" s="1"/>
  <c r="U21" i="59"/>
  <c r="AZ109" i="3"/>
  <c r="AZ106" i="3"/>
  <c r="AZ59" i="3"/>
  <c r="V29" i="59"/>
  <c r="F28" i="59"/>
  <c r="F27" i="59" s="1"/>
  <c r="AZ562" i="3"/>
  <c r="W12" i="21"/>
  <c r="AC12" i="21"/>
  <c r="G92" i="39"/>
  <c r="F19" i="39"/>
  <c r="J19" i="39"/>
  <c r="AB9" i="35"/>
  <c r="U9" i="35"/>
  <c r="AA32" i="34"/>
  <c r="S32" i="34"/>
  <c r="W28" i="34"/>
  <c r="AC28" i="34"/>
  <c r="W24" i="36"/>
  <c r="AC24" i="36"/>
  <c r="AC9" i="21"/>
  <c r="W9" i="21"/>
  <c r="W23" i="36"/>
  <c r="AC23" i="36"/>
  <c r="S16" i="39"/>
  <c r="AA16" i="39"/>
  <c r="AZ492" i="3"/>
  <c r="S13" i="33"/>
  <c r="AA13" i="33"/>
  <c r="P25" i="46"/>
  <c r="B16" i="59"/>
  <c r="B15" i="59" s="1"/>
  <c r="B14" i="59" s="1"/>
  <c r="B13" i="59" s="1"/>
  <c r="S17" i="59"/>
  <c r="K17" i="4"/>
  <c r="A22" i="51" s="1"/>
  <c r="B16" i="63" s="1"/>
  <c r="U23" i="33"/>
  <c r="W43" i="39"/>
  <c r="D57" i="59"/>
  <c r="T57" i="59"/>
  <c r="AZ97" i="3"/>
  <c r="AZ98" i="3"/>
  <c r="AZ52" i="3"/>
  <c r="C37" i="59"/>
  <c r="D36" i="59"/>
  <c r="AZ280" i="3"/>
  <c r="AZ230" i="3"/>
  <c r="AZ296" i="3"/>
  <c r="AZ418" i="3"/>
  <c r="AZ284" i="3"/>
  <c r="C41" i="59"/>
  <c r="D40" i="59"/>
  <c r="AZ467" i="3"/>
  <c r="S12" i="21"/>
  <c r="AA12" i="21"/>
  <c r="AA12" i="36"/>
  <c r="S12" i="36"/>
  <c r="W16" i="40"/>
  <c r="AC16" i="40"/>
  <c r="S28" i="34"/>
  <c r="AA28" i="34"/>
  <c r="AB28" i="33"/>
  <c r="U28" i="33"/>
  <c r="AZ552" i="3"/>
  <c r="AB23" i="36"/>
  <c r="U23" i="36"/>
  <c r="S29" i="21"/>
  <c r="AA29" i="21"/>
  <c r="W29" i="21"/>
  <c r="AC29" i="21"/>
  <c r="AZ545" i="3"/>
  <c r="W13" i="33"/>
  <c r="AC13" i="33"/>
  <c r="AA23" i="33"/>
  <c r="F31" i="15"/>
  <c r="C6" i="15"/>
  <c r="C32" i="15" s="1"/>
  <c r="M7" i="15"/>
  <c r="M17" i="15" s="1"/>
  <c r="F49" i="15"/>
  <c r="F58" i="15" s="1"/>
  <c r="U43" i="39"/>
  <c r="AB43" i="39"/>
  <c r="U27" i="39"/>
  <c r="S17" i="33"/>
  <c r="S19" i="33"/>
  <c r="AA19" i="33"/>
  <c r="U17" i="33"/>
  <c r="AA15" i="33"/>
  <c r="S15" i="33"/>
  <c r="G77" i="33"/>
  <c r="J15" i="33"/>
  <c r="H15" i="33"/>
  <c r="W27" i="39"/>
  <c r="J7" i="33"/>
  <c r="W7" i="33" s="1"/>
  <c r="E83" i="46"/>
  <c r="B81" i="46" s="1"/>
  <c r="D26" i="46"/>
  <c r="C25" i="46" s="1"/>
  <c r="BA5" i="3"/>
  <c r="E12" i="6"/>
  <c r="E63" i="39"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G5" i="3"/>
  <c r="B3" i="3" s="1"/>
  <c r="F21" i="43"/>
  <c r="F33" i="12"/>
  <c r="C34" i="12" s="1"/>
  <c r="D33" i="12" s="1"/>
  <c r="K14" i="1"/>
  <c r="H7" i="34"/>
  <c r="F7" i="34"/>
  <c r="AA7" i="34" s="1"/>
  <c r="R49" i="34" s="1"/>
  <c r="J7" i="34"/>
  <c r="W7" i="34" s="1"/>
  <c r="G16" i="1"/>
  <c r="J12" i="40" s="1"/>
  <c r="F7" i="21"/>
  <c r="AA7" i="21" s="1"/>
  <c r="R48" i="21" s="1"/>
  <c r="H7" i="21"/>
  <c r="AB7" i="21" s="1"/>
  <c r="T48" i="21" s="1"/>
  <c r="G48" i="21" s="1"/>
  <c r="B12" i="59"/>
  <c r="S13" i="59"/>
  <c r="H7" i="35"/>
  <c r="U7" i="35" s="1"/>
  <c r="B40" i="1"/>
  <c r="E64" i="40"/>
  <c r="D66" i="40"/>
  <c r="S7" i="34"/>
  <c r="J7" i="37"/>
  <c r="W7" i="21"/>
  <c r="AC7" i="21"/>
  <c r="V48" i="21" s="1"/>
  <c r="I48" i="21" s="1"/>
  <c r="D71" i="39"/>
  <c r="E69" i="39"/>
  <c r="AB7" i="34"/>
  <c r="T49" i="34" s="1"/>
  <c r="G49" i="34" s="1"/>
  <c r="U7" i="34"/>
  <c r="H7" i="33"/>
  <c r="F7" i="33"/>
  <c r="J46" i="36"/>
  <c r="J7" i="35"/>
  <c r="F7" i="35"/>
  <c r="H7" i="37"/>
  <c r="F7" i="37"/>
  <c r="M19" i="44"/>
  <c r="F17" i="11"/>
  <c r="C17" i="11" s="1"/>
  <c r="C19" i="11" s="1"/>
  <c r="M13" i="44"/>
  <c r="J12" i="44" s="1"/>
  <c r="F11" i="15"/>
  <c r="M11" i="15"/>
  <c r="F13" i="44"/>
  <c r="C12" i="44" s="1"/>
  <c r="M32" i="46"/>
  <c r="P32" i="46"/>
  <c r="O32" i="46"/>
  <c r="N32" i="46"/>
  <c r="AE12" i="1"/>
  <c r="AE7" i="1"/>
  <c r="AE8" i="1"/>
  <c r="AE9" i="1"/>
  <c r="AE10" i="1"/>
  <c r="AE11" i="1"/>
  <c r="AE6" i="1"/>
  <c r="F46" i="44"/>
  <c r="C16" i="15"/>
  <c r="C7" i="44" l="1"/>
  <c r="C40" i="44" s="1"/>
  <c r="J60" i="44"/>
  <c r="J61" i="44" s="1"/>
  <c r="Q50" i="44" s="1"/>
  <c r="Q76" i="44"/>
  <c r="Q62" i="15"/>
  <c r="Q54" i="44"/>
  <c r="Q61" i="15"/>
  <c r="Q53" i="15"/>
  <c r="Q62" i="44"/>
  <c r="J7" i="44"/>
  <c r="J26" i="44" s="1"/>
  <c r="T61" i="59"/>
  <c r="D61" i="59"/>
  <c r="C27" i="59"/>
  <c r="D27" i="59" s="1"/>
  <c r="D28" i="59"/>
  <c r="W19" i="39"/>
  <c r="AC19" i="39"/>
  <c r="E61" i="40"/>
  <c r="S19" i="39"/>
  <c r="AA19" i="39"/>
  <c r="V13" i="59"/>
  <c r="F12" i="59"/>
  <c r="F11" i="59" s="1"/>
  <c r="T37" i="59"/>
  <c r="D37" i="59"/>
  <c r="T65" i="59"/>
  <c r="D65" i="59"/>
  <c r="E58" i="40"/>
  <c r="T41" i="59"/>
  <c r="D41" i="59"/>
  <c r="E16" i="59"/>
  <c r="E15" i="59" s="1"/>
  <c r="E14" i="59" s="1"/>
  <c r="E13" i="59" s="1"/>
  <c r="U17" i="59"/>
  <c r="N66" i="59"/>
  <c r="N67" i="59"/>
  <c r="T45" i="59"/>
  <c r="D45" i="59"/>
  <c r="C22" i="59"/>
  <c r="D23" i="59"/>
  <c r="AC7" i="33"/>
  <c r="C48" i="15"/>
  <c r="J6" i="15"/>
  <c r="J18" i="15" s="1"/>
  <c r="F31" i="6"/>
  <c r="F38" i="6"/>
  <c r="W15" i="33"/>
  <c r="AC15" i="33"/>
  <c r="U15" i="33"/>
  <c r="AB15" i="33"/>
  <c r="D46" i="9"/>
  <c r="C21" i="4"/>
  <c r="O5" i="54" s="1"/>
  <c r="B45" i="63" s="1"/>
  <c r="E6" i="6"/>
  <c r="D13" i="11" s="1"/>
  <c r="C13" i="11" s="1"/>
  <c r="AC7" i="34"/>
  <c r="V49" i="34" s="1"/>
  <c r="I49" i="34" s="1"/>
  <c r="I53" i="34" s="1"/>
  <c r="J53" i="34" s="1"/>
  <c r="J10" i="15"/>
  <c r="AG8" i="1"/>
  <c r="AG9" i="1"/>
  <c r="AG11" i="1"/>
  <c r="AG12" i="1"/>
  <c r="AG10" i="1"/>
  <c r="AG7" i="1"/>
  <c r="AG6" i="1"/>
  <c r="D5" i="46"/>
  <c r="C5" i="46"/>
  <c r="C33" i="46" s="1"/>
  <c r="D16" i="12"/>
  <c r="D19" i="12" s="1"/>
  <c r="C19" i="12" s="1"/>
  <c r="L38" i="9"/>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E66" i="40"/>
  <c r="F64" i="40"/>
  <c r="C52" i="15"/>
  <c r="C10" i="15"/>
  <c r="C5" i="15" s="1"/>
  <c r="C38" i="15" s="1"/>
  <c r="C20" i="11"/>
  <c r="C21" i="11" s="1"/>
  <c r="C22" i="11" s="1"/>
  <c r="C23" i="11" s="1"/>
  <c r="B2" i="11" s="1"/>
  <c r="M29" i="44"/>
  <c r="F41" i="15"/>
  <c r="M27" i="15"/>
  <c r="G54" i="34" l="1"/>
  <c r="H54" i="34" s="1"/>
  <c r="U13" i="59"/>
  <c r="E12" i="59"/>
  <c r="E11" i="59" s="1"/>
  <c r="V48" i="33"/>
  <c r="I48" i="33" s="1"/>
  <c r="I52" i="33" s="1"/>
  <c r="J52" i="33" s="1"/>
  <c r="C21" i="59"/>
  <c r="D22" i="59"/>
  <c r="J5" i="15"/>
  <c r="J24" i="15" s="1"/>
  <c r="F68" i="15"/>
  <c r="C47" i="15"/>
  <c r="C65" i="15" s="1"/>
  <c r="B14" i="66"/>
  <c r="B1" i="66"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B3" i="11"/>
  <c r="C17" i="15"/>
  <c r="F7" i="67"/>
  <c r="C59" i="15" l="1"/>
  <c r="C7" i="66"/>
  <c r="C8" i="66"/>
  <c r="C20" i="59"/>
  <c r="T21" i="59"/>
  <c r="D21" i="59"/>
  <c r="K27" i="6"/>
  <c r="B5" i="11"/>
  <c r="C40" i="3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69" i="39"/>
  <c r="G71" i="39"/>
  <c r="H64" i="40"/>
  <c r="G66" i="40"/>
  <c r="E4" i="67"/>
  <c r="D77" i="9"/>
  <c r="N75" i="9" s="1"/>
  <c r="B7" i="67"/>
  <c r="C19" i="44"/>
  <c r="E7" i="67"/>
  <c r="H25" i="6" l="1"/>
  <c r="H22" i="6"/>
  <c r="R22" i="6" s="1"/>
  <c r="R9" i="1" s="1"/>
  <c r="C19" i="59"/>
  <c r="D20" i="59"/>
  <c r="M27" i="6"/>
  <c r="F40" i="39"/>
  <c r="J40" i="39"/>
  <c r="H40" i="39"/>
  <c r="C14" i="66"/>
  <c r="B2" i="66" s="1"/>
  <c r="B2" i="33"/>
  <c r="C8" i="12"/>
  <c r="C10" i="12" s="1"/>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M23" i="44"/>
  <c r="F35" i="15"/>
  <c r="C14" i="15"/>
  <c r="C16" i="44"/>
  <c r="M21" i="15"/>
  <c r="F37" i="44"/>
  <c r="C18" i="59" l="1"/>
  <c r="D19" i="59"/>
  <c r="D8" i="66"/>
  <c r="D7" i="66"/>
  <c r="AC40" i="39"/>
  <c r="W40" i="39"/>
  <c r="AB40" i="39"/>
  <c r="U40" i="39"/>
  <c r="AA40" i="39"/>
  <c r="S40" i="39"/>
  <c r="B3" i="46"/>
  <c r="B4" i="46"/>
  <c r="C36" i="44"/>
  <c r="J20" i="15"/>
  <c r="C34" i="15"/>
  <c r="R27" i="6"/>
  <c r="H27" i="6"/>
  <c r="C15" i="15"/>
  <c r="C18" i="15"/>
  <c r="C17" i="44"/>
  <c r="C20" i="44"/>
  <c r="T16" i="1"/>
  <c r="E7" i="59"/>
  <c r="B7" i="59"/>
  <c r="F6" i="59"/>
  <c r="I6" i="6"/>
  <c r="C13" i="39" s="1"/>
  <c r="I5" i="6"/>
  <c r="J22" i="44"/>
  <c r="F62" i="15"/>
  <c r="C61" i="15" s="1"/>
  <c r="R16" i="1"/>
  <c r="C18" i="43"/>
  <c r="C18" i="12"/>
  <c r="C23" i="12" s="1"/>
  <c r="O46" i="36"/>
  <c r="J7" i="36" s="1"/>
  <c r="F7" i="36"/>
  <c r="H7" i="36"/>
  <c r="J64" i="40"/>
  <c r="I66" i="40"/>
  <c r="J69" i="39"/>
  <c r="I71" i="39"/>
  <c r="B3" i="67"/>
  <c r="B4" i="67"/>
  <c r="C17" i="59" l="1"/>
  <c r="D18" i="59"/>
  <c r="F13" i="39"/>
  <c r="H13" i="39"/>
  <c r="J13" i="3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6" i="59" l="1"/>
  <c r="T17" i="59"/>
  <c r="D17" i="59"/>
  <c r="AC13" i="39"/>
  <c r="W13" i="39"/>
  <c r="AA13" i="39"/>
  <c r="S13" i="39"/>
  <c r="AB13" i="39"/>
  <c r="U13" i="39"/>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C14" i="59" l="1"/>
  <c r="D15" i="59"/>
  <c r="N64" i="40"/>
  <c r="N66" i="40" s="1"/>
  <c r="M66" i="40"/>
  <c r="N69" i="39"/>
  <c r="M71" i="39"/>
  <c r="C13" i="59" l="1"/>
  <c r="D14" i="59"/>
  <c r="N71" i="39"/>
  <c r="O69" i="39"/>
  <c r="J9" i="40"/>
  <c r="H9" i="40"/>
  <c r="F9" i="40"/>
  <c r="C12" i="59" l="1"/>
  <c r="T13" i="59"/>
  <c r="D13" i="59"/>
  <c r="P69" i="39"/>
  <c r="O71" i="39"/>
  <c r="U9" i="40"/>
  <c r="AB9" i="40"/>
  <c r="T44" i="40" s="1"/>
  <c r="G44" i="40" s="1"/>
  <c r="S9" i="40"/>
  <c r="AA9" i="40"/>
  <c r="R44" i="40" s="1"/>
  <c r="AC9" i="40"/>
  <c r="V44" i="40" s="1"/>
  <c r="I44" i="40" s="1"/>
  <c r="I48" i="40" s="1"/>
  <c r="J48" i="40" s="1"/>
  <c r="W9" i="40"/>
  <c r="C11" i="59" l="1"/>
  <c r="D12" i="59"/>
  <c r="P71" i="39"/>
  <c r="Q69" i="39"/>
  <c r="R45" i="40"/>
  <c r="E44" i="40"/>
  <c r="G48" i="40"/>
  <c r="H48" i="40" s="1"/>
  <c r="G49" i="40"/>
  <c r="H49" i="40" s="1"/>
  <c r="C10" i="59" l="1"/>
  <c r="D11" i="59"/>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T69" i="39"/>
  <c r="S71" i="39"/>
  <c r="B5" i="40"/>
  <c r="B4" i="40"/>
  <c r="B3" i="40"/>
  <c r="C7" i="59" l="1"/>
  <c r="D8" i="59"/>
  <c r="T71" i="39"/>
  <c r="U69" i="39"/>
  <c r="F20" i="43"/>
  <c r="D20" i="43" s="1"/>
  <c r="F26" i="12"/>
  <c r="F26" i="44"/>
  <c r="F24" i="15"/>
  <c r="C6" i="59" l="1"/>
  <c r="D7" i="59"/>
  <c r="V69" i="39"/>
  <c r="U71" i="39"/>
  <c r="C20" i="43"/>
  <c r="C24" i="15"/>
  <c r="C23" i="15"/>
  <c r="C27" i="12"/>
  <c r="D26" i="12" s="1"/>
  <c r="C32" i="12" s="1"/>
  <c r="D30" i="12" s="1"/>
  <c r="C26" i="44"/>
  <c r="C25" i="44"/>
  <c r="C5" i="59" l="1"/>
  <c r="D6" i="59"/>
  <c r="W69" i="39"/>
  <c r="V71" i="39"/>
  <c r="C23" i="43"/>
  <c r="C31" i="44"/>
  <c r="C38" i="44" s="1"/>
  <c r="C29" i="15"/>
  <c r="T5" i="59" l="1"/>
  <c r="D5" i="59"/>
  <c r="M24" i="46"/>
  <c r="X69" i="39"/>
  <c r="W71"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X71" i="39" l="1"/>
  <c r="Y69" i="3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Y71" i="39" l="1"/>
  <c r="Z69" i="39"/>
  <c r="Q69" i="15"/>
  <c r="Q58" i="44"/>
  <c r="Q49" i="44"/>
  <c r="Q55" i="44" s="1"/>
  <c r="Q67" i="44"/>
  <c r="C57" i="15"/>
  <c r="C66" i="15" s="1"/>
  <c r="C67" i="15" s="1"/>
  <c r="C70" i="15" s="1"/>
  <c r="J16" i="15"/>
  <c r="J25" i="15" s="1"/>
  <c r="J26" i="15" s="1"/>
  <c r="J29" i="15" s="1"/>
  <c r="C40" i="15"/>
  <c r="J39" i="15"/>
  <c r="J40" i="15" s="1"/>
  <c r="C44" i="44"/>
  <c r="C45" i="44" s="1"/>
  <c r="B2" i="44" s="1"/>
  <c r="Q71" i="44"/>
  <c r="Q70" i="44" s="1"/>
  <c r="L51" i="15"/>
  <c r="Z71" i="39" l="1"/>
  <c r="AA69" i="39"/>
  <c r="AA71" i="39" s="1"/>
  <c r="Q57" i="15"/>
  <c r="L57" i="15"/>
  <c r="L60" i="15" s="1"/>
  <c r="Q68" i="15"/>
  <c r="C46" i="15"/>
  <c r="Q66" i="15"/>
  <c r="J42" i="15"/>
  <c r="J43" i="15" s="1"/>
  <c r="C43" i="15"/>
  <c r="Q48" i="15"/>
  <c r="Q54" i="15" s="1"/>
  <c r="L52" i="44"/>
  <c r="L58" i="44" s="1"/>
  <c r="L61" i="44" s="1"/>
  <c r="L47" i="44" s="1"/>
  <c r="B3" i="44"/>
  <c r="B5" i="44"/>
  <c r="B4" i="44"/>
  <c r="H9" i="39" l="1"/>
  <c r="F9" i="39"/>
  <c r="J9" i="39"/>
  <c r="Q67" i="15"/>
  <c r="Q76" i="15" s="1"/>
  <c r="L46" i="15"/>
  <c r="B2" i="15" s="1"/>
  <c r="Q58" i="15"/>
  <c r="Q63" i="15" s="1"/>
  <c r="Q69" i="44"/>
  <c r="Q59" i="44"/>
  <c r="Q64" i="44" s="1"/>
  <c r="Q68" i="44"/>
  <c r="Q77" i="44" s="1"/>
  <c r="AA9" i="39" l="1"/>
  <c r="R49" i="39" s="1"/>
  <c r="S9" i="39"/>
  <c r="AC9" i="39"/>
  <c r="V49" i="39" s="1"/>
  <c r="I49" i="39" s="1"/>
  <c r="I53" i="39" s="1"/>
  <c r="J53" i="39" s="1"/>
  <c r="W9" i="39"/>
  <c r="AB9" i="39"/>
  <c r="T49" i="39" s="1"/>
  <c r="G49" i="39" s="1"/>
  <c r="U9" i="39"/>
  <c r="B3" i="15"/>
  <c r="C6" i="12"/>
  <c r="R50" i="39" l="1"/>
  <c r="E49" i="39"/>
  <c r="G54" i="39"/>
  <c r="H54" i="39" s="1"/>
  <c r="G53" i="39"/>
  <c r="H53" i="39" s="1"/>
  <c r="C24" i="12"/>
  <c r="C29" i="12"/>
  <c r="C50" i="39" l="1"/>
  <c r="C49" i="39"/>
  <c r="I54" i="39"/>
  <c r="J54" i="39" s="1"/>
  <c r="E54" i="39"/>
  <c r="F54" i="39" s="1"/>
  <c r="E53" i="39"/>
  <c r="F53" i="39" s="1"/>
  <c r="C35" i="12"/>
  <c r="C33" i="12" s="1"/>
  <c r="C28" i="12"/>
  <c r="C26" i="12" s="1"/>
  <c r="C31" i="12" s="1"/>
  <c r="C30" i="12" s="1"/>
  <c r="B61" i="39" l="1"/>
  <c r="F61" i="39" s="1"/>
  <c r="B62" i="39"/>
  <c r="F62" i="39" s="1"/>
  <c r="B66" i="39"/>
  <c r="F66" i="39" s="1"/>
  <c r="B64" i="39"/>
  <c r="F64" i="39" s="1"/>
  <c r="B60" i="39"/>
  <c r="F60" i="39" s="1"/>
  <c r="B59" i="39"/>
  <c r="F59" i="39" s="1"/>
  <c r="B65" i="39"/>
  <c r="F65" i="39" s="1"/>
  <c r="B58" i="39"/>
  <c r="F58" i="39" s="1"/>
  <c r="B63" i="39"/>
  <c r="F63" i="39" s="1"/>
  <c r="C36" i="12"/>
  <c r="B2" i="12" s="1"/>
  <c r="B3" i="12" s="1"/>
  <c r="D20" i="9"/>
  <c r="D19" i="9"/>
  <c r="F67" i="39" l="1"/>
  <c r="B2" i="39" s="1"/>
  <c r="B3" i="39" s="1"/>
  <c r="B5" i="12"/>
  <c r="L44" i="9"/>
  <c r="B4" i="12"/>
  <c r="D21" i="9"/>
  <c r="C20" i="9"/>
  <c r="C19" i="9"/>
  <c r="L43" i="9" l="1"/>
  <c r="G19" i="9"/>
  <c r="L19" i="9" s="1"/>
  <c r="D22" i="9"/>
  <c r="B4" i="39"/>
  <c r="B5" i="39"/>
  <c r="G20" i="9"/>
  <c r="C21" i="9"/>
  <c r="N43" i="9" l="1"/>
  <c r="G22" i="9"/>
  <c r="C32" i="9"/>
  <c r="O43" i="9" s="1"/>
  <c r="G21" i="9"/>
  <c r="C33" i="9"/>
  <c r="D42" i="9" s="1"/>
  <c r="Q5" i="54" s="1"/>
  <c r="B47" i="63" s="1"/>
  <c r="C42" i="9" l="1"/>
  <c r="C44" i="9" s="1"/>
  <c r="O38" i="9"/>
  <c r="D14" i="66" s="1"/>
  <c r="G14" i="66" s="1"/>
  <c r="B6" i="66" s="1"/>
  <c r="C6" i="66" s="1"/>
  <c r="C34" i="9"/>
  <c r="M38" i="9" s="1"/>
  <c r="K27" i="9" s="1"/>
  <c r="C35" i="9"/>
  <c r="F42" i="9" s="1"/>
  <c r="D63" i="9"/>
  <c r="C82" i="9" s="1"/>
  <c r="C81" i="9" s="1"/>
  <c r="C85" i="9" s="1"/>
  <c r="C86" i="9" s="1"/>
  <c r="D72" i="9" s="1"/>
  <c r="N68" i="9"/>
  <c r="N38" i="9"/>
  <c r="K28" i="9" s="1"/>
  <c r="K26" i="9"/>
  <c r="R5" i="54"/>
  <c r="B48" i="63" s="1"/>
  <c r="K25" i="9"/>
  <c r="C111" i="9"/>
  <c r="C104" i="9" s="1"/>
  <c r="E14" i="66" l="1"/>
  <c r="F14" i="66"/>
  <c r="B5" i="66"/>
  <c r="D5" i="66" s="1"/>
  <c r="D6" i="66"/>
  <c r="E42" i="9"/>
  <c r="P5" i="54" s="1"/>
  <c r="B46" i="63" s="1"/>
  <c r="C103" i="9"/>
  <c r="D73" i="9"/>
  <c r="N73" i="9" s="1"/>
  <c r="C90" i="9"/>
  <c r="C96" i="9"/>
  <c r="C91" i="9" s="1"/>
  <c r="D70" i="9"/>
  <c r="D71" i="9"/>
  <c r="D66" i="9" s="1"/>
  <c r="N72" i="9" s="1"/>
  <c r="N69" i="9"/>
  <c r="O39" i="9"/>
  <c r="D44" i="9"/>
  <c r="F44" i="9"/>
  <c r="E44" i="9"/>
  <c r="C5" i="66"/>
  <c r="C113" i="9"/>
  <c r="C114" i="9" s="1"/>
  <c r="E114" i="9" s="1"/>
  <c r="E115" i="9" s="1"/>
  <c r="C97" i="9" l="1"/>
  <c r="C98" i="9" s="1"/>
  <c r="E98" i="9" s="1"/>
  <c r="E99" i="9" s="1"/>
  <c r="R6" i="54"/>
  <c r="B50" i="63" s="1"/>
  <c r="K29" i="9"/>
  <c r="K30" i="9" s="1"/>
  <c r="M85" i="9"/>
  <c r="N85" i="9" s="1"/>
  <c r="M84" i="9"/>
  <c r="N84" i="9" s="1"/>
  <c r="M87" i="9"/>
  <c r="N87" i="9" s="1"/>
  <c r="M83" i="9"/>
  <c r="N83" i="9" s="1"/>
  <c r="M86" i="9"/>
  <c r="N86" i="9" s="1"/>
  <c r="M88" i="9"/>
  <c r="N88" i="9" s="1"/>
  <c r="C115" i="9"/>
  <c r="D76" i="9" s="1"/>
  <c r="D74" i="9" s="1"/>
  <c r="N74" i="9" s="1"/>
  <c r="O77" i="9" s="1"/>
  <c r="O79" i="9" s="1"/>
  <c r="C99" i="9" l="1"/>
  <c r="N89" i="9"/>
  <c r="O89" i="9" s="1"/>
  <c r="Q77" i="9"/>
  <c r="O78" i="9"/>
  <c r="O81" i="9"/>
  <c r="O80" i="9"/>
  <c r="Y21" i="72" l="1"/>
  <c r="Y13" i="72" s="1"/>
  <c r="Y16" i="72" l="1"/>
  <c r="Y14" i="72"/>
  <c r="Y17" i="72"/>
  <c r="Y20" i="72"/>
  <c r="Y15" i="72"/>
  <c r="Y18" i="72"/>
  <c r="Y1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<sst xmlns="http://schemas.openxmlformats.org/spreadsheetml/2006/main" count="7653" uniqueCount="3447">
  <si>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</si>
  <si>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</si>
  <si>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</si>
  <si>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</si>
  <si>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</si>
  <si>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</si>
  <si>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</si>
  <si>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</si>
  <si>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</si>
  <si>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</si>
  <si>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</si>
  <si>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</si>
  <si>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</si>
  <si>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</si>
  <si>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</si>
  <si>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</si>
  <si>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</si>
  <si>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</si>
  <si>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</si>
  <si>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</si>
  <si>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</si>
  <si>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</si>
  <si>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</si>
  <si>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</si>
  <si>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</si>
  <si>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</si>
  <si>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</si>
  <si>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</si>
  <si>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</si>
  <si>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</si>
  <si>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</si>
  <si>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</si>
  <si>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</si>
  <si>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</si>
  <si>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</si>
  <si>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</si>
  <si>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</si>
  <si>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</si>
  <si>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</si>
  <si>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</si>
  <si>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</si>
  <si>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</si>
  <si>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</si>
  <si>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</si>
  <si>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</si>
  <si>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</si>
  <si>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</si>
  <si>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</si>
  <si>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</si>
  <si>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</si>
  <si>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</si>
  <si>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</si>
  <si>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</si>
  <si>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</si>
  <si>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</si>
  <si>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</si>
  <si>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</si>
  <si>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</si>
  <si>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</si>
  <si>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</si>
  <si>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</si>
  <si>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</si>
  <si>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</si>
  <si>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</si>
  <si>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</si>
  <si>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</si>
  <si>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</si>
  <si>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</si>
  <si>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</si>
  <si>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</si>
  <si>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</si>
  <si>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</si>
  <si>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</si>
  <si>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</si>
  <si>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</si>
  <si>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</si>
  <si>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</si>
  <si>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</si>
  <si>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</si>
  <si>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</si>
  <si>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</si>
  <si>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</si>
  <si>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</si>
  <si>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</si>
  <si>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</si>
  <si>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</si>
  <si>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</si>
  <si>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</si>
  <si>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</si>
  <si>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</si>
  <si>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</si>
  <si>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</si>
  <si>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</si>
  <si>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</si>
  <si>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</si>
  <si>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</si>
  <si>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</si>
  <si>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</si>
  <si>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</si>
  <si>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</si>
  <si>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</si>
  <si>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</si>
  <si>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</si>
  <si>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</si>
  <si>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</si>
  <si>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</si>
  <si>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</si>
  <si>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</si>
  <si>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</si>
  <si>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</si>
  <si>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</si>
  <si>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</si>
  <si>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</si>
  <si>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</si>
  <si>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</si>
  <si>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</si>
  <si>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</si>
  <si>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</si>
  <si>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</si>
  <si>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</si>
  <si>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</si>
  <si>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</si>
  <si>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</si>
  <si>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</si>
  <si>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</si>
  <si>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</si>
  <si>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</si>
  <si>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</si>
  <si>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</si>
  <si>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</si>
  <si>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</si>
  <si>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</si>
  <si>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</si>
  <si>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</si>
  <si>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</si>
  <si>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</si>
  <si>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</si>
  <si>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</si>
  <si>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</si>
  <si>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</si>
  <si>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</si>
  <si>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</si>
  <si>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</si>
  <si>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</si>
  <si>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</si>
  <si>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</si>
  <si>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</si>
  <si>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</si>
  <si>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</si>
  <si>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</si>
  <si>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</si>
  <si>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</si>
  <si>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</si>
  <si>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</si>
  <si>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</si>
  <si>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</si>
  <si>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</si>
  <si>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</si>
  <si>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</si>
  <si>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</si>
  <si>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</si>
  <si>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</si>
  <si>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</si>
  <si>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</si>
  <si>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</si>
  <si>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</si>
  <si>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</si>
  <si>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</si>
  <si>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</si>
  <si>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</si>
  <si>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</si>
  <si>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</si>
  <si>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</si>
  <si>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</si>
  <si>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</si>
  <si>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</si>
  <si>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</si>
  <si>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</si>
  <si>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</si>
  <si>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</si>
  <si>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</si>
  <si>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</si>
  <si>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</si>
  <si>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</si>
  <si>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</si>
  <si>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</si>
  <si>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</si>
  <si>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</si>
  <si>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</si>
  <si>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</si>
  <si>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</si>
  <si>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</si>
  <si>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</si>
  <si>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</si>
  <si>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</si>
  <si>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</si>
  <si>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</si>
  <si>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</si>
  <si>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</si>
  <si>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</si>
  <si>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</si>
  <si>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</si>
  <si>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</si>
  <si>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</si>
  <si>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</si>
  <si>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</si>
  <si>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</si>
  <si>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</si>
  <si>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</si>
  <si>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</si>
  <si>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</si>
  <si>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</si>
  <si>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</si>
  <si>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</si>
  <si>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</si>
  <si>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</si>
  <si>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</si>
  <si>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</si>
  <si>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</si>
  <si>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</si>
  <si>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</si>
  <si>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</si>
  <si>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</si>
  <si>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</si>
  <si>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</si>
  <si>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</si>
  <si>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</si>
  <si>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</si>
  <si>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</si>
  <si>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</si>
  <si>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</si>
  <si>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</si>
  <si>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</si>
  <si>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</si>
  <si>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</si>
  <si>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</si>
  <si>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</si>
  <si>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</si>
  <si>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</si>
  <si>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</si>
  <si>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</si>
  <si>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</si>
  <si>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</si>
  <si>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</si>
  <si>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</si>
  <si>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</si>
  <si>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</si>
  <si>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</si>
  <si>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</si>
  <si>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</si>
  <si>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</si>
  <si>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</si>
  <si>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</si>
  <si>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</si>
  <si>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</si>
  <si>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</si>
  <si>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</si>
  <si>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</si>
  <si>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</si>
  <si>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</si>
  <si>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</si>
  <si>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</si>
  <si>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</si>
  <si>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</si>
  <si>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</si>
  <si>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</si>
  <si>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</si>
  <si>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</si>
  <si>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</si>
  <si>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</si>
  <si>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</si>
  <si>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</si>
  <si>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</si>
  <si>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</si>
  <si>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</si>
  <si>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</si>
  <si>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</si>
  <si>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</si>
  <si>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</si>
  <si>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</si>
  <si>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</si>
  <si>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</si>
  <si>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</si>
  <si>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</si>
  <si>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</si>
  <si>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</si>
  <si>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</si>
  <si>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</si>
  <si>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</si>
  <si>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</si>
  <si>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</si>
  <si>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</si>
  <si>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</si>
  <si>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</si>
  <si>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</si>
  <si>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</si>
  <si>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</si>
  <si>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</si>
  <si>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</si>
  <si>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</si>
  <si>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</si>
  <si>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</si>
  <si>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</si>
  <si>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</si>
  <si>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</si>
  <si>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</si>
  <si>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</si>
  <si>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</si>
  <si>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</si>
  <si>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</si>
  <si>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</si>
  <si>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</si>
  <si>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</si>
  <si>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</si>
  <si>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</si>
  <si>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</si>
  <si>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</si>
  <si>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</si>
  <si>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</si>
  <si>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</si>
  <si>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</si>
  <si>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</si>
  <si>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</si>
  <si>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</si>
  <si>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</si>
  <si>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</si>
  <si>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</si>
  <si>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</si>
  <si>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</si>
  <si>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</si>
  <si>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</si>
  <si>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</si>
  <si>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</si>
  <si>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</si>
  <si>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</si>
  <si>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</si>
  <si>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</si>
  <si>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</si>
  <si>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</si>
  <si>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</si>
  <si>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</si>
  <si>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</si>
  <si>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</si>
  <si>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</si>
  <si>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</si>
  <si>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</si>
  <si>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</si>
  <si>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</si>
  <si>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</si>
  <si>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</si>
  <si>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</si>
  <si>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</si>
  <si>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</si>
  <si>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</si>
  <si>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</si>
  <si>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</si>
  <si>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</si>
  <si>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</si>
  <si>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</si>
  <si>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</si>
  <si>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</si>
  <si>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</si>
  <si>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</si>
  <si>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</si>
  <si>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</si>
  <si>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</si>
  <si>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</si>
  <si>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</si>
  <si>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</si>
  <si>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</si>
  <si>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</si>
  <si>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</si>
  <si>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</si>
  <si>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</si>
  <si>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</si>
  <si>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</si>
  <si>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</si>
  <si>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</si>
  <si>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</si>
  <si>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</si>
  <si>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</si>
  <si>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</si>
  <si>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</si>
  <si>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</si>
  <si>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</si>
  <si>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</si>
  <si>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</si>
  <si>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</si>
  <si>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</si>
  <si>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</si>
  <si>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</si>
  <si>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</si>
  <si>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</si>
  <si>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</si>
  <si>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</si>
  <si>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</si>
  <si>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</si>
  <si>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</si>
  <si>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</si>
  <si>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</si>
  <si>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</si>
  <si>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</si>
  <si>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</si>
  <si>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</si>
  <si>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</si>
  <si>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</si>
  <si>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</si>
  <si>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</si>
  <si>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</si>
  <si>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</si>
  <si>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</si>
  <si>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</si>
  <si>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</si>
  <si>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</si>
  <si>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</si>
  <si>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</si>
  <si>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</si>
  <si>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</si>
  <si>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</si>
  <si>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</si>
  <si>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</si>
  <si>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</si>
  <si>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</si>
  <si>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</si>
  <si>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</si>
  <si>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</si>
  <si>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</si>
  <si>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</si>
  <si>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</si>
  <si>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</si>
  <si>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</si>
  <si>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</si>
  <si>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</si>
  <si>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</si>
  <si>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</si>
  <si>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</si>
  <si>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</si>
  <si>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</si>
  <si>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</si>
  <si>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</si>
  <si>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</si>
  <si>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</si>
  <si>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</si>
  <si>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</si>
  <si>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</si>
  <si>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</si>
  <si>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</si>
  <si>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</si>
  <si>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</si>
  <si>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</si>
  <si>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</si>
  <si>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</si>
  <si>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</si>
  <si>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</si>
  <si>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</si>
  <si>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</si>
  <si>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</si>
  <si>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</si>
  <si>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</si>
  <si>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</si>
  <si>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</si>
  <si>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</si>
  <si>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</si>
  <si>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</si>
  <si>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</si>
  <si>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</si>
  <si>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</si>
  <si>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</si>
  <si>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</si>
  <si>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</si>
  <si>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</si>
  <si>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</si>
  <si>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</si>
  <si>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</si>
  <si>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</si>
  <si>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</si>
  <si>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</si>
  <si>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</si>
  <si>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</si>
  <si>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</si>
  <si>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</si>
  <si>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</si>
  <si>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</si>
  <si>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</si>
  <si>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</si>
  <si>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</si>
  <si>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</si>
  <si>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</si>
  <si>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</si>
  <si>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</si>
  <si>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</si>
  <si>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</si>
  <si>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</si>
  <si>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</si>
  <si>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</si>
  <si>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</si>
  <si>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</si>
  <si>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</si>
  <si>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</si>
  <si>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</si>
  <si>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</si>
  <si>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</si>
  <si>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</si>
  <si>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</si>
  <si>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</si>
  <si>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</si>
  <si>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</si>
  <si>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</si>
  <si>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</si>
  <si>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</si>
  <si>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</si>
  <si>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</si>
  <si>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</si>
  <si>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</si>
  <si>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</si>
  <si>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</si>
  <si>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</si>
  <si>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</si>
  <si>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</si>
  <si>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</si>
  <si>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</si>
  <si>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</si>
  <si>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</si>
  <si>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</si>
  <si>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</si>
  <si>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</si>
  <si>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</si>
  <si>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</si>
  <si>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</si>
  <si>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</si>
  <si>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</si>
  <si>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</si>
  <si>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</si>
  <si>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</si>
  <si>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</si>
  <si>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</si>
  <si>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</si>
  <si>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</si>
  <si>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</si>
  <si>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</si>
  <si>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</si>
  <si>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</si>
  <si>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</si>
  <si>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</si>
  <si>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</si>
  <si>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</si>
  <si>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</si>
  <si>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</si>
  <si>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</si>
  <si>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</si>
  <si>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</si>
  <si>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</si>
  <si>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</si>
  <si>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</si>
  <si>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</si>
  <si>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</si>
  <si>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</si>
  <si>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</si>
  <si>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</si>
  <si>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</si>
  <si>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</si>
  <si>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</si>
  <si>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</si>
  <si>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</si>
  <si>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</si>
  <si>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</si>
  <si>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</si>
  <si>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</si>
  <si>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</si>
  <si>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</si>
  <si>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</si>
  <si>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</si>
  <si>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</si>
  <si>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</si>
  <si>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</si>
  <si>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</si>
  <si>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</si>
  <si>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</si>
  <si>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</si>
  <si>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</si>
  <si>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</si>
  <si>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</si>
  <si>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</si>
  <si>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</si>
  <si>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</si>
  <si>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</si>
  <si>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</si>
  <si>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</si>
  <si>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</si>
  <si>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</si>
  <si>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</si>
  <si>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</si>
  <si>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</si>
  <si>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</si>
  <si>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</si>
  <si>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</si>
  <si>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</si>
  <si>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</si>
  <si>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</si>
  <si>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</si>
  <si>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</si>
  <si>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</si>
  <si>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</si>
  <si>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</si>
  <si>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</si>
  <si>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</si>
  <si>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</si>
  <si>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</si>
  <si>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</si>
  <si>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</si>
  <si>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</si>
  <si>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</si>
  <si>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</si>
  <si>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</si>
  <si>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</si>
  <si>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</si>
  <si>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</si>
  <si>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</si>
  <si>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</si>
  <si>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</si>
  <si>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</si>
  <si>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</si>
  <si>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</si>
  <si>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</si>
  <si>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</si>
  <si>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</si>
  <si>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</si>
  <si>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</si>
  <si>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</si>
  <si>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</si>
  <si>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</si>
  <si>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</si>
  <si>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</si>
  <si>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</si>
  <si>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</si>
  <si>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</si>
  <si>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</si>
  <si>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</si>
  <si>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</si>
  <si>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</si>
  <si>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</si>
  <si>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</si>
  <si>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</si>
  <si>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</si>
  <si>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</si>
  <si>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</si>
  <si>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</si>
  <si>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</si>
  <si>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</si>
  <si>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</si>
  <si>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</si>
  <si>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</si>
  <si>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</si>
  <si>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</si>
  <si>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</si>
  <si>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</si>
  <si>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</si>
  <si>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</si>
  <si>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</si>
  <si>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</si>
  <si>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</si>
  <si>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</si>
  <si>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</si>
  <si>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</si>
  <si>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</si>
  <si>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</si>
  <si>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</si>
  <si>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</si>
  <si>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</si>
  <si>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</si>
  <si>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</si>
  <si>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</si>
  <si>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</si>
  <si>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</si>
  <si>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</si>
  <si>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</si>
  <si>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</si>
  <si>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</si>
  <si>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</si>
  <si>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</si>
  <si>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</si>
  <si>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</si>
  <si>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</si>
  <si>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</si>
  <si>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</si>
  <si>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</si>
  <si>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</si>
  <si>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</si>
  <si>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</si>
  <si>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</si>
  <si>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</si>
  <si>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</si>
  <si>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</si>
  <si>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</si>
  <si>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</si>
  <si>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</si>
  <si>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</si>
  <si>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</si>
  <si>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</si>
  <si>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</si>
  <si>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</si>
  <si>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</si>
  <si>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</si>
  <si>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</si>
  <si>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</si>
  <si>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</si>
  <si>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</si>
  <si>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</si>
  <si>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</si>
  <si>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</si>
  <si>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</si>
  <si>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</si>
  <si>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</si>
  <si>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</si>
  <si>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</si>
  <si>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</si>
  <si>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</si>
  <si>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</si>
  <si>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</si>
  <si>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</si>
  <si>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</si>
  <si>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</si>
  <si>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</si>
  <si>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</si>
  <si>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</si>
  <si>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</si>
  <si>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</si>
  <si>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</si>
  <si>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</si>
  <si>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</si>
  <si>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</si>
  <si>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</si>
  <si>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</si>
  <si>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</si>
  <si>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</si>
  <si>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</si>
  <si>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</si>
  <si>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</si>
  <si>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</si>
  <si>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</si>
  <si>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</si>
  <si>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</si>
  <si>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</si>
  <si>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</si>
  <si>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</si>
  <si>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</si>
  <si>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</si>
  <si>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</si>
  <si>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</si>
  <si>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</si>
  <si>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</si>
  <si>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</si>
  <si>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</si>
  <si>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</si>
  <si>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</si>
  <si>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</si>
  <si>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</si>
  <si>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</si>
  <si>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</si>
  <si>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</si>
  <si>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</si>
  <si>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</si>
  <si>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</si>
  <si>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</si>
  <si>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</si>
  <si>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</si>
  <si>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</si>
  <si>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</si>
  <si>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</si>
  <si>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</si>
  <si>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</si>
  <si>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</si>
  <si>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</si>
  <si>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</si>
  <si>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</si>
  <si>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</si>
  <si>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</si>
  <si>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</si>
  <si>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</si>
  <si>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</si>
  <si>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</si>
  <si>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</si>
  <si>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</si>
  <si>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</si>
  <si>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</si>
  <si>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</si>
  <si>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</si>
  <si>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</si>
  <si>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</si>
  <si>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</si>
  <si>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</si>
  <si>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</si>
  <si>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</si>
  <si>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</si>
  <si>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</si>
  <si>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</si>
  <si>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</si>
  <si>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</si>
  <si>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</si>
  <si>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</si>
  <si>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</si>
  <si>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</si>
  <si>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</si>
  <si>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</si>
  <si>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</si>
  <si>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</si>
  <si>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</si>
  <si>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</si>
  <si>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</si>
  <si>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</si>
  <si>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</si>
  <si>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</si>
  <si>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</si>
  <si>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</si>
  <si>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</si>
  <si>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</si>
  <si>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</si>
  <si>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</si>
  <si>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</si>
  <si>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</si>
  <si>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</si>
  <si>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</si>
  <si>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</si>
  <si>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</si>
  <si>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</si>
  <si>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</si>
  <si>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</si>
  <si>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</si>
  <si>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</si>
  <si>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</si>
  <si>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</si>
  <si>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</si>
  <si>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</si>
  <si>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</si>
  <si>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</si>
  <si>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</si>
  <si>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</si>
  <si>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</si>
  <si>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</si>
  <si>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</si>
  <si>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</si>
  <si>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</si>
  <si>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</si>
  <si>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</si>
  <si>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</si>
  <si>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</si>
  <si>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</si>
  <si>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</si>
  <si>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</si>
  <si>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</si>
  <si>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</si>
  <si>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</si>
  <si>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</si>
  <si>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</si>
  <si>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</si>
  <si>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</si>
  <si>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</si>
  <si>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</si>
  <si>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</si>
  <si>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</si>
  <si>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</si>
  <si>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</si>
  <si>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</si>
  <si>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</si>
  <si>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</si>
  <si>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</si>
  <si>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</si>
  <si>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</si>
  <si>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</si>
  <si>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</si>
  <si>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</si>
  <si>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</si>
  <si>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</si>
  <si>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</si>
  <si>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</si>
  <si>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</si>
  <si>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</si>
  <si>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</si>
  <si>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</si>
  <si>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</si>
  <si>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</si>
  <si>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</si>
  <si>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</si>
  <si>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</si>
  <si>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</si>
  <si>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</si>
  <si>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</si>
  <si>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</si>
  <si>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</si>
  <si>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</si>
  <si>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</si>
  <si>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</si>
  <si>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</si>
  <si>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</si>
  <si>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</si>
  <si>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</si>
  <si>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</si>
  <si>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</si>
  <si>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</si>
  <si>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</si>
  <si>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</si>
  <si>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</si>
  <si>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</si>
  <si>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</si>
  <si>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</si>
  <si>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</si>
  <si>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</si>
  <si>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</si>
  <si>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</si>
  <si>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</si>
  <si>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</si>
  <si>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</si>
  <si>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</si>
  <si>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</si>
  <si>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</si>
  <si>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</si>
  <si>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</si>
  <si>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</si>
  <si>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</si>
  <si>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</si>
  <si>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</si>
  <si>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</si>
  <si>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</si>
  <si>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</si>
  <si>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</si>
  <si>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</si>
  <si>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</si>
  <si>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</si>
  <si>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</si>
  <si>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</si>
  <si>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</si>
  <si>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</si>
  <si>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</si>
  <si>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</si>
  <si>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</si>
  <si>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</si>
  <si>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</si>
  <si>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</si>
  <si>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</si>
  <si>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</si>
  <si>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</si>
  <si>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</si>
  <si>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</si>
  <si>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</si>
  <si>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</si>
  <si>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</si>
  <si>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</si>
  <si>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</si>
  <si>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</si>
  <si>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</si>
  <si>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</si>
  <si>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</si>
  <si>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</si>
  <si>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</si>
  <si>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</si>
  <si>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</si>
  <si>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</si>
  <si>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</si>
  <si>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</si>
  <si>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</si>
  <si>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</si>
  <si>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</si>
  <si>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</si>
  <si>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</si>
  <si>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</si>
  <si>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</si>
  <si>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</si>
  <si>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</si>
  <si>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</si>
  <si>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</si>
  <si>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</si>
  <si>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</si>
  <si>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</si>
  <si>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</si>
  <si>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</si>
  <si>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</si>
  <si>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</si>
  <si>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</si>
  <si>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</si>
  <si>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</si>
  <si>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</si>
  <si>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</si>
  <si>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</si>
  <si>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</si>
  <si>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</si>
  <si>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</si>
  <si>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</si>
  <si>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</si>
  <si>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</si>
  <si>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</si>
  <si>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</si>
  <si>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</si>
  <si>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</si>
  <si>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</si>
  <si>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</si>
  <si>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</si>
  <si>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</si>
  <si>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</si>
  <si>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</si>
  <si>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</si>
  <si>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</si>
  <si>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</si>
  <si>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</si>
  <si>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</si>
  <si>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</si>
  <si>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</si>
  <si>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</si>
  <si>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</si>
  <si>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</si>
  <si>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</si>
  <si>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</si>
  <si>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</si>
  <si>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</si>
  <si>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</si>
  <si>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</si>
  <si>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</si>
  <si>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</si>
  <si>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</si>
  <si>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</si>
  <si>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</si>
  <si>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</si>
  <si>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</si>
  <si>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</si>
  <si>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</si>
  <si>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</si>
  <si>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</si>
  <si>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</si>
  <si>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</si>
  <si>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</si>
  <si>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</si>
  <si>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</si>
  <si>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</si>
  <si>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</si>
  <si>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</si>
  <si>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</si>
  <si>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</si>
  <si>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</si>
  <si>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</si>
  <si>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</si>
  <si>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</si>
  <si>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</si>
  <si>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</si>
  <si>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</si>
  <si>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</si>
  <si>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</si>
  <si>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</si>
  <si>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</si>
  <si>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</si>
  <si>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</si>
  <si>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</si>
  <si>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</si>
  <si>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</si>
  <si>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</si>
  <si>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</si>
  <si>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</si>
  <si>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</si>
  <si>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</si>
  <si>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</si>
  <si>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</si>
  <si>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</si>
  <si>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</si>
  <si>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</si>
  <si>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</si>
  <si>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</si>
  <si>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</si>
  <si>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</si>
  <si>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</si>
  <si>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</si>
  <si>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</si>
  <si>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</si>
  <si>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</si>
  <si>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</si>
  <si>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</si>
  <si>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</si>
  <si>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</si>
  <si>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</si>
  <si>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</si>
  <si>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</si>
  <si>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</si>
  <si>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</si>
  <si>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</si>
  <si>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</si>
  <si>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</si>
  <si>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</si>
  <si>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</si>
  <si>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</si>
  <si>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</si>
  <si>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</si>
  <si>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</si>
  <si>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</si>
  <si>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</si>
  <si>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</si>
  <si>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</si>
  <si>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</si>
  <si>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</si>
  <si>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</si>
  <si>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</si>
  <si>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</si>
  <si>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</si>
  <si>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</si>
  <si>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</si>
  <si>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</si>
  <si>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</si>
  <si>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</si>
  <si>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</si>
  <si>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</si>
  <si>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</si>
  <si>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</si>
  <si>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</si>
  <si>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</si>
  <si>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</si>
  <si>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</si>
  <si>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</si>
  <si>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</si>
  <si>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</si>
  <si>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</si>
  <si>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</si>
  <si>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</si>
  <si>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</si>
  <si>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</si>
  <si>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</si>
  <si>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</si>
  <si>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</si>
  <si>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</si>
  <si>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</si>
  <si>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</si>
  <si>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</si>
  <si>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</si>
  <si>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</si>
  <si>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</si>
  <si>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</si>
  <si>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</si>
  <si>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</si>
  <si>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</si>
  <si>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</si>
  <si>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</si>
  <si>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</si>
  <si>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</si>
  <si>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</si>
  <si>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</si>
  <si>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</si>
  <si>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</si>
  <si>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</si>
  <si>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</si>
  <si>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</si>
  <si>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</si>
  <si>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</si>
  <si>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</si>
  <si>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</si>
  <si>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</si>
  <si>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</si>
  <si>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</si>
  <si>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</si>
  <si>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</si>
  <si>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</si>
  <si>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</si>
  <si>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</si>
  <si>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</si>
  <si>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</si>
  <si>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</si>
  <si>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</si>
  <si>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</si>
  <si>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</si>
  <si>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</si>
  <si>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</si>
  <si>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</si>
  <si>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</si>
  <si>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</si>
  <si>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</si>
  <si>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</si>
  <si>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</si>
  <si>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</si>
  <si>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</si>
  <si>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</si>
  <si>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</si>
  <si>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</si>
  <si>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</si>
  <si>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</si>
  <si>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</si>
  <si>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</si>
  <si>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</si>
  <si>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</si>
  <si>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</si>
  <si>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</si>
  <si>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</si>
  <si>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</si>
  <si>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</si>
  <si>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</si>
  <si>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</si>
  <si>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</si>
  <si>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</si>
  <si>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</si>
  <si>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</si>
  <si>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</si>
  <si>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</si>
  <si>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</si>
  <si>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</si>
  <si>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</si>
  <si>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</si>
  <si>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</si>
  <si>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</si>
  <si>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</si>
  <si>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</si>
  <si>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</si>
  <si>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</si>
  <si>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</si>
  <si>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</si>
  <si>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</si>
  <si>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</si>
  <si>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</si>
  <si>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</si>
  <si>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</si>
  <si>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</si>
  <si>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</si>
  <si>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</si>
  <si>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</si>
  <si>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</si>
  <si>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</si>
  <si>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</si>
  <si>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</si>
  <si>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</si>
  <si>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</si>
  <si>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</si>
  <si>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</si>
  <si>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</si>
  <si>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</si>
  <si>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</si>
  <si>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</si>
  <si>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</si>
  <si>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</si>
  <si>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</si>
  <si>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</si>
  <si>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</si>
  <si>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</si>
  <si>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</si>
  <si>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</si>
  <si>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</si>
  <si>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</si>
  <si>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</si>
  <si>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</si>
  <si>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</si>
  <si>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</si>
  <si>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</si>
  <si>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</si>
  <si>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</si>
  <si>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</si>
  <si>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</si>
  <si>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</si>
  <si>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</si>
  <si>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</si>
  <si>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</si>
  <si>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</si>
  <si>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</si>
  <si>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</si>
  <si>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</si>
  <si>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</si>
  <si>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</si>
  <si>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</si>
  <si>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</si>
  <si>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</si>
  <si>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</si>
  <si>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</si>
  <si>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</si>
  <si>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</si>
  <si>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</si>
  <si>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</si>
  <si>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</si>
  <si>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</si>
  <si>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</si>
  <si>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</si>
  <si>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</si>
  <si>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</si>
  <si>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</si>
  <si>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</si>
  <si>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</si>
  <si>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</si>
  <si>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</si>
  <si>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</si>
  <si>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</si>
  <si>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</si>
  <si>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</si>
  <si>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</si>
  <si>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</si>
  <si>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</si>
  <si>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</si>
  <si>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</si>
  <si>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</si>
  <si>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</si>
  <si>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</si>
  <si>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</si>
  <si>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</si>
  <si>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</si>
  <si>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</si>
  <si>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</si>
  <si>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</si>
  <si>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</si>
  <si>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</si>
  <si>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</si>
  <si>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</si>
  <si>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</si>
  <si>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</si>
  <si>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</si>
  <si>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</si>
  <si>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</si>
  <si>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</si>
  <si>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</si>
  <si>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</si>
  <si>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</si>
  <si>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</si>
  <si>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</si>
  <si>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</si>
  <si>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</si>
  <si>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</si>
  <si>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</si>
  <si>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</si>
  <si>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</si>
  <si>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</si>
  <si>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</si>
  <si>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</si>
  <si>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</si>
  <si>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</si>
  <si>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</si>
  <si>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</si>
  <si>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</si>
  <si>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</si>
  <si>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</si>
  <si>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</si>
  <si>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</si>
  <si>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</si>
  <si>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</si>
  <si>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</si>
  <si>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</si>
  <si>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</si>
  <si>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</si>
  <si>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</si>
  <si>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</si>
  <si>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</si>
  <si>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</si>
  <si>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</si>
  <si>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</si>
  <si>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</si>
  <si>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</si>
  <si>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</si>
  <si>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</si>
  <si>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</si>
  <si>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</si>
  <si>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</si>
  <si>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</si>
  <si>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</si>
  <si>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</si>
  <si>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</si>
  <si>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</si>
  <si>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</si>
  <si>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</si>
  <si>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</si>
  <si>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</si>
  <si>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</si>
  <si>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</si>
  <si>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</si>
  <si>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</si>
  <si>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</si>
  <si>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</si>
  <si>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</si>
  <si>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</si>
  <si>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</si>
  <si>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</si>
  <si>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</si>
  <si>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</si>
  <si>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</si>
  <si>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</si>
  <si>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</si>
  <si>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</si>
  <si>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</si>
  <si>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</si>
  <si>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</si>
  <si>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</si>
  <si>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</si>
  <si>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</si>
  <si>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</si>
  <si>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</si>
  <si>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</si>
  <si>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</si>
  <si>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</si>
  <si>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</si>
  <si>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</si>
  <si>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</si>
  <si>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</si>
  <si>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</si>
  <si>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</si>
  <si>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</si>
  <si>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</si>
  <si>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</si>
  <si>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</si>
  <si>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</si>
  <si>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</si>
  <si>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</si>
  <si>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</si>
  <si>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</si>
  <si>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</si>
  <si>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</si>
  <si>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</si>
  <si>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</si>
  <si>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</si>
  <si>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</si>
  <si>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</si>
  <si>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</si>
  <si>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</si>
  <si>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</si>
  <si>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</si>
  <si>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</si>
  <si>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</si>
  <si>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</si>
  <si>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</si>
  <si>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</si>
  <si>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</si>
  <si>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</si>
  <si>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</si>
  <si>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</si>
  <si>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</si>
  <si>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</si>
  <si>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</si>
  <si>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</si>
  <si>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</si>
  <si>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</si>
  <si>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</si>
  <si>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</si>
  <si>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</si>
  <si>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</si>
  <si>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</si>
  <si>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</si>
  <si>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</si>
  <si>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</si>
  <si>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</si>
  <si>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</si>
  <si>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</si>
  <si>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</si>
  <si>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</si>
  <si>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</si>
  <si>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</si>
  <si>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</si>
  <si>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</si>
  <si>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</si>
  <si>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</si>
  <si>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</si>
  <si>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</si>
  <si>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</si>
  <si>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</si>
  <si>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</si>
  <si>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</si>
  <si>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</si>
  <si>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</si>
  <si>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</si>
  <si>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</si>
  <si>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</si>
  <si>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</si>
  <si>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</si>
  <si>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</si>
  <si>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</si>
  <si>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</si>
  <si>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</si>
  <si>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</si>
  <si>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</si>
  <si>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</si>
  <si>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</si>
  <si>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</si>
  <si>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</si>
  <si>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</si>
  <si>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</si>
  <si>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</si>
  <si>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</si>
  <si>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</si>
  <si>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</si>
  <si>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</si>
  <si>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</si>
  <si>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</si>
  <si>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</si>
  <si>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</si>
  <si>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</si>
  <si>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</si>
  <si>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</si>
  <si>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</si>
  <si>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</si>
  <si>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</si>
  <si>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</si>
  <si>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</si>
  <si>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</si>
  <si>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</si>
  <si>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</si>
  <si>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</si>
  <si>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</si>
  <si>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</si>
  <si>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</si>
  <si>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</si>
  <si>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</si>
  <si>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</si>
  <si>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</si>
  <si>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</si>
  <si>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</si>
  <si>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</si>
  <si>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</si>
  <si>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</si>
  <si>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</si>
  <si>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</si>
  <si>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</si>
  <si>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</si>
  <si>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</si>
  <si>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</si>
  <si>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</si>
  <si>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</si>
  <si>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</si>
  <si>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</si>
  <si>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</si>
  <si>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</si>
  <si>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</si>
  <si>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</si>
  <si>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</si>
  <si>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</si>
  <si>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</si>
  <si>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</si>
  <si>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</si>
  <si>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</si>
  <si>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</si>
  <si>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</si>
  <si>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</si>
  <si>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</si>
  <si>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</si>
  <si>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</si>
  <si>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</si>
  <si>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</si>
  <si>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</si>
  <si>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</si>
  <si>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</si>
  <si>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</si>
  <si>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</si>
  <si>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</si>
  <si>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</si>
  <si>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</si>
  <si>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</si>
  <si>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</si>
  <si>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</si>
  <si>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</si>
  <si>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</si>
  <si>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</si>
  <si>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</si>
  <si>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</si>
  <si>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</si>
  <si>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</si>
  <si>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</si>
  <si>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</si>
  <si>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</si>
  <si>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</si>
  <si>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</si>
  <si>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</si>
  <si>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</si>
  <si>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</si>
  <si>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</si>
  <si>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</si>
  <si>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</si>
  <si>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</si>
  <si>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</si>
  <si>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</si>
  <si>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</si>
  <si>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</si>
  <si>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</si>
  <si>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</si>
  <si>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</si>
  <si>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</si>
  <si>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</si>
  <si>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</si>
  <si>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</si>
  <si>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</si>
  <si>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</si>
  <si>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</si>
  <si>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</si>
  <si>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</si>
  <si>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</si>
  <si>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</si>
  <si>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</si>
  <si>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</si>
  <si>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</si>
  <si>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</si>
  <si>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</si>
  <si>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</si>
  <si>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</si>
  <si>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</si>
  <si>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</si>
  <si>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</si>
  <si>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</si>
  <si>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</si>
  <si>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</si>
  <si>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</si>
  <si>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</si>
  <si>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</si>
  <si>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</si>
  <si>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</si>
  <si>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</si>
  <si>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</si>
  <si>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</si>
  <si>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</si>
  <si>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</si>
  <si>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</si>
  <si>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</si>
  <si>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</si>
  <si>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</si>
  <si>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</si>
  <si>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</si>
  <si>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</si>
  <si>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</si>
  <si>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</si>
  <si>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</si>
  <si>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</si>
  <si>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</si>
  <si>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</si>
  <si>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</si>
  <si>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</si>
  <si>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</si>
  <si>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</si>
  <si>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</si>
  <si>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</si>
  <si>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</si>
  <si>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</si>
  <si>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</si>
  <si>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</si>
  <si>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</si>
  <si>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</si>
  <si>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</si>
  <si>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</si>
  <si>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</si>
  <si>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</si>
  <si>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</si>
  <si>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</si>
  <si>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</si>
  <si>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</si>
  <si>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</si>
  <si>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</si>
  <si>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</si>
  <si>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</si>
  <si>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</si>
  <si>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</si>
  <si>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</si>
  <si>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</si>
  <si>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</si>
  <si>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</si>
  <si>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</si>
  <si>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</si>
  <si>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</si>
  <si>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</si>
  <si>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</si>
  <si>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</si>
  <si>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</si>
  <si>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</si>
  <si>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</si>
  <si>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</si>
  <si>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</si>
  <si>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</si>
  <si>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</si>
  <si>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</si>
  <si>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</si>
  <si>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</si>
  <si>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</si>
  <si>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</si>
  <si>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</si>
  <si>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</si>
  <si>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</si>
  <si>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</si>
  <si>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</si>
  <si>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</si>
  <si>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</si>
  <si>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</si>
  <si>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</si>
  <si>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</si>
  <si>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</si>
  <si>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</si>
  <si>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</si>
  <si>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</si>
  <si>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</si>
  <si>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</si>
  <si>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</si>
  <si>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</si>
  <si>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</si>
  <si>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</si>
  <si>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</si>
  <si>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</si>
  <si>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</si>
  <si>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</si>
  <si>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</si>
  <si>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</si>
  <si>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</si>
  <si>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</si>
  <si>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</si>
  <si>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</si>
  <si>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</si>
  <si>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</si>
  <si>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</si>
  <si>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</si>
  <si>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</si>
  <si>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</si>
  <si>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</si>
  <si>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</si>
  <si>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</si>
  <si>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</si>
  <si>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</si>
  <si>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</si>
  <si>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</si>
  <si>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</si>
  <si>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</si>
  <si>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</si>
  <si>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</si>
  <si>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</si>
  <si>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</si>
  <si>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</si>
  <si>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</si>
  <si>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</si>
  <si>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</si>
  <si>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</si>
  <si>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</si>
  <si>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</si>
  <si>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</si>
  <si>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</si>
  <si>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</si>
  <si>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</si>
  <si>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</si>
  <si>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</si>
  <si>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</si>
  <si>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</si>
  <si>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</si>
  <si>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</si>
  <si>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</si>
  <si>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</si>
  <si>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</si>
  <si>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</si>
  <si>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</si>
  <si>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</si>
  <si>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</si>
  <si>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</si>
  <si>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</si>
  <si>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</si>
  <si>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</si>
  <si>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</si>
  <si>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</si>
  <si>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</si>
  <si>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</si>
  <si>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</si>
  <si>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</si>
  <si>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</si>
  <si>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</si>
  <si>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</si>
  <si>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</si>
  <si>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</si>
  <si>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</si>
  <si>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</si>
  <si>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</si>
  <si>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</si>
  <si>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</si>
  <si>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</si>
  <si>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</si>
  <si>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</si>
  <si>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</si>
  <si>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</si>
  <si>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</si>
  <si>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</si>
  <si>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</si>
  <si>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</si>
  <si>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</si>
  <si>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</si>
  <si>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</si>
  <si>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</si>
  <si>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</si>
  <si>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</si>
  <si>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</si>
  <si>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</si>
  <si>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</si>
  <si>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</si>
  <si>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</si>
  <si>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</si>
  <si>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</si>
  <si>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</si>
  <si>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</si>
  <si>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</si>
  <si>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</si>
  <si>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</si>
  <si>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</si>
  <si>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</si>
  <si>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</si>
  <si>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</si>
  <si>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</si>
  <si>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</si>
  <si>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</si>
  <si>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</si>
  <si>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</si>
  <si>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</si>
  <si>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</si>
  <si>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</si>
  <si>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</si>
  <si>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</si>
  <si>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</si>
  <si>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</si>
  <si>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</si>
  <si>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</si>
  <si>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</si>
  <si>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</si>
  <si>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</si>
  <si>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</si>
  <si>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</si>
  <si>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</si>
  <si>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</si>
  <si>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</si>
  <si>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</si>
  <si>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</si>
  <si>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</si>
  <si>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</si>
  <si>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</si>
  <si>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</si>
  <si>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</si>
  <si>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</si>
  <si>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</si>
  <si>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</si>
  <si>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</si>
  <si>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</si>
  <si>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</si>
  <si>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</si>
  <si>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</si>
  <si>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</si>
  <si>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</si>
  <si>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</si>
  <si>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</si>
  <si>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</si>
  <si>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</si>
  <si>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</si>
  <si>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</si>
  <si>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</si>
  <si>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</si>
  <si>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</si>
  <si>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</si>
  <si>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</si>
  <si>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</si>
  <si>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</si>
  <si>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</si>
  <si>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</si>
  <si>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</si>
  <si>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</si>
  <si>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</si>
  <si>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</si>
  <si>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</si>
  <si>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</si>
  <si>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</si>
  <si>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</si>
  <si>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</si>
  <si>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</si>
  <si>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</si>
  <si>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</si>
  <si>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</si>
  <si>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</si>
  <si>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</si>
  <si>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</si>
  <si>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</si>
  <si>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</si>
  <si>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</si>
  <si>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</si>
  <si>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</si>
  <si>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</si>
  <si>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</si>
  <si>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</si>
  <si>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</si>
  <si>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</si>
  <si>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</si>
  <si>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</si>
  <si>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</si>
  <si>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</si>
  <si>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</si>
  <si>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</si>
  <si>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</si>
  <si>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</si>
  <si>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</si>
  <si>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</si>
  <si>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</si>
  <si>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</si>
  <si>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</si>
  <si>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</si>
  <si>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</si>
  <si>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</si>
  <si>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</si>
  <si>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</si>
  <si>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</si>
  <si>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</si>
  <si>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</si>
  <si>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</si>
  <si>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</si>
  <si>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</si>
  <si>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</si>
  <si>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</si>
  <si>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</si>
  <si>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</si>
  <si>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</si>
  <si>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</si>
  <si>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</si>
  <si>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</si>
  <si>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</si>
  <si>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</si>
  <si>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</si>
  <si>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</si>
  <si>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</si>
  <si>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</si>
  <si>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</si>
  <si>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</si>
  <si>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</si>
  <si>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</si>
  <si>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</si>
  <si>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</si>
  <si>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</si>
  <si>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</si>
  <si>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</si>
  <si>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</si>
  <si>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</si>
  <si>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</si>
  <si>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</si>
  <si>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</si>
  <si>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</si>
  <si>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</si>
  <si>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</si>
  <si>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</si>
  <si>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</si>
  <si>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</si>
  <si>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</si>
  <si>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</si>
  <si>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</si>
  <si>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</si>
  <si>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</si>
  <si>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</si>
  <si>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</si>
  <si>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</si>
  <si>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</si>
  <si>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</si>
  <si>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</si>
  <si>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</si>
  <si>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</si>
  <si>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</si>
  <si>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</si>
  <si>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</si>
  <si>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</si>
  <si>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</si>
  <si>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</si>
  <si>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</si>
  <si>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</si>
  <si>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</si>
  <si>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</si>
  <si>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</si>
  <si>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</si>
  <si>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</si>
  <si>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</si>
  <si>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</si>
  <si>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</si>
  <si>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</si>
  <si>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</si>
  <si>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</si>
  <si>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</si>
  <si>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</si>
  <si>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</si>
  <si>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</si>
  <si>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</si>
  <si>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</si>
  <si>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</si>
  <si>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</si>
  <si>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</si>
  <si>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</si>
  <si>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</si>
  <si>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</si>
  <si>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</si>
  <si>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</si>
  <si>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</si>
  <si>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</si>
  <si>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</si>
  <si>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</si>
  <si>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</si>
  <si>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</si>
  <si>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</si>
  <si>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</si>
  <si>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</si>
  <si>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</si>
  <si>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</si>
  <si>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</si>
  <si>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</si>
  <si>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</si>
  <si>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</si>
  <si>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</si>
  <si>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</si>
  <si>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</si>
  <si>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</si>
  <si>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</si>
  <si>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</si>
  <si>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</si>
  <si>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</si>
  <si>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</si>
  <si>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</si>
  <si>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</si>
  <si>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</si>
  <si>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</si>
  <si>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</si>
  <si>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</si>
  <si>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</si>
  <si>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</si>
  <si>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</si>
  <si>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</si>
  <si>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</si>
  <si>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</si>
  <si>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</si>
  <si>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</si>
  <si>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</si>
  <si>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</si>
  <si>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</si>
  <si>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</si>
  <si>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</si>
  <si>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</si>
  <si>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</si>
  <si>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</si>
  <si>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</si>
  <si>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</si>
  <si>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</si>
  <si>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</si>
  <si>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</si>
  <si>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</si>
  <si>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</si>
  <si>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</si>
  <si>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</si>
  <si>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</si>
  <si>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</si>
  <si>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</si>
  <si>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</si>
  <si>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</si>
  <si>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</si>
  <si>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</si>
  <si>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</si>
  <si>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</si>
  <si>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</si>
  <si>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</si>
  <si>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</si>
  <si>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</si>
  <si>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</si>
  <si>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</si>
  <si>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</si>
  <si>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</si>
  <si>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</si>
  <si>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</si>
  <si>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</si>
  <si>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</si>
  <si>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</si>
  <si>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</si>
  <si>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</si>
  <si>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</si>
  <si>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</si>
  <si>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</si>
  <si>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</si>
  <si>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</si>
  <si>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</si>
  <si>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</si>
  <si>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</si>
  <si>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</si>
  <si>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</si>
  <si>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</si>
  <si>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</si>
  <si>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</si>
  <si>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</si>
  <si>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</si>
  <si>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</si>
  <si>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</si>
  <si>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</si>
  <si>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</si>
  <si>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</si>
  <si>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</si>
  <si>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</si>
  <si>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</si>
  <si>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</si>
  <si>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</si>
  <si>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</si>
  <si>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</si>
  <si>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</si>
  <si>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</si>
  <si>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</si>
  <si>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</si>
  <si>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</si>
  <si>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</si>
  <si>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</si>
  <si>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</si>
  <si>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</si>
  <si>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</si>
  <si>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</si>
  <si>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</si>
  <si>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</si>
  <si>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</si>
  <si>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</si>
  <si>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</si>
  <si>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</si>
  <si>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</si>
  <si>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</si>
  <si>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</si>
  <si>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</si>
  <si>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</si>
  <si>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</si>
  <si>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</si>
  <si>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</si>
  <si>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</si>
  <si>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</si>
  <si>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</si>
  <si>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</si>
  <si>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</si>
  <si>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</si>
  <si>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</si>
  <si>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</si>
  <si>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</si>
  <si>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</si>
  <si>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</si>
  <si>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</si>
  <si>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</si>
  <si>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</si>
  <si>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</si>
  <si>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</si>
  <si>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</si>
  <si>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</si>
  <si>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</si>
  <si>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</si>
  <si>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</si>
  <si>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</si>
  <si>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</si>
  <si>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</si>
  <si>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</si>
  <si>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</si>
  <si>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</si>
  <si>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</si>
  <si>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</si>
  <si>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</si>
  <si>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</si>
  <si>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</si>
  <si>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</si>
  <si>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</si>
  <si>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</si>
  <si>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</si>
  <si>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</si>
  <si>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</si>
  <si>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</si>
  <si>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</si>
  <si>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</si>
  <si>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</si>
  <si>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</si>
  <si>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</si>
  <si>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</si>
  <si>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</si>
  <si>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</si>
  <si>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</si>
  <si>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</si>
  <si>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</si>
  <si>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</si>
  <si>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</si>
  <si>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</si>
  <si>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</si>
  <si>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</si>
  <si>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</si>
  <si>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</si>
  <si>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</si>
  <si>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</si>
  <si>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</si>
  <si>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</si>
  <si>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</si>
  <si>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</si>
  <si>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</si>
  <si>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</si>
  <si>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</si>
  <si>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</si>
  <si>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</si>
  <si>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</si>
  <si>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</si>
  <si>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</si>
  <si>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</si>
  <si>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</si>
  <si>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</si>
  <si>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</si>
  <si>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</si>
  <si>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</si>
  <si>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</si>
  <si>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</si>
  <si>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</si>
  <si>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</si>
  <si>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</si>
  <si>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</si>
  <si>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</si>
  <si>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</si>
  <si>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</si>
  <si>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</si>
  <si>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</si>
  <si>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</si>
  <si>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</si>
  <si>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</si>
  <si>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</si>
  <si>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</si>
  <si>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</si>
  <si>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</si>
  <si>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</si>
  <si>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</si>
  <si>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</si>
  <si>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</si>
  <si>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</si>
  <si>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</si>
  <si>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</si>
  <si>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</si>
  <si>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</si>
  <si>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</si>
  <si>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</si>
  <si>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</si>
  <si>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</si>
  <si>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</si>
  <si>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</si>
  <si>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</si>
  <si>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</si>
  <si>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</si>
  <si>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</si>
  <si>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</si>
  <si>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</si>
  <si>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</si>
  <si>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</si>
  <si>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</si>
  <si>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</si>
  <si>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</si>
  <si>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</si>
  <si>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</si>
  <si>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</si>
  <si>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</si>
  <si>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</si>
  <si>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</si>
  <si>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</si>
  <si>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</si>
  <si>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</si>
  <si>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</si>
  <si>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</si>
  <si>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</si>
  <si>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</si>
  <si>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</si>
  <si>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</si>
  <si>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</si>
  <si>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</si>
  <si>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</si>
  <si>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</si>
  <si>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</si>
  <si>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</si>
  <si>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</si>
  <si>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</si>
  <si>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</si>
  <si>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</si>
  <si>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</si>
  <si>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</si>
  <si>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</si>
  <si>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</si>
  <si>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</si>
  <si>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</si>
  <si>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</si>
  <si>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</si>
  <si>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</si>
  <si>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</si>
  <si>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</si>
  <si>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</si>
  <si>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</si>
  <si>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</si>
  <si>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</si>
  <si>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</si>
  <si>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</si>
  <si>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</si>
  <si>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</si>
  <si>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</si>
  <si>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</si>
  <si>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</si>
  <si>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</si>
  <si>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</si>
  <si>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</si>
  <si>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</si>
  <si>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</si>
  <si>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</si>
  <si>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</si>
  <si>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</si>
  <si>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</si>
  <si>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</si>
  <si>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</si>
  <si>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</si>
  <si>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</si>
  <si>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</si>
  <si>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</si>
  <si>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</si>
  <si>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</si>
  <si>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</si>
  <si>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</si>
  <si>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</si>
  <si>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</si>
  <si>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</si>
  <si>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</si>
  <si>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</si>
  <si>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</si>
  <si>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</si>
  <si>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</si>
  <si>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</si>
  <si>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</si>
  <si>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</si>
  <si>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</si>
  <si>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</si>
  <si>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</si>
  <si>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</si>
  <si>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</si>
  <si>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</si>
  <si>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</si>
  <si>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</si>
  <si>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</si>
  <si>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</si>
  <si>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</si>
  <si>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</si>
  <si>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</si>
  <si>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</si>
  <si>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</si>
  <si>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</si>
  <si>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</si>
  <si>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</si>
  <si>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</si>
  <si>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</si>
  <si>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</si>
  <si>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</si>
  <si>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</si>
  <si>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</si>
  <si>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</si>
  <si>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</si>
  <si>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</si>
  <si>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</si>
  <si>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</si>
  <si>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</si>
  <si>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</si>
  <si>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</si>
  <si>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</si>
  <si>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</si>
  <si>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</si>
  <si>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</si>
  <si>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</si>
  <si>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</si>
  <si>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</si>
  <si>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</si>
  <si>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</si>
  <si>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</si>
  <si>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</si>
  <si>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</si>
  <si>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</si>
  <si>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</si>
  <si>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</si>
  <si>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</si>
  <si>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</si>
  <si>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</si>
  <si>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</si>
  <si>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</si>
  <si>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</si>
  <si>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</si>
  <si>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</si>
  <si>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</si>
  <si>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</si>
  <si>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</si>
  <si>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</si>
  <si>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</si>
  <si>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</si>
  <si>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</si>
  <si>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</si>
  <si>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</si>
  <si>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</si>
  <si>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</si>
  <si>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</si>
  <si>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</si>
  <si>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</si>
  <si>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</si>
  <si>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</si>
  <si>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</si>
  <si>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</si>
  <si>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</si>
  <si>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</si>
  <si>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</si>
  <si>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</si>
  <si>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</si>
  <si>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</si>
  <si>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</si>
  <si>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</si>
  <si>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</si>
  <si>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</si>
  <si>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</si>
  <si>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</si>
  <si>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</si>
  <si>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</si>
  <si>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</si>
  <si>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</si>
  <si>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</si>
  <si>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</si>
  <si>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</si>
  <si>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</si>
  <si>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</si>
  <si>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</si>
  <si>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</si>
  <si>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</si>
  <si>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</si>
  <si>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</si>
  <si>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</si>
  <si>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</si>
  <si>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</si>
  <si>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</si>
  <si>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</si>
  <si>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</si>
  <si>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</si>
  <si>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</si>
  <si>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</si>
  <si>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</si>
  <si>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</si>
  <si>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</si>
  <si>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</si>
  <si>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</si>
  <si>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</si>
  <si>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</si>
  <si>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</si>
  <si>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</si>
  <si>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</si>
  <si>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</si>
  <si>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</si>
  <si>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</si>
  <si>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</si>
  <si>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</si>
  <si>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</si>
  <si>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</si>
  <si>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</si>
  <si>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</si>
  <si>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</si>
  <si>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</si>
  <si>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</si>
  <si>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</si>
  <si>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</si>
  <si>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</si>
  <si>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</si>
  <si>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</si>
  <si>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</si>
  <si>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</si>
  <si>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</si>
  <si>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</si>
  <si>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</si>
  <si>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</si>
  <si>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</si>
  <si>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</si>
  <si>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</si>
  <si>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</si>
  <si>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</si>
  <si>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</si>
  <si>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</si>
  <si>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</si>
  <si>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</si>
  <si>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</si>
  <si>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</si>
  <si>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</si>
  <si>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</si>
  <si>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</si>
  <si>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</si>
  <si>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</si>
  <si>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</si>
  <si>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</si>
  <si>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</si>
  <si>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</si>
  <si>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</si>
  <si>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</si>
  <si>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</si>
  <si>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</si>
  <si>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</si>
  <si>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</si>
  <si>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</si>
  <si>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</si>
  <si>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</si>
  <si>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</si>
  <si>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</si>
  <si>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</si>
  <si>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</si>
  <si>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</si>
  <si>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</si>
  <si>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</si>
  <si>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</si>
  <si>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</si>
  <si>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</si>
  <si>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</si>
  <si>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</si>
  <si>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</si>
  <si>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</si>
  <si>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</si>
  <si>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</si>
  <si>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</si>
  <si>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</si>
  <si>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</si>
  <si>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</si>
  <si>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</si>
  <si>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</si>
  <si>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</si>
  <si>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</si>
  <si>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</si>
  <si>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</si>
  <si>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</si>
  <si>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</si>
  <si>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</si>
  <si>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</si>
  <si>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</si>
  <si>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</si>
  <si>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</si>
  <si>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</si>
  <si>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</si>
  <si>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</si>
  <si>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</si>
  <si>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</si>
  <si>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</si>
  <si>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</si>
  <si>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</si>
  <si>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</si>
  <si>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</si>
  <si>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</si>
  <si>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</si>
  <si>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</si>
  <si>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</si>
  <si>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</si>
  <si>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</si>
  <si>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</si>
  <si>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</si>
  <si>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</si>
  <si>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</si>
  <si>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</si>
  <si>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</si>
  <si>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</si>
  <si>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</si>
  <si>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</si>
  <si>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</si>
  <si>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</si>
  <si>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</si>
  <si>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</si>
  <si>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</si>
  <si>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</si>
  <si>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</si>
  <si>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</si>
  <si>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</si>
  <si>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</si>
  <si>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</si>
  <si>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</si>
  <si>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</si>
  <si>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</si>
  <si>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</si>
  <si>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</si>
  <si>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</si>
  <si>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</si>
  <si>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</si>
  <si>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</si>
  <si>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</si>
  <si>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</si>
  <si>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</si>
  <si>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</si>
  <si>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</si>
  <si>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</si>
  <si>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</si>
  <si>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</si>
  <si>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</si>
  <si>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</si>
  <si>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</si>
  <si>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</si>
  <si>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</si>
  <si>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</si>
  <si>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</si>
  <si>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</si>
  <si>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</si>
  <si>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</si>
  <si>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</si>
  <si>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</si>
  <si>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</si>
  <si>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</si>
  <si>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</si>
  <si>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</si>
  <si>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</si>
  <si>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</si>
  <si>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</si>
  <si>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</si>
  <si>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</si>
  <si>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</si>
  <si>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</si>
  <si>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</si>
  <si>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</si>
  <si>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</si>
  <si>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</si>
  <si>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</si>
  <si>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</si>
  <si>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</si>
  <si>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</si>
  <si>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</si>
  <si>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</si>
  <si>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</si>
  <si>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</si>
  <si>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</si>
  <si>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</si>
  <si>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</si>
  <si>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</si>
  <si>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</si>
  <si>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</si>
  <si>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</si>
  <si>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</si>
  <si>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</si>
  <si>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</si>
  <si>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</si>
  <si>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</si>
  <si>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</si>
  <si>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</si>
  <si>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</si>
  <si>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</si>
  <si>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</si>
  <si>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</si>
  <si>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</si>
  <si>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</si>
  <si>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</si>
  <si>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</si>
  <si>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</si>
  <si>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</si>
  <si>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</si>
  <si>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</si>
  <si>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</si>
  <si>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</si>
  <si>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</si>
  <si>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</si>
  <si>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</si>
  <si>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</si>
  <si>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</si>
  <si>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</si>
  <si>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</si>
  <si>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</si>
  <si>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</si>
  <si>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</si>
  <si>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</si>
  <si>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</si>
  <si>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</si>
  <si>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</si>
  <si>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</si>
  <si>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</si>
  <si>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</si>
  <si>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</si>
  <si>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</si>
  <si>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</si>
  <si>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</si>
  <si>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</si>
  <si>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</si>
  <si>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</si>
  <si>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</si>
  <si>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</si>
  <si>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</si>
  <si>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</si>
  <si>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</si>
  <si>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</si>
  <si>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</si>
  <si>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</si>
  <si>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</si>
  <si>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</si>
  <si>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</si>
  <si>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</si>
  <si>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</si>
  <si>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</si>
  <si>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</si>
  <si>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</si>
  <si>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</si>
  <si>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</si>
  <si>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</si>
  <si>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</si>
  <si>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</si>
  <si>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</si>
  <si>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</si>
  <si>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</si>
  <si>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</si>
  <si>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</si>
  <si>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</si>
  <si>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</si>
  <si>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</si>
  <si>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</si>
  <si>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</si>
  <si>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</si>
  <si>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</si>
  <si>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</si>
  <si>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</si>
  <si>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</si>
  <si>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</si>
  <si>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</si>
  <si>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</si>
  <si>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</si>
  <si>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</si>
  <si>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</si>
  <si>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</si>
  <si>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</si>
  <si>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</si>
  <si>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</si>
  <si>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</si>
  <si>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</si>
  <si>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</si>
  <si>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</si>
  <si>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</si>
  <si>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</si>
  <si>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</si>
  <si>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</si>
  <si>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</si>
  <si>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</si>
  <si>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</si>
  <si>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</si>
  <si>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</si>
  <si>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</si>
  <si>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</si>
  <si>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</si>
  <si>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</si>
  <si>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</si>
  <si>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</si>
  <si>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</si>
  <si>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</si>
  <si>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</si>
  <si>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</si>
  <si>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</si>
  <si>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</si>
  <si>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</si>
  <si>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</si>
  <si>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</si>
  <si>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</si>
  <si>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</si>
  <si>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</si>
  <si>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</si>
  <si>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</si>
  <si>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</si>
  <si>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</si>
  <si>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</si>
  <si>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</si>
  <si>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</si>
  <si>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</si>
  <si>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</si>
  <si>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</si>
  <si>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</si>
  <si>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</si>
  <si>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</si>
  <si>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</si>
  <si>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</si>
  <si>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</si>
  <si>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</si>
  <si>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</si>
  <si>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</si>
  <si>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</si>
  <si>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</si>
  <si>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</si>
  <si>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</si>
  <si>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</si>
  <si>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</si>
  <si>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</si>
  <si>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</si>
  <si>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</si>
  <si>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</si>
  <si>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</si>
  <si>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</si>
  <si>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</si>
  <si>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</si>
  <si>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</si>
  <si>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</si>
  <si>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</si>
  <si>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</si>
  <si>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</si>
  <si>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</si>
  <si>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</si>
  <si>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</si>
  <si>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</si>
  <si>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</si>
  <si>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</si>
  <si>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</si>
  <si>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</si>
  <si>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</si>
  <si>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</si>
  <si>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</si>
  <si>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</si>
  <si>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</si>
  <si>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</si>
  <si>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</si>
  <si>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</si>
  <si>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</si>
  <si>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</si>
  <si>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</si>
  <si>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</si>
  <si>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</si>
  <si>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</si>
  <si>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</si>
  <si>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</si>
  <si>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</si>
  <si>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</si>
  <si>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</si>
  <si>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</si>
  <si>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</si>
  <si>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</si>
  <si>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</si>
  <si>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</si>
  <si>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</si>
  <si>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</si>
  <si>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</si>
  <si>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</si>
  <si>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</si>
  <si>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</si>
  <si>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</si>
  <si>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</si>
  <si>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</si>
  <si>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</si>
  <si>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</si>
  <si>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</si>
  <si>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</si>
  <si>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</si>
  <si>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</si>
  <si>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</si>
  <si>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</si>
  <si>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</si>
  <si>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</si>
  <si>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</si>
  <si>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</si>
  <si>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</si>
  <si>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</si>
  <si>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</si>
  <si>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</si>
  <si>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</si>
  <si>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</si>
  <si>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</si>
  <si>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</si>
  <si>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</si>
  <si>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</si>
  <si>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</si>
  <si>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</si>
  <si>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</si>
  <si>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</si>
  <si>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</si>
  <si>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</si>
  <si>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</si>
  <si>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</si>
  <si>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</si>
  <si>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</si>
  <si>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</si>
  <si>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</si>
  <si>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</si>
  <si>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</si>
  <si>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</si>
  <si>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</si>
  <si>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</si>
  <si>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</si>
  <si>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</si>
  <si>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</si>
  <si>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</si>
  <si>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</si>
  <si>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</si>
  <si>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</si>
  <si>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</si>
  <si>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</si>
  <si>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</si>
  <si>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</si>
  <si>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</si>
  <si>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</si>
  <si>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</si>
  <si>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</si>
  <si>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</si>
  <si>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</si>
  <si>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</si>
  <si>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</si>
  <si>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</si>
  <si>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</si>
  <si>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</si>
  <si>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</si>
  <si>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</si>
  <si>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</si>
  <si>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</si>
  <si>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</si>
  <si>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</si>
  <si>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</si>
  <si>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</si>
  <si>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</si>
  <si>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</si>
  <si>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</si>
  <si>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</si>
  <si>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</si>
  <si>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</si>
  <si>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</si>
  <si>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</si>
  <si>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</si>
  <si>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</si>
  <si>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</si>
  <si>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</si>
  <si>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</si>
  <si>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</si>
  <si>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</si>
  <si>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</si>
  <si>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</si>
  <si>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</si>
  <si>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</si>
  <si>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</si>
  <si>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</si>
  <si>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</si>
  <si>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</si>
  <si>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</si>
  <si>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</si>
  <si>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</si>
  <si>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</si>
  <si>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</si>
  <si>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</si>
  <si>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</si>
  <si>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</si>
  <si>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</si>
  <si>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</si>
  <si>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</si>
  <si>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</si>
  <si>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</si>
  <si>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</si>
  <si>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</si>
  <si>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</si>
  <si>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</si>
  <si>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</si>
  <si>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</si>
  <si>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</si>
  <si>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</si>
  <si>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</si>
  <si>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</si>
  <si>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</si>
  <si>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</si>
  <si>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</si>
  <si>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</si>
  <si>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</si>
  <si>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</si>
  <si>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</si>
  <si>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</si>
  <si>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</si>
  <si>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</si>
  <si>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</si>
  <si>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</si>
  <si>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</si>
  <si>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</si>
  <si>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</si>
  <si>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</si>
  <si>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</si>
  <si>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</si>
  <si>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</si>
  <si>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</si>
  <si>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</si>
  <si>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</si>
  <si>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</si>
  <si>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</si>
  <si>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</si>
  <si>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</si>
  <si>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</si>
  <si>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</si>
  <si>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</si>
  <si>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</si>
  <si>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</si>
  <si>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</si>
  <si>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</si>
  <si>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</si>
  <si>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</si>
  <si>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</si>
  <si>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</si>
  <si>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</si>
  <si>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</si>
  <si>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</si>
  <si>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</si>
  <si>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</si>
  <si>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</si>
  <si>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</si>
  <si>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</si>
  <si>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</si>
  <si>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</si>
  <si>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</si>
  <si>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</si>
  <si>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</si>
  <si>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</si>
  <si>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</si>
  <si>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</si>
  <si>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</si>
  <si>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</si>
  <si>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</si>
  <si>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</si>
  <si>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</si>
  <si>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</si>
  <si>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</si>
  <si>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</si>
  <si>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</si>
  <si>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</si>
  <si>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</si>
  <si>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</si>
  <si>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</si>
  <si>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</si>
  <si>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</si>
  <si>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</si>
  <si>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</si>
  <si>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</si>
  <si>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</si>
  <si>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</si>
  <si>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</si>
  <si>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</si>
  <si>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</si>
  <si>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</si>
  <si>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</si>
  <si>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</si>
  <si>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</si>
  <si>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</si>
  <si>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</si>
  <si>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</si>
  <si>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</si>
  <si>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</si>
  <si>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</si>
  <si>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</si>
  <si>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</si>
  <si>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</si>
  <si>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</si>
  <si>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</si>
  <si>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</si>
  <si>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</si>
  <si>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</si>
  <si>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</si>
  <si>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</si>
  <si>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</si>
  <si>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</si>
  <si>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</si>
  <si>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</si>
  <si>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</si>
  <si>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</si>
  <si>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</si>
  <si>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</si>
  <si>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</si>
  <si>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</si>
  <si>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</si>
  <si>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</si>
  <si>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</si>
  <si>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</si>
  <si>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</si>
  <si>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</si>
  <si>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</si>
  <si>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</si>
  <si>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</si>
  <si>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</si>
  <si>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</si>
  <si>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</si>
  <si>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</si>
  <si>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</si>
  <si>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</si>
  <si>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</si>
  <si>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</si>
  <si>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</si>
  <si>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</si>
  <si>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</si>
  <si>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</si>
  <si>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</si>
  <si>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</si>
  <si>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</si>
  <si>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</si>
  <si>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</si>
  <si>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</si>
  <si>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</si>
  <si>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</si>
  <si>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</si>
  <si>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</si>
  <si>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</si>
  <si>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</si>
  <si>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</si>
  <si>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</si>
  <si>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</si>
  <si>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</si>
  <si>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</si>
  <si>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</si>
  <si>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</si>
  <si>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</si>
  <si>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</si>
  <si>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</si>
  <si>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</si>
  <si>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</si>
  <si>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</si>
  <si>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</si>
  <si>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</si>
  <si>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</si>
  <si>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</si>
  <si>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</si>
  <si>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</si>
  <si>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</si>
  <si>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</si>
  <si>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</si>
  <si>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</si>
  <si>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</si>
  <si>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</si>
  <si>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</si>
  <si>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</si>
  <si>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</si>
  <si>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</si>
  <si>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</si>
  <si>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</si>
  <si>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</si>
  <si>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</si>
  <si>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</si>
  <si>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</si>
  <si>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</si>
  <si>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</si>
  <si>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</si>
  <si>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</si>
  <si>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</si>
  <si>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</si>
  <si>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</si>
  <si>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</si>
  <si>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</si>
  <si>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</si>
  <si>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</si>
  <si>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</si>
  <si>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</si>
  <si>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</si>
  <si>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</si>
  <si>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</si>
  <si>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</si>
  <si>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</si>
  <si>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</si>
  <si>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</si>
  <si>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</si>
  <si>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</si>
  <si>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</si>
  <si>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</si>
  <si>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</si>
  <si>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</si>
  <si>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</si>
  <si>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</si>
  <si>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</si>
  <si>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</si>
  <si>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</si>
  <si>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</si>
  <si>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</si>
  <si>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</si>
  <si>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</si>
  <si>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</si>
  <si>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</si>
  <si>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</si>
  <si>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</si>
  <si>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</si>
  <si>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</si>
  <si>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</si>
  <si>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</si>
  <si>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</si>
  <si>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</si>
  <si>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</si>
  <si>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</si>
  <si>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</si>
  <si>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</si>
  <si>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</si>
  <si>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</si>
  <si>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</si>
  <si>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</si>
  <si>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</si>
  <si>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</si>
  <si>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</si>
  <si>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</si>
  <si>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</si>
  <si>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</si>
  <si>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</si>
  <si>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</si>
  <si>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</si>
  <si>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</si>
  <si>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</si>
  <si>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</si>
  <si>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</si>
  <si>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</si>
  <si>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</si>
  <si>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</si>
  <si>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</si>
  <si>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</si>
  <si>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</si>
  <si>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</si>
  <si>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</si>
  <si>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</si>
  <si>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</si>
  <si>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</si>
  <si>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</si>
  <si>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</si>
  <si>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</si>
  <si>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</si>
  <si>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</si>
  <si>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</si>
  <si>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</si>
  <si>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</si>
  <si>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</si>
  <si>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</si>
  <si>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</si>
  <si>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</si>
  <si>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</si>
  <si>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</si>
  <si>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</si>
  <si>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</si>
  <si>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</si>
  <si>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</si>
  <si>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</si>
  <si>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</si>
  <si>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</si>
  <si>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</si>
  <si>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</si>
  <si>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</si>
  <si>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</si>
  <si>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</si>
  <si>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</si>
  <si>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</si>
  <si>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</si>
  <si>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</si>
  <si>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</si>
  <si>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</si>
  <si>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</si>
  <si>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</si>
  <si>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</si>
  <si>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</si>
  <si>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</si>
  <si>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</si>
  <si>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</si>
  <si>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</si>
  <si>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</si>
  <si>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</si>
  <si>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</si>
  <si>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</si>
  <si>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</si>
  <si>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</si>
  <si>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</si>
  <si>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</si>
  <si>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</si>
  <si>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</si>
  <si>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</si>
  <si>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</si>
  <si>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</si>
  <si>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</si>
  <si>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</si>
  <si>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</si>
  <si>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</si>
  <si>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</si>
  <si>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</si>
  <si>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</si>
  <si>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</si>
  <si>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</si>
  <si>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</si>
  <si>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</si>
  <si>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</si>
  <si>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</si>
  <si>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</si>
  <si>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</si>
  <si>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</si>
  <si>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</si>
  <si>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</si>
  <si>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</si>
  <si>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</si>
  <si>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</si>
  <si>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</si>
  <si>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</si>
  <si>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</si>
  <si>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</si>
  <si>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</si>
  <si>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</si>
  <si>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</si>
  <si>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</si>
  <si>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</si>
  <si>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</si>
  <si>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</si>
  <si>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</si>
  <si>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</si>
  <si>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</si>
  <si>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</si>
  <si>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其他：</t>
  </si>
  <si>
    <t>江苏省</t>
    <phoneticPr fontId="3" type="noConversion"/>
  </si>
  <si>
    <t>容积率</t>
    <phoneticPr fontId="3" type="noConversion"/>
  </si>
  <si>
    <t>建筑密度</t>
    <phoneticPr fontId="3" type="noConversion"/>
  </si>
  <si>
    <t>估算楼层</t>
    <phoneticPr fontId="3" type="noConversion"/>
  </si>
  <si>
    <t>地上</t>
  </si>
  <si>
    <t>独立商业</t>
  </si>
  <si>
    <t>商业</t>
    <phoneticPr fontId="7" type="noConversion"/>
  </si>
  <si>
    <t>是</t>
  </si>
  <si>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</si>
  <si>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</si>
  <si>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</si>
  <si>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</si>
  <si>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</si>
  <si>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</si>
  <si>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</si>
  <si>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</si>
  <si>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</si>
  <si>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</si>
  <si>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</si>
  <si>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</si>
  <si>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</si>
  <si>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</si>
  <si>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</si>
  <si>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</si>
  <si>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</si>
  <si>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</si>
  <si>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</si>
  <si>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</si>
  <si>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</si>
  <si>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</si>
  <si>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</si>
  <si>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</si>
  <si>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</si>
  <si>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</si>
  <si>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</si>
  <si>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</si>
  <si>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</si>
  <si>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</si>
  <si>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</si>
  <si>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</si>
  <si>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</si>
  <si>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</si>
  <si>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</si>
  <si>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</si>
  <si>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</si>
  <si>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</si>
  <si>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</si>
  <si>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</si>
  <si>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</si>
  <si>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</si>
  <si>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</si>
  <si>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</si>
  <si>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</si>
  <si>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</si>
  <si>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</si>
  <si>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</si>
  <si>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</si>
  <si>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</si>
  <si>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</si>
  <si>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</si>
  <si>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</si>
  <si>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</si>
  <si>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</si>
  <si>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</si>
  <si>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phoneticPr fontId="224" type="noConversion"/>
  </si>
  <si>
    <t>锦屏镇</t>
  </si>
  <si>
    <t>海州区郁洲南路东、梧桐路南</t>
  </si>
  <si>
    <t>LTC2018-04号</t>
  </si>
  <si>
    <t>批发零售用地</t>
  </si>
  <si>
    <t>≥1且≤1.5</t>
  </si>
  <si>
    <t>≤45%</t>
  </si>
  <si>
    <t>开工中</t>
  </si>
  <si>
    <t>2018-01-30</t>
  </si>
  <si>
    <t>2018-02-20</t>
  </si>
  <si>
    <t>2018-03-01</t>
  </si>
  <si>
    <t>连云港市本级网挂[2018]02号</t>
  </si>
  <si>
    <t>连云港市瑞开房地产开发有限公司</t>
  </si>
  <si>
    <t>3星</t>
  </si>
  <si>
    <t>海州区郁洲南路西、支三路南、香海湖北</t>
  </si>
  <si>
    <t>LTC2018-05号</t>
  </si>
  <si>
    <t>江苏鸿晟贸易有限公司</t>
  </si>
  <si>
    <r>
      <t>高于市场1</t>
    </r>
    <r>
      <rPr>
        <sz val="11"/>
        <color theme="1"/>
        <rFont val="宋体"/>
        <family val="3"/>
        <charset val="134"/>
        <scheme val="minor"/>
      </rPr>
      <t>0%-30%</t>
    </r>
    <phoneticPr fontId="224" type="noConversion"/>
  </si>
  <si>
    <t>商业</t>
    <phoneticPr fontId="26" type="noConversion"/>
  </si>
  <si>
    <t>估价对象周边道路状况一般、公共交通通达情况较差，有5、122路经过、停车便捷程度，综合评价交通便捷度一般</t>
    <phoneticPr fontId="3" type="noConversion"/>
  </si>
  <si>
    <t>估价对象所在区域公共配套设施齐备情况较差</t>
    <phoneticPr fontId="3" type="noConversion"/>
  </si>
  <si>
    <t>六通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</si>
  <si>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3" type="noConversion"/>
  </si>
  <si>
    <t>一般</t>
  </si>
  <si>
    <t>规则</t>
    <phoneticPr fontId="3" type="noConversion"/>
  </si>
  <si>
    <t>较规则</t>
    <phoneticPr fontId="3" type="noConversion"/>
  </si>
  <si>
    <t>较不规则</t>
    <phoneticPr fontId="3" type="noConversion"/>
  </si>
  <si>
    <t>不规则</t>
    <phoneticPr fontId="3" type="noConversion"/>
  </si>
  <si>
    <t>较好</t>
  </si>
  <si>
    <t>连云港海州区锦屏山东南侧4号地</t>
    <phoneticPr fontId="3" type="noConversion"/>
  </si>
  <si>
    <t>土地（套用方法）</t>
  </si>
  <si>
    <t>押一</t>
  </si>
  <si>
    <t>钢混</t>
  </si>
  <si>
    <t>比较法-住宅、综合</t>
  </si>
  <si>
    <t>剩余法-待开发</t>
  </si>
  <si>
    <t>楼面地价</t>
  </si>
  <si>
    <t>项目全部</t>
  </si>
  <si>
    <t>土地</t>
  </si>
  <si>
    <t>利息：取LPR加浮动点数</t>
  </si>
  <si>
    <t>商服</t>
  </si>
  <si>
    <t>商服</t>
    <phoneticPr fontId="26" type="noConversion"/>
  </si>
  <si>
    <t>正常</t>
  </si>
  <si>
    <t>估价对象周边商业氛围成熟度较差，人流量较少，住宅底商为主，商业繁华度较差</t>
    <phoneticPr fontId="3" type="noConversion"/>
  </si>
  <si>
    <t>较差</t>
  </si>
  <si>
    <t>六通</t>
  </si>
  <si>
    <t>区域自然环境：；人文环境；综合评价环境状况较好</t>
    <phoneticPr fontId="3" type="noConversion"/>
  </si>
  <si>
    <t>商务楼</t>
  </si>
  <si>
    <t>商务楼</t>
    <phoneticPr fontId="26" type="noConversion"/>
  </si>
  <si>
    <t>钢混</t>
    <phoneticPr fontId="26" type="noConversion"/>
  </si>
  <si>
    <t>精装修</t>
  </si>
  <si>
    <t>精装修</t>
    <phoneticPr fontId="26" type="noConversion"/>
  </si>
  <si>
    <t>六通</t>
    <phoneticPr fontId="26" type="noConversion"/>
  </si>
  <si>
    <t>标准</t>
  </si>
  <si>
    <t>标准</t>
    <phoneticPr fontId="26" type="noConversion"/>
  </si>
  <si>
    <t>普通装修</t>
  </si>
  <si>
    <t>普通装修</t>
    <phoneticPr fontId="26" type="noConversion"/>
  </si>
  <si>
    <t>毛坯</t>
  </si>
  <si>
    <t>毛坯</t>
    <phoneticPr fontId="26" type="noConversion"/>
  </si>
  <si>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</si>
  <si>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</si>
  <si>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</si>
  <si>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</si>
  <si>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</si>
  <si>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</si>
  <si>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</si>
  <si>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</si>
  <si>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</si>
  <si>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</si>
  <si>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</si>
  <si>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</si>
  <si>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五通</t>
  </si>
  <si>
    <t>四通</t>
  </si>
  <si>
    <t>三通</t>
  </si>
  <si>
    <t>王鹏</t>
  </si>
  <si>
    <t>郑燚</t>
  </si>
  <si>
    <t>抵押价格</t>
  </si>
  <si>
    <t>省份</t>
  </si>
  <si>
    <t>集中供地</t>
  </si>
  <si>
    <t>商业比例(%)</t>
  </si>
  <si>
    <t>限制高度</t>
  </si>
  <si>
    <t>推出特殊政策</t>
  </si>
  <si>
    <t>成交特殊政策</t>
  </si>
  <si>
    <t>特殊用地类型</t>
  </si>
  <si>
    <t>特殊住房类型</t>
  </si>
  <si>
    <t>推出保障房面积(㎡)</t>
  </si>
  <si>
    <t>成交保障房面积(㎡)</t>
  </si>
  <si>
    <t>推出自住房面积(㎡)</t>
  </si>
  <si>
    <t>成交自住房面积(㎡)</t>
  </si>
  <si>
    <t>成交状态</t>
  </si>
  <si>
    <t>拿地企业</t>
  </si>
  <si>
    <t>企业性质</t>
  </si>
  <si>
    <t>保证金截止时间</t>
  </si>
  <si>
    <t>溢价率(%)</t>
  </si>
  <si>
    <t>出让年限(年)</t>
  </si>
  <si>
    <t>限地价(万元)</t>
  </si>
  <si>
    <t>触达限地价</t>
  </si>
  <si>
    <t>限售价(均价)(元/㎡)</t>
  </si>
  <si>
    <t>楼面价上限(元/㎡)</t>
  </si>
  <si>
    <t>溢价率上限(%)</t>
  </si>
  <si>
    <t>房地价差(元/㎡)</t>
  </si>
  <si>
    <t>LTC2023-01#</t>
  </si>
  <si>
    <t xml:space="preserve"> 江苏省</t>
  </si>
  <si>
    <t xml:space="preserve"> 海州区</t>
  </si>
  <si>
    <t xml:space="preserve"> 海州经济开发区</t>
    <phoneticPr fontId="224" type="noConversion"/>
  </si>
  <si>
    <t xml:space="preserve"> 商业/办公用地</t>
  </si>
  <si>
    <t xml:space="preserve"> ≥1,≤1.5</t>
  </si>
  <si>
    <t xml:space="preserve"> 挂牌</t>
  </si>
  <si>
    <t xml:space="preserve"> 零售商业用地</t>
  </si>
  <si>
    <t xml:space="preserve">-- </t>
  </si>
  <si>
    <t xml:space="preserve"> -- </t>
  </si>
  <si>
    <t xml:space="preserve"> ≤35%</t>
  </si>
  <si>
    <t xml:space="preserve"> ≤50</t>
  </si>
  <si>
    <t xml:space="preserve"> --</t>
  </si>
  <si>
    <t xml:space="preserve"> 连云港市本级网挂[2023]01号</t>
  </si>
  <si>
    <t xml:space="preserve"> 已成交</t>
  </si>
  <si>
    <t xml:space="preserve"> 连云港香海湖城市发展有限公司  </t>
  </si>
  <si>
    <t>2023-03-01 17:00</t>
  </si>
  <si>
    <t xml:space="preserve"> 40年</t>
  </si>
  <si>
    <t>LTC2023-02#</t>
  </si>
  <si>
    <t xml:space="preserve"> 浦南镇</t>
    <phoneticPr fontId="224" type="noConversion"/>
  </si>
  <si>
    <t xml:space="preserve"> ≤2</t>
  </si>
  <si>
    <t xml:space="preserve"> ≤50%</t>
  </si>
  <si>
    <t xml:space="preserve"> 连云港扬天投资有限公司  </t>
  </si>
  <si>
    <t xml:space="preserve"> 海州区青圃路南、支一路西</t>
    <phoneticPr fontId="224" type="noConversion"/>
  </si>
  <si>
    <t xml:space="preserve"> 海州区长江路北、道浦路东</t>
    <phoneticPr fontId="224" type="noConversion"/>
  </si>
  <si>
    <r>
      <t xml:space="preserve"> </t>
    </r>
    <r>
      <rPr>
        <sz val="11"/>
        <color theme="9" tint="-0.249977111117893"/>
        <rFont val="宋体"/>
        <family val="3"/>
        <charset val="134"/>
      </rPr>
      <t>海州区青圃路南、支一路西</t>
    </r>
    <phoneticPr fontId="26" type="noConversion"/>
  </si>
  <si>
    <r>
      <t xml:space="preserve"> </t>
    </r>
    <r>
      <rPr>
        <sz val="11"/>
        <color theme="9" tint="-0.249977111117893"/>
        <rFont val="宋体"/>
        <family val="3"/>
        <charset val="134"/>
      </rPr>
      <t>海州区长江路北、道浦路东</t>
    </r>
    <phoneticPr fontId="26" type="noConversion"/>
  </si>
  <si>
    <t>融信华阳学院府</t>
    <phoneticPr fontId="3" type="noConversion"/>
  </si>
  <si>
    <t>东方领秀</t>
    <phoneticPr fontId="3" type="noConversion"/>
  </si>
  <si>
    <t>祥生·苍梧春晓苑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</si>
</sst>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72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184" fontId="74" fillId="0" borderId="2" xfId="0" applyNumberFormat="1" applyFont="1" applyBorder="1" applyAlignment="1" applyProtection="1">
      <alignment horizontal="center" vertical="center" shrinkToFit="1"/>
      <protection locked="0"/>
    </xf>
    <xf numFmtId="9" fontId="11" fillId="0" borderId="2" xfId="0" applyNumberFormat="1" applyFont="1" applyBorder="1" applyAlignment="1" applyProtection="1">
      <alignment horizontal="center" vertical="center" wrapText="1"/>
      <protection locked="0"/>
    </xf>
    <xf numFmtId="2" fontId="159" fillId="0" borderId="2" xfId="1" applyNumberFormat="1" applyFont="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protection locked="0"/>
    </xf>
    <xf numFmtId="0" fontId="141" fillId="0" borderId="0" xfId="1" applyAlignment="1"/>
    <xf numFmtId="0" fontId="141" fillId="0" borderId="0" xfId="1">
      <alignment vertical="center"/>
    </xf>
    <xf numFmtId="0" fontId="123" fillId="0" borderId="0" xfId="1" applyFont="1" applyAlignment="1"/>
    <xf numFmtId="1" fontId="141" fillId="0" borderId="0" xfId="1" applyNumberFormat="1">
      <alignment vertical="center"/>
    </xf>
    <xf numFmtId="0" fontId="67" fillId="5" borderId="42" xfId="0" applyFont="1" applyFill="1" applyBorder="1" applyAlignment="1" applyProtection="1">
      <alignment horizontal="center" vertical="center" wrapText="1"/>
      <protection locked="0"/>
    </xf>
    <xf numFmtId="0" fontId="88" fillId="0" borderId="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74" xfId="0" applyFont="1" applyBorder="1" applyAlignment="1" applyProtection="1">
      <alignment horizontal="center" vertical="center" wrapText="1"/>
      <protection locked="0"/>
    </xf>
    <xf numFmtId="2" fontId="67" fillId="0" borderId="0" xfId="0" applyNumberFormat="1" applyFont="1" applyProtection="1">
      <alignment vertical="center"/>
      <protection locked="0"/>
    </xf>
    <xf numFmtId="0" fontId="140" fillId="0" borderId="7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0" fillId="6" borderId="0" xfId="0" applyFill="1" applyAlignment="1"/>
    <xf numFmtId="14" fontId="0" fillId="6" borderId="0" xfId="0" applyNumberFormat="1" applyFill="1" applyAlignment="1"/>
    <xf numFmtId="0" fontId="141" fillId="6" borderId="0" xfId="0" applyFont="1" applyFill="1" applyAlignment="1"/>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54&#36830;&#20113;&#28207;4&#21495;&#21830;&#19994;&#22320;&#22359;/P01/&#26368;&#32456;/&#23545;&#20844;&#20107;&#19994;&#37096;&#8212;&#30005;&#31639;&#34920;-&#28023;&#24030;&#38182;&#23631;&#23665;4&#21495;&#223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不动产收益法车</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20">
          <cell r="C20"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43">
          <cell r="C43">
            <v>6591</v>
          </cell>
        </row>
      </sheetData>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江苏省连云港海州区锦屏山东南侧4号地出让国有建设用地使用权抵押价格预评估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王鹏、郑燚</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受贵公司委托，我公司对江苏省连云港海州区锦屏山东南侧4号地出让国有建设用地使用权抵押价格进行了预评估。</v>
      </c>
      <c r="AM6" s="2202"/>
    </row>
    <row r="7" spans="1:55">
      <c r="A7" s="2182" t="s">
        <v>1939</v>
      </c>
      <c r="B7" s="2183" t="str">
        <f>'预评函-1'!A6</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2023年5月11日（评估专业人员勘察现场之日）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根据《国有土地使用证》[]，估价对象（分摊）出让国有建设用地使用权面积为86493.04平方米。根据《建设工程规划许可证》[]、《出让合同》[]，估价对象规划建筑面积为302725.5平方米。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估价期日：2023年5月11日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86493.04</v>
      </c>
    </row>
    <row r="44" spans="1:2">
      <c r="A44" s="2182" t="s">
        <v>2022</v>
      </c>
      <c r="B44" s="2183" t="str">
        <f>'预评函-2'!O3</f>
        <v>规划建筑面积/㎡</v>
      </c>
    </row>
    <row r="45" spans="1:2">
      <c r="A45" s="2182" t="s">
        <v>2004</v>
      </c>
      <c r="B45" s="2183">
        <f>'预评函-2'!O5</f>
        <v>302725.5</v>
      </c>
    </row>
    <row r="46" spans="1:2">
      <c r="A46" s="2182" t="s">
        <v>2005</v>
      </c>
      <c r="B46" s="2183">
        <f ca="1">'预评函-2'!P5</f>
        <v>5560</v>
      </c>
    </row>
    <row r="47" spans="1:2">
      <c r="A47" s="2182" t="s">
        <v>2006</v>
      </c>
      <c r="B47" s="2183">
        <f ca="1">'预评函-2'!Q5</f>
        <v>1589</v>
      </c>
    </row>
    <row r="48" spans="1:2">
      <c r="A48" s="2182" t="s">
        <v>2007</v>
      </c>
      <c r="B48" s="2183">
        <f ca="1">'预评函-2'!R5</f>
        <v>48091</v>
      </c>
    </row>
    <row r="49" spans="1:2">
      <c r="A49" s="2182" t="s">
        <v>2023</v>
      </c>
      <c r="B49" s="2183" t="str">
        <f>'预评函-2'!A6</f>
        <v>抵押价格</v>
      </c>
    </row>
    <row r="50" spans="1:2">
      <c r="A50" s="2182" t="s">
        <v>2008</v>
      </c>
      <c r="B50" s="2183">
        <f ca="1">'预评函-2'!R6</f>
        <v>48091</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王鹏</v>
      </c>
    </row>
    <row r="70" spans="1:2">
      <c r="A70" s="2182" t="s">
        <v>1972</v>
      </c>
      <c r="B70" s="2183">
        <f ca="1">'预评函-3'!B20</f>
        <v>2002110030</v>
      </c>
    </row>
    <row r="71" spans="1:2">
      <c r="A71" s="2182" t="s">
        <v>1973</v>
      </c>
      <c r="B71" s="2183" t="str">
        <f>'预评函-3'!A21</f>
        <v>郑燚</v>
      </c>
    </row>
    <row r="72" spans="1:2" s="2193" customFormat="1" ht="15" thickBot="1">
      <c r="A72" s="2199" t="s">
        <v>1973</v>
      </c>
      <c r="B72" s="2200">
        <f ca="1">'预评函-3'!B21</f>
        <v>2014110011</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2696"/>
  </cols>
  <sheetData>
    <row r="1" spans="1:6">
      <c r="A1" s="3032" t="s">
        <v>2671</v>
      </c>
      <c r="B1" s="3033"/>
      <c r="C1" s="3033"/>
      <c r="D1" s="3033"/>
      <c r="E1" s="3033"/>
      <c r="F1" s="3034"/>
    </row>
    <row r="2" spans="1:6">
      <c r="A2" s="3035"/>
      <c r="B2" s="3036"/>
      <c r="C2" s="3036"/>
      <c r="D2" s="3036"/>
      <c r="E2" s="3036"/>
      <c r="F2" s="3037"/>
    </row>
    <row r="3" spans="1:6">
      <c r="A3" s="2989" t="s">
        <v>2672</v>
      </c>
      <c r="B3" s="3038">
        <f>项目基本情况!D3</f>
        <v>45057</v>
      </c>
      <c r="C3" s="3039"/>
      <c r="D3" s="3039"/>
      <c r="E3" s="3039"/>
      <c r="F3" s="3037"/>
    </row>
    <row r="4" spans="1:6">
      <c r="A4" s="2989" t="s">
        <v>2673</v>
      </c>
      <c r="B4" s="3040" t="s">
        <v>2674</v>
      </c>
      <c r="C4" s="3040" t="s">
        <v>2675</v>
      </c>
      <c r="D4" s="3040" t="s">
        <v>2676</v>
      </c>
      <c r="E4" s="3040" t="s">
        <v>2677</v>
      </c>
      <c r="F4" s="3037"/>
    </row>
    <row r="5" spans="1:6">
      <c r="A5" s="3041"/>
      <c r="B5" s="3038"/>
      <c r="C5" s="3040">
        <f>ROUNDDOWN(MIN((B5-B3)/365,A5),2)</f>
        <v>-123.44</v>
      </c>
      <c r="D5" s="3042">
        <f>IF(ISERROR(ROUND(POWER(1+E5,A5-C5)*(POWER(1+E5,C5)-1)/(POWER(1+E5,A5)-1),3)),0,ROUND(POWER(1+E5,A5-C5)*(POWER(1+E5,C5)-1)/(POWER(1+E5,A5)-1),4))</f>
        <v>0</v>
      </c>
      <c r="E5" s="3043"/>
      <c r="F5" s="3037"/>
    </row>
    <row r="6" spans="1:6">
      <c r="A6" s="3041"/>
      <c r="B6" s="3038"/>
      <c r="C6" s="3040">
        <f>ROUNDDOWN(MIN((B6-B3)/365,A6),2)</f>
        <v>-123.44</v>
      </c>
      <c r="D6" s="3042">
        <f>IF(ISERROR(ROUND(POWER(1+E6,A6-C6)*(POWER(1+E6,C6)-1)/(POWER(1+E6,A6)-1),3)),0,ROUND(POWER(1+E6,A6-C6)*(POWER(1+E6,C6)-1)/(POWER(1+E6,A6)-1),4))</f>
        <v>0</v>
      </c>
      <c r="E6" s="3043"/>
      <c r="F6" s="3037"/>
    </row>
    <row r="7" spans="1:6">
      <c r="A7" s="3041"/>
      <c r="B7" s="3038"/>
      <c r="C7" s="3040">
        <f>ROUNDDOWN(MIN((B7-B3)/365,A7),2)</f>
        <v>-123.44</v>
      </c>
      <c r="D7" s="3042">
        <f>IF(ISERROR(ROUND(POWER(1+E7,A7-C7)*(POWER(1+E7,C7)-1)/(POWER(1+E7,A7)-1),3)),0,ROUND(POWER(1+E7,A7-C7)*(POWER(1+E7,C7)-1)/(POWER(1+E7,A7)-1),4))</f>
        <v>0</v>
      </c>
      <c r="E7" s="3043"/>
      <c r="F7" s="3037"/>
    </row>
    <row r="8" spans="1:6">
      <c r="A8" s="3035"/>
      <c r="B8" s="3036"/>
      <c r="C8" s="3036"/>
      <c r="D8" s="3036"/>
      <c r="E8" s="3036"/>
      <c r="F8" s="3037"/>
    </row>
    <row r="9" spans="1:6">
      <c r="A9" s="2989" t="s">
        <v>2678</v>
      </c>
      <c r="B9" s="3040"/>
      <c r="C9" s="3040"/>
      <c r="D9" s="3040"/>
      <c r="E9" s="3040"/>
      <c r="F9" s="3044"/>
    </row>
    <row r="10" spans="1:6">
      <c r="A10" s="2989" t="s">
        <v>2679</v>
      </c>
      <c r="B10" s="3040"/>
      <c r="C10" s="3040"/>
      <c r="D10" s="3040" t="s">
        <v>2677</v>
      </c>
      <c r="E10" s="3040"/>
      <c r="F10" s="3044" t="s">
        <v>2676</v>
      </c>
    </row>
    <row r="11" spans="1:6">
      <c r="A11" s="2989" t="s">
        <v>2680</v>
      </c>
      <c r="B11" s="3045"/>
      <c r="C11" s="3040" t="s">
        <v>2681</v>
      </c>
      <c r="D11" s="3045"/>
      <c r="E11" s="3040" t="s">
        <v>2682</v>
      </c>
      <c r="F11" s="3046">
        <f>ROUND(1-(1/(POWER(1+D11,B11))),4)</f>
        <v>0</v>
      </c>
    </row>
    <row r="12" spans="1:6">
      <c r="A12" s="2989" t="s">
        <v>2683</v>
      </c>
      <c r="B12" s="3045"/>
      <c r="C12" s="3040" t="s">
        <v>2684</v>
      </c>
      <c r="D12" s="3045"/>
      <c r="E12" s="3040" t="s">
        <v>2685</v>
      </c>
      <c r="F12" s="3046">
        <f>ROUND(1-(1/(POWER(1+D12,B12))),4)</f>
        <v>0</v>
      </c>
    </row>
    <row r="13" spans="1:6">
      <c r="A13" s="2989" t="s">
        <v>2686</v>
      </c>
      <c r="B13" s="3040"/>
      <c r="C13" s="3039"/>
      <c r="D13" s="3036"/>
      <c r="E13" s="3036"/>
      <c r="F13" s="3037"/>
    </row>
    <row r="14" spans="1:6">
      <c r="A14" s="2989" t="s">
        <v>2687</v>
      </c>
      <c r="B14" s="3045"/>
      <c r="C14" s="3039"/>
      <c r="D14" s="3036"/>
      <c r="E14" s="3036"/>
      <c r="F14" s="3037"/>
    </row>
    <row r="15" spans="1:6">
      <c r="A15" s="2989" t="s">
        <v>2688</v>
      </c>
      <c r="B15" s="3040" t="e">
        <f>ROUND(B14*F12/F11,2)</f>
        <v>#DIV/0!</v>
      </c>
      <c r="C15" s="3040" t="e">
        <f>ROUND(F12/F11,4)</f>
        <v>#DIV/0!</v>
      </c>
      <c r="D15" s="3036"/>
      <c r="E15" s="3036"/>
      <c r="F15" s="3037"/>
    </row>
    <row r="16" spans="1:6">
      <c r="A16" s="2989" t="s">
        <v>2689</v>
      </c>
      <c r="B16" s="3040"/>
      <c r="C16" s="3039"/>
      <c r="D16" s="3036"/>
      <c r="E16" s="3036"/>
      <c r="F16" s="3037"/>
    </row>
    <row r="17" spans="1:7">
      <c r="A17" s="2989" t="s">
        <v>2688</v>
      </c>
      <c r="B17" s="3045"/>
      <c r="C17" s="3039"/>
      <c r="D17" s="3036"/>
      <c r="E17" s="3036"/>
      <c r="F17" s="3037"/>
    </row>
    <row r="18" spans="1:7" ht="14.25" thickBot="1">
      <c r="A18" s="3047" t="s">
        <v>2687</v>
      </c>
      <c r="B18" s="3048" t="e">
        <f>ROUND(B17*F11/F12,2)</f>
        <v>#DIV/0!</v>
      </c>
      <c r="C18" s="3048" t="e">
        <f>ROUND(F11/F12,4)</f>
        <v>#DIV/0!</v>
      </c>
      <c r="D18" s="3049"/>
      <c r="E18" s="3049"/>
      <c r="F18" s="3050"/>
    </row>
    <row r="19" spans="1:7" ht="14.25" thickBot="1"/>
    <row r="20" spans="1:7">
      <c r="A20" s="3051" t="s">
        <v>2690</v>
      </c>
      <c r="B20" s="3052"/>
      <c r="C20" s="3052"/>
      <c r="D20" s="3052"/>
      <c r="E20" s="3052"/>
      <c r="F20" s="3052"/>
      <c r="G20" s="3053"/>
    </row>
    <row r="21" spans="1:7">
      <c r="A21" s="3054"/>
      <c r="B21" s="3055" t="s">
        <v>2691</v>
      </c>
      <c r="C21" s="3055" t="s">
        <v>2692</v>
      </c>
      <c r="D21" s="3055" t="s">
        <v>2693</v>
      </c>
      <c r="E21" s="3055" t="s">
        <v>2694</v>
      </c>
      <c r="F21" s="3055" t="s">
        <v>2695</v>
      </c>
      <c r="G21" s="3056" t="s">
        <v>2696</v>
      </c>
    </row>
    <row r="22" spans="1:7">
      <c r="A22" s="3054" t="s">
        <v>2697</v>
      </c>
      <c r="B22" s="3057">
        <v>50</v>
      </c>
      <c r="C22" s="3057">
        <v>32</v>
      </c>
      <c r="D22" s="3058">
        <v>0.05</v>
      </c>
      <c r="E22" s="3055">
        <f>ROUND(POWER(1+D22,B22-C22)*(POWER(1+D22,C22)-1)/(POWER(1+D22,B22)-1),3)</f>
        <v>0.86599999999999999</v>
      </c>
      <c r="F22" s="3058">
        <v>0.6</v>
      </c>
      <c r="G22" s="3056">
        <f>ROUND(100*(1-(1-E22)*F22),1)</f>
        <v>92</v>
      </c>
    </row>
    <row r="23" spans="1:7">
      <c r="A23" s="3059" t="s">
        <v>2698</v>
      </c>
      <c r="B23" s="3057">
        <v>50</v>
      </c>
      <c r="C23" s="3057">
        <v>35</v>
      </c>
      <c r="D23" s="3058">
        <v>0.05</v>
      </c>
      <c r="E23" s="3055">
        <f>ROUND(POWER(1+D23,B23-C23)*(POWER(1+D23,C23)-1)/(POWER(1+D23,B23)-1),3)</f>
        <v>0.89700000000000002</v>
      </c>
      <c r="F23" s="3058">
        <f>F22</f>
        <v>0.6</v>
      </c>
      <c r="G23" s="3056">
        <f>ROUND(100*(1-(1-E23)*F23),1)</f>
        <v>93.8</v>
      </c>
    </row>
    <row r="24" spans="1:7">
      <c r="A24" s="3059" t="s">
        <v>2699</v>
      </c>
      <c r="B24" s="3057">
        <v>50</v>
      </c>
      <c r="C24" s="3057">
        <v>25</v>
      </c>
      <c r="D24" s="3058">
        <v>0.05</v>
      </c>
      <c r="E24" s="3055">
        <f>ROUND(POWER(1+D24,B24-C24)*(POWER(1+D24,C24)-1)/(POWER(1+D24,B24)-1),3)</f>
        <v>0.77200000000000002</v>
      </c>
      <c r="F24" s="3058">
        <f>F23</f>
        <v>0.6</v>
      </c>
      <c r="G24" s="3056">
        <f>ROUND(100*(1-(1-E24)*F24),1)</f>
        <v>86.3</v>
      </c>
    </row>
    <row r="25" spans="1:7">
      <c r="A25" s="3059" t="s">
        <v>2700</v>
      </c>
      <c r="B25" s="3057">
        <v>50</v>
      </c>
      <c r="C25" s="3057">
        <v>40</v>
      </c>
      <c r="D25" s="3058">
        <v>0.05</v>
      </c>
      <c r="E25" s="3055">
        <f>ROUND(POWER(1+D25,B25-C25)*(POWER(1+D25,C25)-1)/(POWER(1+D25,B25)-1),3)</f>
        <v>0.94</v>
      </c>
      <c r="F25" s="3058">
        <f>F24</f>
        <v>0.6</v>
      </c>
      <c r="G25" s="3056">
        <f>ROUND(100*(1-(1-E25)*F25),1)</f>
        <v>96.4</v>
      </c>
    </row>
    <row r="26" spans="1:7">
      <c r="A26" s="3060"/>
      <c r="B26" s="3061"/>
      <c r="C26" s="3061"/>
      <c r="D26" s="3061"/>
      <c r="E26" s="3061"/>
      <c r="F26" s="3061"/>
      <c r="G26" s="3062"/>
    </row>
    <row r="27" spans="1:7">
      <c r="A27" s="3063" t="s">
        <v>2701</v>
      </c>
      <c r="B27" s="3064"/>
      <c r="C27" s="3064"/>
      <c r="D27" s="3064"/>
      <c r="E27" s="3064"/>
      <c r="F27" s="3064"/>
      <c r="G27" s="3065"/>
    </row>
    <row r="28" spans="1:7">
      <c r="A28" s="3063" t="s">
        <v>2702</v>
      </c>
      <c r="B28" s="3064"/>
      <c r="C28" s="3064"/>
      <c r="D28" s="3064"/>
      <c r="E28" s="3064"/>
      <c r="F28" s="3064"/>
      <c r="G28" s="3065"/>
    </row>
    <row r="29" spans="1:7">
      <c r="A29" s="3063" t="s">
        <v>2703</v>
      </c>
      <c r="B29" s="3064"/>
      <c r="C29" s="3064"/>
      <c r="D29" s="3064"/>
      <c r="E29" s="3064"/>
      <c r="F29" s="3064"/>
      <c r="G29" s="3065"/>
    </row>
    <row r="30" spans="1:7">
      <c r="A30" s="3063" t="s">
        <v>2704</v>
      </c>
      <c r="B30" s="3064"/>
      <c r="C30" s="3064"/>
      <c r="D30" s="3064"/>
      <c r="E30" s="3064"/>
      <c r="F30" s="3064"/>
      <c r="G30" s="3065"/>
    </row>
    <row r="31" spans="1:7">
      <c r="A31" s="3063" t="s">
        <v>2705</v>
      </c>
      <c r="B31" s="3064"/>
      <c r="C31" s="3064"/>
      <c r="D31" s="3064"/>
      <c r="E31" s="3064"/>
      <c r="F31" s="3064"/>
      <c r="G31" s="3065"/>
    </row>
    <row r="32" spans="1:7">
      <c r="A32" s="3063" t="s">
        <v>2706</v>
      </c>
      <c r="B32" s="3064"/>
      <c r="C32" s="3064"/>
      <c r="D32" s="3064"/>
      <c r="E32" s="3064"/>
      <c r="F32" s="3064"/>
      <c r="G32" s="3065"/>
    </row>
    <row r="33" spans="1:7">
      <c r="A33" s="3063" t="s">
        <v>2707</v>
      </c>
      <c r="B33" s="3064"/>
      <c r="C33" s="3064"/>
      <c r="D33" s="3064"/>
      <c r="E33" s="3064"/>
      <c r="F33" s="3064"/>
      <c r="G33" s="3065"/>
    </row>
    <row r="34" spans="1:7">
      <c r="A34" s="3063" t="s">
        <v>2708</v>
      </c>
      <c r="B34" s="3064"/>
      <c r="C34" s="3064"/>
      <c r="D34" s="3064"/>
      <c r="E34" s="3064"/>
      <c r="F34" s="3064"/>
      <c r="G34" s="3065"/>
    </row>
    <row r="35" spans="1:7">
      <c r="A35" s="3063" t="s">
        <v>2709</v>
      </c>
      <c r="B35" s="3064"/>
      <c r="C35" s="3064"/>
      <c r="D35" s="3064"/>
      <c r="E35" s="3064"/>
      <c r="F35" s="3064"/>
      <c r="G35" s="3065"/>
    </row>
    <row r="36" spans="1:7">
      <c r="A36" s="3063" t="s">
        <v>2710</v>
      </c>
      <c r="B36" s="3064"/>
      <c r="C36" s="3064"/>
      <c r="D36" s="3064"/>
      <c r="E36" s="3064"/>
      <c r="F36" s="3064"/>
      <c r="G36" s="3065"/>
    </row>
    <row r="37" spans="1:7">
      <c r="A37" s="3063" t="s">
        <v>2711</v>
      </c>
      <c r="B37" s="3064"/>
      <c r="C37" s="3064"/>
      <c r="D37" s="3064"/>
      <c r="E37" s="3064"/>
      <c r="F37" s="3064"/>
      <c r="G37" s="3065"/>
    </row>
    <row r="38" spans="1:7">
      <c r="A38" s="3063" t="s">
        <v>2712</v>
      </c>
      <c r="B38" s="3064"/>
      <c r="C38" s="3064"/>
      <c r="D38" s="3064"/>
      <c r="E38" s="3064"/>
      <c r="F38" s="3064"/>
      <c r="G38" s="3065"/>
    </row>
    <row r="39" spans="1:7">
      <c r="A39" s="3063"/>
      <c r="B39" s="3064"/>
      <c r="C39" s="3064"/>
      <c r="D39" s="3064"/>
      <c r="E39" s="3064"/>
      <c r="F39" s="3064"/>
      <c r="G39" s="3065"/>
    </row>
    <row r="40" spans="1:7">
      <c r="A40" s="3066" t="s">
        <v>2713</v>
      </c>
      <c r="B40" s="3067"/>
      <c r="C40" s="3067"/>
      <c r="D40" s="3067"/>
      <c r="E40" s="3067"/>
      <c r="F40" s="3067"/>
      <c r="G40" s="3068"/>
    </row>
    <row r="41" spans="1:7">
      <c r="A41" s="3069" t="s">
        <v>2714</v>
      </c>
      <c r="B41" s="3070" t="s">
        <v>2715</v>
      </c>
      <c r="C41" s="3071" t="s">
        <v>2716</v>
      </c>
      <c r="D41" s="3071" t="s">
        <v>2717</v>
      </c>
      <c r="E41" s="3072"/>
      <c r="F41" s="3073"/>
      <c r="G41" s="3074"/>
    </row>
    <row r="42" spans="1:7">
      <c r="A42" s="3069" t="s">
        <v>2718</v>
      </c>
      <c r="B42" s="3070" t="s">
        <v>2719</v>
      </c>
      <c r="C42" s="3071" t="s">
        <v>2719</v>
      </c>
      <c r="D42" s="3075" t="s">
        <v>2720</v>
      </c>
      <c r="E42" s="3067" t="s">
        <v>2721</v>
      </c>
      <c r="F42" s="3067"/>
      <c r="G42" s="3068"/>
    </row>
    <row r="43" spans="1:7">
      <c r="A43" s="3069" t="s">
        <v>2722</v>
      </c>
      <c r="B43" s="3070" t="s">
        <v>2723</v>
      </c>
      <c r="C43" s="3071" t="s">
        <v>2724</v>
      </c>
      <c r="D43" s="3071" t="s">
        <v>2725</v>
      </c>
      <c r="E43" s="3072" t="s">
        <v>2726</v>
      </c>
      <c r="F43" s="3073"/>
      <c r="G43" s="3074"/>
    </row>
    <row r="44" spans="1:7">
      <c r="A44" s="3069" t="s">
        <v>2727</v>
      </c>
      <c r="B44" s="3070" t="s">
        <v>2728</v>
      </c>
      <c r="C44" s="3071" t="s">
        <v>2729</v>
      </c>
      <c r="D44" s="3075">
        <v>0.5</v>
      </c>
      <c r="E44" s="3072" t="s">
        <v>2730</v>
      </c>
      <c r="F44" s="3073"/>
      <c r="G44" s="3074"/>
    </row>
    <row r="45" spans="1:7" ht="14.25" thickBot="1">
      <c r="A45" s="3076" t="s">
        <v>2731</v>
      </c>
      <c r="B45" s="3077" t="s">
        <v>2719</v>
      </c>
      <c r="C45" s="3078" t="s">
        <v>2719</v>
      </c>
      <c r="D45" s="3078" t="s">
        <v>2732</v>
      </c>
      <c r="E45" s="3079" t="s">
        <v>2733</v>
      </c>
      <c r="F45" s="3079"/>
      <c r="G45" s="308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B4" sqref="B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41" t="str">
        <f>IF(B10="北京市","北京市",C10)&amp;F10&amp;A17&amp;"国有建设用地使用权"&amp;B9&amp;"预评估"</f>
        <v>江苏省连云港海州区锦屏山东南侧4号地出让国有建设用地使用权抵押价格预评估</v>
      </c>
      <c r="C1" s="3442"/>
      <c r="D1" s="3442"/>
      <c r="E1" s="3442"/>
      <c r="F1" s="3442"/>
      <c r="G1" s="3442"/>
      <c r="H1" s="3442"/>
      <c r="I1" s="3443"/>
      <c r="J1" s="2603"/>
      <c r="K1" s="1971" t="str">
        <f>IF(B10="北京市","北京市",C10)&amp;F10&amp;A17&amp;"国有建设用地使用权"&amp;B9</f>
        <v>江苏省连云港海州区锦屏山东南侧4号地出让国有建设用地使用权抵押价格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江苏省连云港海州区锦屏山东南侧4号地出让国有建设用地使用权</v>
      </c>
      <c r="L2" s="2583"/>
      <c r="M2" s="2583"/>
      <c r="N2" s="2584"/>
      <c r="O2" s="2585"/>
      <c r="P2" s="2584"/>
      <c r="Q2" s="2584"/>
      <c r="R2" s="2584"/>
      <c r="S2" s="2584"/>
      <c r="T2" s="2584"/>
      <c r="U2" s="2584"/>
    </row>
    <row r="3" spans="1:21">
      <c r="A3" s="1378" t="s">
        <v>1459</v>
      </c>
      <c r="B3" s="1379">
        <v>45057</v>
      </c>
      <c r="C3" s="2532" t="s">
        <v>1513</v>
      </c>
      <c r="D3" s="1379">
        <f>B3</f>
        <v>45057</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3390</v>
      </c>
      <c r="C4" s="1534">
        <f ca="1">SUMIF(土地估价师,B4,估价师及机构信息!E3:E17)</f>
        <v>2002110030</v>
      </c>
      <c r="D4" s="1531" t="s">
        <v>3391</v>
      </c>
      <c r="E4" s="1534">
        <f ca="1">SUMIF(土地估价师,D4,估价师及机构信息!E3:E17)</f>
        <v>2014110011</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王鹏、郑燚</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3215</v>
      </c>
      <c r="C8" s="1388"/>
      <c r="D8" s="3447" t="s">
        <v>1464</v>
      </c>
      <c r="E8" s="1532" t="s">
        <v>3392</v>
      </c>
      <c r="F8" s="1389"/>
      <c r="G8" s="2603"/>
      <c r="H8" s="2603"/>
      <c r="I8" s="2604"/>
      <c r="J8" s="2603"/>
      <c r="K8" s="2587"/>
      <c r="L8" s="2583"/>
      <c r="M8" s="2583"/>
      <c r="N8" s="2584"/>
      <c r="O8" s="2585"/>
      <c r="P8" s="2584"/>
      <c r="Q8" s="2584"/>
      <c r="R8" s="2584"/>
      <c r="S8" s="2584"/>
      <c r="T8" s="2584"/>
      <c r="U8" s="2584"/>
    </row>
    <row r="9" spans="1:21" ht="15" thickBot="1">
      <c r="A9" s="2534" t="s">
        <v>1463</v>
      </c>
      <c r="B9" s="1390" t="s">
        <v>3392</v>
      </c>
      <c r="C9" s="1391"/>
      <c r="D9" s="3448"/>
      <c r="E9" s="1390" t="s">
        <v>877</v>
      </c>
      <c r="F9" s="1447"/>
      <c r="G9" s="2606"/>
      <c r="H9" s="2606"/>
      <c r="I9" s="2607"/>
      <c r="J9" s="2603"/>
      <c r="K9" s="2587"/>
      <c r="L9" s="2583"/>
      <c r="M9" s="2583"/>
      <c r="N9" s="2584"/>
      <c r="O9" s="2585"/>
      <c r="P9" s="2584"/>
      <c r="Q9" s="2584"/>
      <c r="R9" s="2584"/>
      <c r="S9" s="2584"/>
      <c r="T9" s="2584"/>
      <c r="U9" s="2584"/>
    </row>
    <row r="10" spans="1:21" ht="15" thickTop="1">
      <c r="A10" s="2535" t="s">
        <v>1517</v>
      </c>
      <c r="B10" s="1425" t="s">
        <v>3252</v>
      </c>
      <c r="C10" s="1392" t="s">
        <v>3253</v>
      </c>
      <c r="D10" s="1384"/>
      <c r="E10" s="1393" t="s">
        <v>1466</v>
      </c>
      <c r="F10" s="1394" t="s">
        <v>3346</v>
      </c>
      <c r="G10" s="1445"/>
      <c r="H10" s="1446"/>
      <c r="I10" s="1384"/>
      <c r="J10" s="2603"/>
      <c r="K10" s="2587"/>
      <c r="L10" s="2583"/>
      <c r="M10" s="2583"/>
      <c r="N10" s="2584"/>
      <c r="O10" s="2585"/>
      <c r="P10" s="2584"/>
      <c r="Q10" s="2584"/>
      <c r="R10" s="2584"/>
      <c r="S10" s="2584"/>
      <c r="T10" s="2584"/>
      <c r="U10" s="2584"/>
    </row>
    <row r="11" spans="1:21">
      <c r="A11" s="2536" t="s">
        <v>1518</v>
      </c>
      <c r="B11" s="1406"/>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44"/>
      <c r="C12" s="3445"/>
      <c r="D12" s="3446"/>
      <c r="E12" s="1407" t="s">
        <v>1579</v>
      </c>
      <c r="F12" s="3462" t="s">
        <v>2162</v>
      </c>
      <c r="G12" s="3463"/>
      <c r="H12" s="3463"/>
      <c r="I12" s="3464"/>
      <c r="J12" s="2603"/>
      <c r="K12" s="2587"/>
      <c r="L12" s="2583"/>
      <c r="M12" s="2583"/>
      <c r="N12" s="2584"/>
      <c r="O12" s="2585"/>
      <c r="P12" s="2584"/>
      <c r="Q12" s="2584"/>
      <c r="R12" s="2584"/>
      <c r="S12" s="2584"/>
      <c r="T12" s="2584"/>
      <c r="U12" s="2584"/>
    </row>
    <row r="13" spans="1:21">
      <c r="A13" s="1399" t="s">
        <v>1577</v>
      </c>
      <c r="B13" s="3444"/>
      <c r="C13" s="3445"/>
      <c r="D13" s="3446"/>
      <c r="E13" s="1407" t="s">
        <v>1579</v>
      </c>
      <c r="F13" s="3462" t="s">
        <v>2163</v>
      </c>
      <c r="G13" s="3463"/>
      <c r="H13" s="3463"/>
      <c r="I13" s="3464"/>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2735</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2736</v>
      </c>
      <c r="E16" s="1428" t="s">
        <v>1212</v>
      </c>
      <c r="F16" s="1428" t="s">
        <v>2737</v>
      </c>
      <c r="G16" s="1428" t="s">
        <v>2738</v>
      </c>
      <c r="H16" s="1398" t="s">
        <v>776</v>
      </c>
      <c r="I16" s="1398" t="s">
        <v>2735</v>
      </c>
      <c r="J16" s="2603"/>
      <c r="K16" s="1398" t="str">
        <f>IF(D17="","",D16&amp;TEXT(D17,"yyyy年m月d日;;"))</f>
        <v>商业2053年12月2日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2" t="s">
        <v>2739</v>
      </c>
      <c r="B17" s="2538" t="s">
        <v>1473</v>
      </c>
      <c r="C17" s="3081"/>
      <c r="D17" s="3389">
        <v>56220</v>
      </c>
      <c r="E17" s="3081"/>
      <c r="F17" s="3081"/>
      <c r="G17" s="3081"/>
      <c r="H17" s="3081"/>
      <c r="I17" s="3081"/>
      <c r="J17" s="2603"/>
      <c r="K17" s="2582" t="str">
        <f>CONCATENATE(K16,L16,M16,N16,O16,P16,Q16,R16,S16,T16,,U16)</f>
        <v>商业2053年12月2日</v>
      </c>
      <c r="L17" s="2583"/>
      <c r="M17" s="2583"/>
      <c r="N17" s="2584"/>
      <c r="O17" s="2585"/>
      <c r="P17" s="2584"/>
      <c r="Q17" s="2584"/>
      <c r="R17" s="2584"/>
      <c r="S17" s="2584"/>
      <c r="T17" s="2584"/>
      <c r="U17" s="2584"/>
    </row>
    <row r="18" spans="1:21">
      <c r="A18" s="1463"/>
      <c r="B18" s="2538" t="s">
        <v>1474</v>
      </c>
      <c r="C18" s="1396"/>
      <c r="D18" s="1396">
        <v>40</v>
      </c>
      <c r="E18" s="1396"/>
      <c r="F18" s="1396"/>
      <c r="G18" s="1396"/>
      <c r="H18" s="1396"/>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f>IF(A17="出让",IF(D17="","",ROUNDDOWN(MIN((D17-$D$3)/365,D18),2)),D18)</f>
        <v>30.58</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59"/>
      <c r="E20" s="3460"/>
      <c r="F20" s="3460"/>
      <c r="G20" s="3460"/>
      <c r="H20" s="3460"/>
      <c r="I20" s="3461"/>
      <c r="J20" s="2603"/>
      <c r="K20" s="2587"/>
      <c r="L20" s="2583"/>
      <c r="M20" s="2583"/>
      <c r="N20" s="2584"/>
      <c r="O20" s="2585"/>
      <c r="P20" s="2584"/>
      <c r="Q20" s="2584"/>
      <c r="R20" s="2584"/>
      <c r="S20" s="2584"/>
      <c r="T20" s="2584"/>
      <c r="U20" s="2584"/>
    </row>
    <row r="21" spans="1:21">
      <c r="A21" s="1463" t="s">
        <v>1476</v>
      </c>
      <c r="B21" s="1464" t="s">
        <v>1477</v>
      </c>
      <c r="C21" s="1459">
        <f>'数据-汇总表'!E3</f>
        <v>302725.5</v>
      </c>
      <c r="D21" s="1460" t="s">
        <v>1478</v>
      </c>
      <c r="E21" s="3449" t="s">
        <v>1516</v>
      </c>
      <c r="F21" s="3450"/>
      <c r="G21" s="3450"/>
      <c r="H21" s="3450"/>
      <c r="I21" s="3451"/>
      <c r="J21" s="2603"/>
      <c r="K21" s="2587"/>
      <c r="L21" s="2583"/>
      <c r="M21" s="2583"/>
      <c r="N21" s="2584"/>
      <c r="O21" s="2585"/>
      <c r="P21" s="2584"/>
      <c r="Q21" s="2584"/>
      <c r="R21" s="2584"/>
      <c r="S21" s="2584"/>
      <c r="T21" s="2584"/>
      <c r="U21" s="2584"/>
    </row>
    <row r="22" spans="1:21">
      <c r="A22" s="2366" t="s">
        <v>877</v>
      </c>
      <c r="B22" s="1378" t="s">
        <v>1479</v>
      </c>
      <c r="C22" s="1398">
        <f>'数据-汇总表'!D3</f>
        <v>86493.04</v>
      </c>
      <c r="D22" s="1399" t="s">
        <v>1478</v>
      </c>
      <c r="E22" s="3449" t="s">
        <v>2164</v>
      </c>
      <c r="F22" s="3450"/>
      <c r="G22" s="3450"/>
      <c r="H22" s="3450"/>
      <c r="I22" s="3451"/>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52" t="s">
        <v>1484</v>
      </c>
      <c r="C24" s="3453"/>
      <c r="D24" s="3454" t="s">
        <v>1485</v>
      </c>
      <c r="E24" s="3455"/>
      <c r="F24" s="1414" t="s">
        <v>1486</v>
      </c>
      <c r="G24" s="2603"/>
      <c r="H24" s="2603"/>
      <c r="I24" s="2604"/>
      <c r="J24" s="2603"/>
      <c r="K24" s="3440"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40"/>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40"/>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67" t="s">
        <v>1519</v>
      </c>
      <c r="B31" s="1464" t="s">
        <v>1520</v>
      </c>
      <c r="C31" s="3465"/>
      <c r="D31" s="3466"/>
      <c r="E31" s="2603"/>
      <c r="F31" s="2603"/>
      <c r="G31" s="2603"/>
      <c r="H31" s="2603"/>
      <c r="I31" s="2604"/>
      <c r="J31" s="2603"/>
      <c r="K31" s="2590"/>
      <c r="L31" s="2584"/>
      <c r="M31" s="2584"/>
      <c r="N31" s="2584"/>
      <c r="O31" s="2584"/>
      <c r="P31" s="2584"/>
      <c r="Q31" s="2584"/>
      <c r="R31" s="2584"/>
      <c r="S31" s="2584"/>
      <c r="T31" s="2584"/>
      <c r="U31" s="2584"/>
    </row>
    <row r="32" spans="1:21">
      <c r="A32" s="3467"/>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67"/>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68"/>
      <c r="B34" s="1378" t="s">
        <v>1523</v>
      </c>
      <c r="C34" s="3469"/>
      <c r="D34" s="3470"/>
      <c r="E34" s="2603"/>
      <c r="F34" s="2603"/>
      <c r="G34" s="2603"/>
      <c r="H34" s="2603"/>
      <c r="I34" s="2604"/>
      <c r="J34" s="2603"/>
      <c r="K34" s="2590"/>
      <c r="L34" s="2584"/>
      <c r="M34" s="2584"/>
      <c r="N34" s="2584"/>
      <c r="O34" s="2584"/>
      <c r="P34" s="2584"/>
      <c r="Q34" s="2584"/>
      <c r="R34" s="2584"/>
      <c r="S34" s="2584"/>
      <c r="T34" s="2584"/>
      <c r="U34" s="2584"/>
    </row>
    <row r="35" spans="1:28">
      <c r="A35" s="3471" t="s">
        <v>785</v>
      </c>
      <c r="B35" s="1428"/>
      <c r="C35" s="1472" t="str">
        <f>IF(B35="场地平整","——","具体情况：")</f>
        <v>具体情况：</v>
      </c>
      <c r="D35" s="3473"/>
      <c r="E35" s="3474"/>
      <c r="F35" s="3474"/>
      <c r="G35" s="3474"/>
      <c r="H35" s="3474"/>
      <c r="I35" s="3475"/>
      <c r="J35" s="2603"/>
      <c r="K35" s="2591"/>
      <c r="L35" s="2583"/>
      <c r="M35" s="2583"/>
      <c r="N35" s="2584"/>
      <c r="O35" s="2585"/>
      <c r="P35" s="2584"/>
      <c r="Q35" s="2584"/>
      <c r="R35" s="2584"/>
      <c r="S35" s="2584"/>
      <c r="T35" s="2584"/>
      <c r="U35" s="2584"/>
    </row>
    <row r="36" spans="1:28">
      <c r="A36" s="3467"/>
      <c r="B36" s="3476" t="s">
        <v>1572</v>
      </c>
      <c r="C36" s="3477"/>
      <c r="D36" s="1487"/>
      <c r="E36" s="3478"/>
      <c r="F36" s="3478"/>
      <c r="G36" s="1399" t="str">
        <f>IF(B35="场地未平整","估价结果处理","")</f>
        <v/>
      </c>
      <c r="H36" s="3479"/>
      <c r="I36" s="3479"/>
      <c r="J36" s="2603"/>
      <c r="K36" s="2591"/>
      <c r="L36" s="2583"/>
      <c r="M36" s="2583"/>
      <c r="N36" s="2584"/>
      <c r="O36" s="2585"/>
      <c r="P36" s="2584"/>
      <c r="Q36" s="2584"/>
      <c r="R36" s="2584"/>
      <c r="S36" s="2584"/>
      <c r="T36" s="2584"/>
      <c r="U36" s="2584"/>
    </row>
    <row r="37" spans="1:28" ht="28.5">
      <c r="A37" s="3467"/>
      <c r="B37" s="3456"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67"/>
      <c r="B38" s="3457"/>
      <c r="C38" s="1386" t="s">
        <v>788</v>
      </c>
      <c r="D38" s="1486">
        <f>ROUNDDOWN(MIN(('数据-取费表'!$B$2-D37)/365,D34),1)</f>
        <v>123.4</v>
      </c>
      <c r="E38" s="1433" t="s">
        <v>789</v>
      </c>
      <c r="F38" s="2603"/>
      <c r="G38" s="2603"/>
      <c r="H38" s="2603"/>
      <c r="I38" s="2604"/>
      <c r="J38" s="2603"/>
      <c r="K38" s="2591"/>
      <c r="L38" s="2584"/>
      <c r="M38" s="2584"/>
      <c r="N38" s="2584"/>
      <c r="O38" s="2584"/>
      <c r="P38" s="2584"/>
      <c r="Q38" s="2584"/>
      <c r="R38" s="2584"/>
      <c r="S38" s="2584"/>
      <c r="T38" s="2584"/>
      <c r="U38" s="2584"/>
    </row>
    <row r="39" spans="1:28">
      <c r="A39" s="3468"/>
      <c r="B39" s="3458"/>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39" t="s">
        <v>1503</v>
      </c>
      <c r="T40" s="1407" t="str">
        <f>NUMBERSTRING(7-K40,1)&amp;"通"</f>
        <v>七通</v>
      </c>
      <c r="U40" s="2584"/>
    </row>
    <row r="41" spans="1:28">
      <c r="A41" s="1380"/>
      <c r="B41" s="3472" t="s">
        <v>1250</v>
      </c>
      <c r="C41" s="3472"/>
      <c r="D41" s="3472"/>
      <c r="E41" s="3472"/>
      <c r="F41" s="1437" t="str">
        <f>C10</f>
        <v>江苏省</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39"/>
      <c r="T41" s="1438" t="str">
        <f>IF(T40="一通",L41,IF(T40="二通",M41,IF(T40="三通",N41,IF(T40="四通",O41,IF(T40="五通",P41,IF(T40="六通",Q41,R41))))))</f>
        <v>、、、、、、</v>
      </c>
      <c r="U41" s="2584"/>
    </row>
    <row r="42" spans="1:28">
      <c r="A42" s="1440"/>
      <c r="B42" s="1466" t="s">
        <v>1422</v>
      </c>
      <c r="C42" s="1466" t="s">
        <v>1423</v>
      </c>
      <c r="D42" s="1466" t="s">
        <v>1424</v>
      </c>
      <c r="E42" s="1466" t="s">
        <v>2740</v>
      </c>
      <c r="F42" s="1466" t="s">
        <v>2741</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2165</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86493.04</v>
      </c>
      <c r="B3" s="19">
        <f>IF(C3="否",G5-AT5,G5)</f>
        <v>302725.5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302725.5</v>
      </c>
      <c r="H5" s="23">
        <f t="shared" ref="H5:AT5" si="0">SUM(H13:H641)</f>
        <v>302725.5</v>
      </c>
      <c r="I5" s="23">
        <f t="shared" si="0"/>
        <v>302725.5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302725.5</v>
      </c>
      <c r="BA5" s="25">
        <f t="shared" si="1"/>
        <v>302725.5</v>
      </c>
      <c r="BB5" s="25">
        <f t="shared" si="1"/>
        <v>302725.5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86493.04</v>
      </c>
      <c r="F6" s="23" t="s">
        <v>0</v>
      </c>
      <c r="G6" s="23" t="s">
        <v>1</v>
      </c>
      <c r="H6" s="29">
        <f>SUMIF(I$12:AB$12,"总值",I6:AB6)</f>
        <v>86493.04</v>
      </c>
      <c r="I6" s="23">
        <f t="shared" ref="I6:AB6" si="2">ROUND($A$3*I5/$B$3,2)</f>
        <v>86493.04</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86493.04</v>
      </c>
      <c r="AZ6" s="23" t="s">
        <v>2</v>
      </c>
      <c r="BA6" s="23">
        <f>ROUND($AY$6*BA5/$AZ$5,2)</f>
        <v>86493.04</v>
      </c>
      <c r="BB6" s="23">
        <f>ROUND($AY$6*BB5/$AZ$5,2)</f>
        <v>86493.04</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3257</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2736</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t="s">
        <v>3258</v>
      </c>
      <c r="J11" s="67"/>
      <c r="K11" s="2305"/>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商业</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t="str">
        <f>I11</f>
        <v>独立商业</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t="s">
        <v>3254</v>
      </c>
      <c r="B13" s="2300">
        <v>3.5</v>
      </c>
      <c r="C13" s="2300"/>
      <c r="D13" s="2301" t="s">
        <v>3260</v>
      </c>
      <c r="E13" s="23">
        <f t="shared" ref="E13:E20" si="6">IF($C$3="是",ROUND($A$3*G13/$B$3,2),ROUND($A$3*(G13-AT13)/$B$3,2))</f>
        <v>86493.04</v>
      </c>
      <c r="F13" s="76"/>
      <c r="G13" s="77">
        <f t="shared" ref="G13:G20" si="7">H13+AC13+AT13</f>
        <v>302725.5</v>
      </c>
      <c r="H13" s="29">
        <f t="shared" ref="H13:H20" si="8">SUMIF(I$12:AB$12,"总值",I13:AB13)</f>
        <v>302725.5</v>
      </c>
      <c r="I13" s="2303">
        <v>302725.5</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t="str">
        <f t="shared" ref="AV13:AX20" si="10">A13</f>
        <v>容积率</v>
      </c>
      <c r="AW13" s="14">
        <f t="shared" si="10"/>
        <v>3.5</v>
      </c>
      <c r="AX13" s="14">
        <f t="shared" si="10"/>
        <v>0</v>
      </c>
      <c r="AY13" s="909">
        <f t="shared" ref="AY13:AY20" si="11">ROUND($AY$6*AZ13/$AZ$5,2)</f>
        <v>86493.04</v>
      </c>
      <c r="AZ13" s="23">
        <f t="shared" ref="AZ13:AZ20" si="12">BA13+BL13</f>
        <v>302725.5</v>
      </c>
      <c r="BA13" s="23">
        <f t="shared" ref="BA13:BA20" si="13">SUM(BB13:BK13)</f>
        <v>302725.5</v>
      </c>
      <c r="BB13" s="23">
        <f t="shared" ref="BB13:BB20" si="14">IF($D13="是",I13-J13,0)</f>
        <v>302725.5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t="s">
        <v>3255</v>
      </c>
      <c r="B14" s="3390">
        <v>0.4</v>
      </c>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t="str">
        <f t="shared" si="10"/>
        <v>建筑密度</v>
      </c>
      <c r="AW14" s="14">
        <f t="shared" si="10"/>
        <v>0.4</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t="s">
        <v>3256</v>
      </c>
      <c r="B17" s="2300">
        <f>I13/(B14*A3)</f>
        <v>8.7499959534316289</v>
      </c>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t="str">
        <f t="shared" si="10"/>
        <v>估算楼层</v>
      </c>
      <c r="AW17" s="14">
        <f t="shared" si="10"/>
        <v>8.7499959534316289</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3391"/>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70" zoomScaleSheetLayoutView="90" workbookViewId="0">
      <selection activeCell="K34" sqref="K34"/>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89" t="s">
        <v>169</v>
      </c>
      <c r="B2" s="3489"/>
      <c r="C2" s="3489"/>
      <c r="D2" s="1631" t="s">
        <v>170</v>
      </c>
      <c r="E2" s="97" t="s">
        <v>171</v>
      </c>
      <c r="F2" s="2610"/>
      <c r="G2" s="1041"/>
      <c r="H2" s="1042"/>
      <c r="I2" s="1043" t="s">
        <v>795</v>
      </c>
      <c r="J2" s="2610"/>
      <c r="K2" s="2610"/>
      <c r="L2" s="2610"/>
      <c r="M2" s="2610"/>
      <c r="N2" s="2610"/>
      <c r="O2" s="2610"/>
      <c r="P2" s="2610"/>
    </row>
    <row r="3" spans="1:16" ht="15.75" thickBot="1">
      <c r="A3" s="3490" t="s">
        <v>172</v>
      </c>
      <c r="B3" s="3490"/>
      <c r="C3" s="3490"/>
      <c r="D3" s="98">
        <f>'数据-基础表'!AY6</f>
        <v>86493.04</v>
      </c>
      <c r="E3" s="98">
        <f>'数据-基础表'!AZ5</f>
        <v>302725.5</v>
      </c>
      <c r="F3" s="2610"/>
      <c r="G3" s="106" t="s">
        <v>796</v>
      </c>
      <c r="H3" s="102" t="s">
        <v>797</v>
      </c>
      <c r="I3" s="996">
        <f>ROUND('数据-基础表'!B3/'数据-基础表'!A3,2)</f>
        <v>3.5</v>
      </c>
      <c r="J3" s="2610"/>
      <c r="K3" s="2610"/>
      <c r="L3" s="2610"/>
      <c r="M3" s="2610"/>
      <c r="N3" s="2610"/>
      <c r="O3" s="2610"/>
      <c r="P3" s="2610"/>
    </row>
    <row r="4" spans="1:16" ht="15">
      <c r="A4" s="3491"/>
      <c r="B4" s="3492"/>
      <c r="C4" s="3493"/>
      <c r="D4" s="99" t="s">
        <v>170</v>
      </c>
      <c r="E4" s="100" t="s">
        <v>171</v>
      </c>
      <c r="F4" s="2610"/>
      <c r="G4" s="119"/>
      <c r="H4" s="102" t="s">
        <v>798</v>
      </c>
      <c r="I4" s="996">
        <f>ROUND(SUMIF('数据-基础表'!I9:AS9,"地上",'数据-基础表'!I5:AS5)/'数据-基础表'!A3,2)</f>
        <v>3.5</v>
      </c>
      <c r="J4" s="2610"/>
      <c r="K4" s="2610"/>
      <c r="L4" s="2610"/>
      <c r="M4" s="2610"/>
      <c r="N4" s="2610"/>
      <c r="O4" s="2610"/>
      <c r="P4" s="2610"/>
    </row>
    <row r="5" spans="1:16">
      <c r="A5" s="101" t="s">
        <v>173</v>
      </c>
      <c r="B5" s="3494" t="s">
        <v>196</v>
      </c>
      <c r="C5" s="3494"/>
      <c r="D5" s="102">
        <f>ROUND($D$3*E5/$E$3,2)</f>
        <v>0</v>
      </c>
      <c r="E5" s="103">
        <f>SUMIF('数据-基础表'!$11:$11,"住宅",'数据-基础表'!$5:$5)</f>
        <v>0</v>
      </c>
      <c r="F5" s="2610"/>
      <c r="G5" s="106" t="s">
        <v>799</v>
      </c>
      <c r="H5" s="102" t="s">
        <v>797</v>
      </c>
      <c r="I5" s="996">
        <f>ROUND(E31/D31,2)</f>
        <v>3.5</v>
      </c>
      <c r="J5" s="2610"/>
      <c r="K5" s="2610"/>
      <c r="L5" s="2610"/>
      <c r="M5" s="2610"/>
      <c r="N5" s="2610"/>
      <c r="O5" s="2610"/>
      <c r="P5" s="2610"/>
    </row>
    <row r="6" spans="1:16" ht="15" thickBot="1">
      <c r="A6" s="104"/>
      <c r="B6" s="3494" t="s">
        <v>174</v>
      </c>
      <c r="C6" s="3494"/>
      <c r="D6" s="102">
        <f>ROUND($D$3*E6/$E$3,2)</f>
        <v>86493.04</v>
      </c>
      <c r="E6" s="103">
        <f>E3-E5</f>
        <v>302725.5</v>
      </c>
      <c r="F6" s="2610"/>
      <c r="G6" s="119"/>
      <c r="H6" s="102" t="s">
        <v>798</v>
      </c>
      <c r="I6" s="996">
        <f>ROUND(F31/D31,2)</f>
        <v>3.5</v>
      </c>
      <c r="J6" s="2610"/>
      <c r="K6" s="2610"/>
      <c r="L6" s="2610"/>
      <c r="M6" s="2610"/>
      <c r="N6" s="2610"/>
      <c r="O6" s="2610"/>
      <c r="P6" s="2610"/>
    </row>
    <row r="7" spans="1:16" ht="15">
      <c r="A7" s="3486"/>
      <c r="B7" s="3487"/>
      <c r="C7" s="3488"/>
      <c r="D7" s="99" t="s">
        <v>170</v>
      </c>
      <c r="E7" s="105" t="s">
        <v>197</v>
      </c>
      <c r="F7" s="2610"/>
      <c r="G7" s="1001" t="s">
        <v>1180</v>
      </c>
      <c r="H7" s="1002"/>
      <c r="I7" s="127"/>
      <c r="J7" s="2610"/>
      <c r="K7" s="2610"/>
      <c r="L7" s="2610"/>
      <c r="M7" s="2610"/>
      <c r="N7" s="2610"/>
      <c r="O7" s="2610"/>
      <c r="P7" s="2610"/>
    </row>
    <row r="8" spans="1:16">
      <c r="A8" s="101" t="s">
        <v>175</v>
      </c>
      <c r="B8" s="106" t="s">
        <v>176</v>
      </c>
      <c r="C8" s="102" t="s">
        <v>177</v>
      </c>
      <c r="D8" s="102">
        <f t="shared" ref="D8:D15" si="0">ROUND($D$3*E8/$E$3,2)</f>
        <v>86493.04</v>
      </c>
      <c r="E8" s="107">
        <f>SUMIF('数据-基础表'!BB10:BK10,"地上",'数据-基础表'!BB5:BK5)</f>
        <v>302725.5</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86493.04</v>
      </c>
      <c r="E16" s="111">
        <f>SUM(E8:E15)</f>
        <v>302725.5</v>
      </c>
      <c r="F16" s="2610"/>
      <c r="G16" s="2610"/>
      <c r="H16" s="882" t="s">
        <v>185</v>
      </c>
      <c r="I16" s="883"/>
      <c r="J16" s="1633"/>
      <c r="K16" s="3480" t="s">
        <v>1849</v>
      </c>
      <c r="L16" s="3481"/>
      <c r="M16" s="3481"/>
      <c r="N16" s="3481"/>
      <c r="O16" s="3481"/>
      <c r="P16" s="3482"/>
    </row>
    <row r="17" spans="1:19" ht="15">
      <c r="A17" s="112" t="s">
        <v>182</v>
      </c>
      <c r="B17" s="113" t="s">
        <v>183</v>
      </c>
      <c r="C17" s="1886" t="s">
        <v>1670</v>
      </c>
      <c r="D17" s="99" t="s">
        <v>170</v>
      </c>
      <c r="E17" s="115" t="s">
        <v>171</v>
      </c>
      <c r="F17" s="116"/>
      <c r="G17" s="1158"/>
      <c r="H17" s="884" t="s">
        <v>184</v>
      </c>
      <c r="I17" s="885" t="s">
        <v>1669</v>
      </c>
      <c r="J17" s="1633"/>
      <c r="K17" s="3483" t="s">
        <v>1850</v>
      </c>
      <c r="L17" s="3484"/>
      <c r="M17" s="3485"/>
      <c r="N17" s="3483" t="s">
        <v>1851</v>
      </c>
      <c r="O17" s="3484"/>
      <c r="P17" s="3485"/>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3259</v>
      </c>
      <c r="D19" s="102">
        <f t="shared" ref="D19:D26" si="1">ROUND($D$3*E19/$E$3,2)</f>
        <v>86493.04</v>
      </c>
      <c r="E19" s="124">
        <f t="shared" ref="E19:E26" si="2">SUM(F19:G19)</f>
        <v>302725.5</v>
      </c>
      <c r="F19" s="2611">
        <f>'数据-基础表'!I13</f>
        <v>302725.5</v>
      </c>
      <c r="G19" s="2612"/>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86493.04</v>
      </c>
      <c r="S19" s="124">
        <f t="shared" si="5"/>
        <v>302725.5</v>
      </c>
    </row>
    <row r="20" spans="1:19">
      <c r="A20" s="123"/>
      <c r="B20" s="106" t="s">
        <v>192</v>
      </c>
      <c r="C20" s="2310"/>
      <c r="D20" s="102">
        <f t="shared" si="1"/>
        <v>0</v>
      </c>
      <c r="E20" s="124">
        <f t="shared" si="2"/>
        <v>0</v>
      </c>
      <c r="F20" s="2611"/>
      <c r="G20" s="2612"/>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86493.04</v>
      </c>
      <c r="E27" s="129">
        <f>IF(SUM(E19:E26)='数据-基础表'!BA5,SUM(E19:E26),IF(F27="地上面积有误","面积有误","地下面积有误"))</f>
        <v>302725.5</v>
      </c>
      <c r="F27" s="124">
        <f>IF(SUM(F19:F26)=E8,SUM(F19:F26),"地上面积有误")</f>
        <v>302725.5</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86493.04</v>
      </c>
      <c r="S27" s="102">
        <f>IF(SUM(S19:S26)=$E$3,SUM(S19:S26),SUM(S19:S26)&amp;"误差"&amp;ROUND(SUM(S19:S26)-E3,2))</f>
        <v>302725.5</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0"/>
      <c r="B31" s="1161" t="s">
        <v>195</v>
      </c>
      <c r="C31" s="1917" t="s">
        <v>1679</v>
      </c>
      <c r="D31" s="1162">
        <f>D27+D30</f>
        <v>86493.04</v>
      </c>
      <c r="E31" s="1162">
        <f>E27+E30</f>
        <v>302725.5</v>
      </c>
      <c r="F31" s="1163">
        <f>F27+F30</f>
        <v>302725.5</v>
      </c>
      <c r="G31" s="1164">
        <f>G27+G30</f>
        <v>0</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6">
      <c r="D33" s="1635"/>
    </row>
    <row r="35" spans="4:6">
      <c r="F35" s="3403">
        <f>F19*0.25</f>
        <v>75681.375</v>
      </c>
    </row>
    <row r="38" spans="4:6">
      <c r="F38" s="1634">
        <f>(F35+F27)*2200/F19</f>
        <v>2750</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K24" sqref="K24"/>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3" width="7.25" style="1044" customWidth="1"/>
    <col min="34" max="34" width="10.5" style="1044" bestFit="1"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45057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3247</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2259</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商业</v>
      </c>
      <c r="B6" s="1924" t="str">
        <f>IF(A6=0,"","经营性")</f>
        <v>经营性</v>
      </c>
      <c r="C6" s="157" t="s">
        <v>2736</v>
      </c>
      <c r="D6" s="1895">
        <f>SUMIF(项目基本情况!C$15:I$15,C6,项目基本情况!C$18:I$18)</f>
        <v>40</v>
      </c>
      <c r="E6" s="1896">
        <f>IF(B6="","",SUMIF(项目基本情况!C$15:I$15,C6,项目基本情况!C$17:I$17))</f>
        <v>56220</v>
      </c>
      <c r="F6" s="158">
        <f>SUMIF(项目基本情况!C$15:I$15,C6,项目基本情况!C$19:I$19)</f>
        <v>30.58</v>
      </c>
      <c r="G6" s="159">
        <f t="shared" ref="G6:G13" si="0">IF(ISERROR(ROUND(POWER(1+H6,D6-F6)*(POWER(1+H6,F6)-1)/(POWER(1+H6,D6)-1),3)),0,ROUND(POWER(1+H6,D6-F6)*(POWER(1+H6,F6)-1)/(POWER(1+H6,D6)-1),3))</f>
        <v>0.90300000000000002</v>
      </c>
      <c r="H6" s="2311">
        <v>0.05</v>
      </c>
      <c r="I6" s="2311">
        <v>5.5E-2</v>
      </c>
      <c r="J6" s="160">
        <v>0.08</v>
      </c>
      <c r="K6" s="163">
        <f>SUMIF('数据-汇总表'!C$19:C$33,'数据-取费表'!A6,'数据-汇总表'!E$19:E$33)</f>
        <v>302725.5</v>
      </c>
      <c r="L6" s="2312">
        <v>2650</v>
      </c>
      <c r="M6" s="161">
        <f t="shared" ref="M6:M14" si="1">ROUND(K6*L6/10000,0)</f>
        <v>80222</v>
      </c>
      <c r="N6" s="2313">
        <v>0</v>
      </c>
      <c r="O6" s="161">
        <f>IF($N$5="成新度","——",ROUND(M6*N6,0))</f>
        <v>0</v>
      </c>
      <c r="P6" s="162">
        <f>IF($N$5="成新度","——",M6-O6)</f>
        <v>80222</v>
      </c>
      <c r="Q6" s="2314">
        <v>0.2</v>
      </c>
      <c r="R6" s="163">
        <f>SUMIF('数据-汇总表'!C$19:C$33,A6,'数据-汇总表'!R$19:R$33)</f>
        <v>86493.04</v>
      </c>
      <c r="S6" s="122">
        <f>IF('数据-汇总表'!$I$17="按面积比例",SUMIF('数据-汇总表'!C$19:C$33,A6,'数据-汇总表'!K$19:K$33),SUMIF('数据-汇总表'!C$19:C$33,A6,'数据-汇总表'!N$19:N$33))</f>
        <v>0</v>
      </c>
      <c r="T6" s="1827" t="str">
        <f>IF($T$4="按面积比例",IF(ISERROR(ROUND($M$14*S6/S$16,0)),"0",ROUND($M$14*S6/S$16,0)),"需自行计算录入")</f>
        <v>0</v>
      </c>
      <c r="U6" s="164">
        <v>1.5</v>
      </c>
      <c r="V6" s="165">
        <v>2.5000000000000001E-2</v>
      </c>
      <c r="W6" s="165">
        <v>0.15</v>
      </c>
      <c r="X6" s="1908"/>
      <c r="Y6" s="166">
        <v>1</v>
      </c>
      <c r="Z6" s="167"/>
      <c r="AA6" s="160"/>
      <c r="AB6" s="160"/>
      <c r="AC6" s="1911"/>
      <c r="AD6" s="168"/>
      <c r="AE6" s="886">
        <f ca="1">IF(AN6="",0,SUMIF(INDIRECT("'"&amp;AN6&amp;"'"&amp;"!E:E"),$AE$5,INDIRECT("'"&amp;AN6&amp;"'"&amp;"!F:F")))</f>
        <v>27.58</v>
      </c>
      <c r="AF6" s="127"/>
      <c r="AG6" s="1053">
        <f>IF(AF6="",0,AE6-AF6)</f>
        <v>0</v>
      </c>
      <c r="AH6" s="3392">
        <f>K6</f>
        <v>302725.5</v>
      </c>
      <c r="AI6" s="171">
        <v>365</v>
      </c>
      <c r="AJ6" s="127"/>
      <c r="AK6" s="172">
        <v>0.01</v>
      </c>
      <c r="AL6" s="173">
        <v>1.5E-3</v>
      </c>
      <c r="AM6" s="1949">
        <v>0.01</v>
      </c>
      <c r="AN6" s="1124" t="s">
        <v>3261</v>
      </c>
      <c r="AO6" s="2610"/>
      <c r="AP6" s="96">
        <f>ROUND(1-1/(1+H6)^F6,3)</f>
        <v>0.77500000000000002</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2"/>
      <c r="AN7" s="1124"/>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2"/>
      <c r="AN8" s="1124"/>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0.90300000000000002</v>
      </c>
      <c r="H16" s="184">
        <f>ROUND(SUMPRODUCT(H6:H13,K6:K13)/SUMPRODUCT((H6:H13&gt;0)*(K6:K13)),3)</f>
        <v>0.05</v>
      </c>
      <c r="I16" s="185"/>
      <c r="J16" s="185"/>
      <c r="K16" s="186">
        <f>SUM(K6:K15)</f>
        <v>302725.5</v>
      </c>
      <c r="L16" s="187">
        <f>ROUND(M16*10000/SUM(K6:K14),0)</f>
        <v>2650</v>
      </c>
      <c r="M16" s="187">
        <f>SUM(M6:M14)</f>
        <v>80222</v>
      </c>
      <c r="N16" s="188">
        <f>ROUND(SUMPRODUCT(M6:M14,N6:N14)/M16,3)</f>
        <v>0</v>
      </c>
      <c r="O16" s="187">
        <f>SUM(O6:O14)</f>
        <v>0</v>
      </c>
      <c r="P16" s="187">
        <f>SUM(P6:P14)</f>
        <v>80222</v>
      </c>
      <c r="Q16" s="189">
        <f>ROUND(SUMPRODUCT(Q6:Q13,K6:K13)/SUMPRODUCT((Q6:Q13&gt;0)*(K6:K13)),2)</f>
        <v>0.2</v>
      </c>
      <c r="R16" s="1898">
        <f>SUM(R6:R13)</f>
        <v>86493.04</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0.77500000000000002</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2271</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3</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3</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3</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c r="C27" s="2630" t="s">
        <v>2272</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105</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150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70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80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0.03</v>
      </c>
      <c r="C33" s="2632" t="s">
        <v>2260</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2261</v>
      </c>
      <c r="D34" s="2633" t="s">
        <v>2268</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f>B30</f>
        <v>150</v>
      </c>
      <c r="C35" s="2632" t="s">
        <v>2262</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1.4999999999999999E-2</v>
      </c>
      <c r="C36" s="2632" t="s">
        <v>2263</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1.4999999999999999E-2</v>
      </c>
      <c r="C37" s="2632" t="s">
        <v>2264</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1.4999999999999999E-2</v>
      </c>
      <c r="C38" s="2632" t="s">
        <v>2264</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3355</v>
      </c>
      <c r="B40" s="1991">
        <f ca="1">IF(A40="利息：取LPR",存贷款利率!E2,存贷款利率!E2+C40)</f>
        <v>4.1499999999999995E-2</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5.6000000000000001E-2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6.000000000000001E-3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7.0000000000000007E-2</v>
      </c>
      <c r="C44" s="2632" t="s">
        <v>2269</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2265</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2266</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2265</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2267</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3</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1152</v>
      </c>
      <c r="C53" s="2626" t="s">
        <v>2166</v>
      </c>
      <c r="D53" s="2636" t="s">
        <v>2270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2167</v>
      </c>
      <c r="B54" s="170">
        <v>16</v>
      </c>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2168</v>
      </c>
      <c r="B55" s="170">
        <v>12</v>
      </c>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2169</v>
      </c>
      <c r="B56" s="170">
        <v>8</v>
      </c>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2170</v>
      </c>
      <c r="B57" s="170">
        <v>5</v>
      </c>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2171</v>
      </c>
      <c r="B58" s="170">
        <v>3</v>
      </c>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2172</v>
      </c>
      <c r="B59" s="170"/>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2173</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2174</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2175</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2176</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495" t="s">
        <v>1198</v>
      </c>
      <c r="B1" s="3496"/>
      <c r="C1" s="3496"/>
      <c r="D1" s="3496"/>
      <c r="E1" s="3496"/>
      <c r="F1" s="3496"/>
      <c r="G1" s="3496"/>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8.5">
      <c r="A3" s="2646" t="s">
        <v>1201</v>
      </c>
      <c r="B3" s="2647" t="s">
        <v>1188</v>
      </c>
      <c r="C3" s="2648"/>
      <c r="D3" s="2649"/>
      <c r="E3" s="2650" t="s">
        <v>1201</v>
      </c>
      <c r="F3" s="2651" t="s">
        <v>1189</v>
      </c>
      <c r="G3" s="2652" t="s">
        <v>2181</v>
      </c>
      <c r="H3" s="2645"/>
      <c r="I3" s="2645"/>
      <c r="J3" s="2645"/>
      <c r="K3" s="2645"/>
      <c r="L3" s="2645"/>
      <c r="M3" s="2645"/>
      <c r="N3" s="2645"/>
      <c r="O3" s="2645"/>
      <c r="P3" s="2645"/>
      <c r="Q3" s="2645"/>
    </row>
    <row r="4" spans="1:18" ht="40.5">
      <c r="A4" s="2650"/>
      <c r="B4" s="2653" t="s">
        <v>1202</v>
      </c>
      <c r="C4" s="3400" t="s">
        <v>3359</v>
      </c>
      <c r="D4" s="2649"/>
      <c r="E4" s="2655"/>
      <c r="F4" s="2656" t="s">
        <v>1203</v>
      </c>
      <c r="G4" s="2657" t="s">
        <v>2178</v>
      </c>
      <c r="H4" s="2645"/>
      <c r="I4" s="2645"/>
      <c r="J4" s="2645"/>
      <c r="K4" s="2645"/>
      <c r="L4" s="2645"/>
      <c r="M4" s="2645"/>
      <c r="N4" s="2645"/>
      <c r="O4" s="2645"/>
      <c r="P4" s="2645"/>
      <c r="Q4" s="2645"/>
    </row>
    <row r="5" spans="1:18" ht="27">
      <c r="A5" s="2650"/>
      <c r="B5" s="2653" t="s">
        <v>1204</v>
      </c>
      <c r="C5" s="2654"/>
      <c r="D5" s="2649"/>
      <c r="E5" s="2655"/>
      <c r="F5" s="2653" t="s">
        <v>1829</v>
      </c>
      <c r="G5" s="2657" t="s">
        <v>2179</v>
      </c>
      <c r="H5" s="2645"/>
      <c r="I5" s="2645"/>
      <c r="J5" s="2645"/>
      <c r="K5" s="2645"/>
      <c r="L5" s="2645"/>
      <c r="M5" s="2645"/>
      <c r="N5" s="2645"/>
      <c r="O5" s="2645"/>
      <c r="P5" s="2645"/>
      <c r="Q5" s="2645"/>
    </row>
    <row r="6" spans="1:18" ht="54">
      <c r="A6" s="2650"/>
      <c r="B6" s="2653" t="s">
        <v>1190</v>
      </c>
      <c r="C6" s="3401" t="s">
        <v>3336</v>
      </c>
      <c r="D6" s="2649"/>
      <c r="E6" s="2655"/>
      <c r="F6" s="2653" t="s">
        <v>1830</v>
      </c>
      <c r="G6" s="2657" t="s">
        <v>2177</v>
      </c>
      <c r="H6" s="2645"/>
      <c r="I6" s="2645"/>
      <c r="J6" s="2645"/>
      <c r="K6" s="2645"/>
      <c r="L6" s="2645"/>
      <c r="M6" s="2645"/>
      <c r="N6" s="2645"/>
      <c r="O6" s="2645"/>
      <c r="P6" s="2645"/>
      <c r="Q6" s="2645"/>
    </row>
    <row r="7" spans="1:18" ht="27.75" thickBot="1">
      <c r="A7" s="2650"/>
      <c r="B7" s="2653" t="s">
        <v>1829</v>
      </c>
      <c r="C7" s="3401" t="s">
        <v>3337</v>
      </c>
      <c r="D7" s="2658"/>
      <c r="E7" s="2659"/>
      <c r="F7" s="2660" t="s">
        <v>1205</v>
      </c>
      <c r="G7" s="2661" t="s">
        <v>2180</v>
      </c>
      <c r="H7" s="2645"/>
      <c r="I7" s="2645"/>
      <c r="J7" s="2645"/>
      <c r="K7" s="2645"/>
      <c r="L7" s="2645"/>
      <c r="M7" s="2645"/>
      <c r="N7" s="2645"/>
      <c r="O7" s="2645"/>
      <c r="P7" s="2645"/>
      <c r="Q7" s="2645"/>
    </row>
    <row r="8" spans="1:18">
      <c r="A8" s="2650"/>
      <c r="B8" s="2653" t="s">
        <v>1830</v>
      </c>
      <c r="C8" s="3401" t="s">
        <v>3338</v>
      </c>
      <c r="D8" s="2658"/>
      <c r="E8" s="2658"/>
      <c r="F8" s="2662"/>
      <c r="G8" s="2662"/>
      <c r="H8" s="2645"/>
      <c r="I8" s="2645"/>
      <c r="J8" s="2645"/>
      <c r="K8" s="2645"/>
      <c r="L8" s="2645"/>
      <c r="M8" s="2645"/>
      <c r="N8" s="2645"/>
      <c r="O8" s="2645"/>
      <c r="P8" s="2645"/>
      <c r="Q8" s="2645"/>
    </row>
    <row r="9" spans="1:18" ht="27">
      <c r="A9" s="2650"/>
      <c r="B9" s="2653" t="s">
        <v>1191</v>
      </c>
      <c r="C9" s="3400" t="s">
        <v>3362</v>
      </c>
      <c r="D9" s="2649"/>
      <c r="E9" s="2658"/>
      <c r="F9" s="2662"/>
      <c r="G9" s="2662"/>
      <c r="H9" s="2645"/>
      <c r="I9" s="2645"/>
      <c r="J9" s="2645"/>
      <c r="K9" s="2645"/>
      <c r="L9" s="2645"/>
      <c r="M9" s="2645"/>
      <c r="N9" s="2645"/>
      <c r="O9" s="2645"/>
      <c r="P9" s="2645"/>
      <c r="Q9" s="2645"/>
    </row>
    <row r="10" spans="1:18" ht="15" thickBot="1">
      <c r="A10" s="2663"/>
      <c r="B10" s="2664" t="s">
        <v>1206</v>
      </c>
      <c r="C10" s="2665" t="s">
        <v>3339</v>
      </c>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27">
      <c r="A15" s="2677" t="s">
        <v>1192</v>
      </c>
      <c r="B15" s="2678" t="s">
        <v>1188</v>
      </c>
      <c r="C15" s="2679">
        <f>C3</f>
        <v>0</v>
      </c>
      <c r="D15" s="2649"/>
      <c r="E15" s="2680" t="s">
        <v>1193</v>
      </c>
      <c r="F15" s="2678" t="s">
        <v>1208</v>
      </c>
      <c r="G15" s="2681" t="str">
        <f>G3</f>
        <v>估价对象位于XX开发区，园区建设成熟度XX，产业集聚程度XX</v>
      </c>
    </row>
    <row r="16" spans="1:18" ht="40.5">
      <c r="A16" s="2682"/>
      <c r="B16" s="2683" t="s">
        <v>1202</v>
      </c>
      <c r="C16" s="2684" t="str">
        <f>C4</f>
        <v>估价对象周边商业氛围成熟度较差，人流量较少，住宅底商为主，商业繁华度较差</v>
      </c>
      <c r="D16" s="2649"/>
      <c r="E16" s="2685"/>
      <c r="F16" s="2686" t="s">
        <v>1203</v>
      </c>
      <c r="G16" s="2687" t="str">
        <f>G4</f>
        <v>估价对象周边道路状况、公共交通通达情况、停车便捷程度，综合评价交通便捷度较好</v>
      </c>
    </row>
    <row r="17" spans="1:7" ht="14.25">
      <c r="A17" s="2682"/>
      <c r="B17" s="2683" t="s">
        <v>1204</v>
      </c>
      <c r="C17" s="2684">
        <f>C5</f>
        <v>0</v>
      </c>
      <c r="D17" s="2658"/>
      <c r="E17" s="2685"/>
      <c r="F17" s="2686" t="s">
        <v>1209</v>
      </c>
      <c r="G17" s="2688"/>
    </row>
    <row r="18" spans="1:7" ht="54">
      <c r="A18" s="2682"/>
      <c r="B18" s="2686" t="s">
        <v>1190</v>
      </c>
      <c r="C18" s="2687" t="str">
        <f>C6</f>
        <v>估价对象周边道路状况一般、公共交通通达情况较差，有5、122路经过、停车便捷程度，综合评价交通便捷度一般</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区域自然环境：；人文环境；综合评价环境状况较好</v>
      </c>
      <c r="D20" s="2658"/>
      <c r="E20" s="2685"/>
      <c r="F20" s="2653" t="s">
        <v>1830</v>
      </c>
      <c r="G20" s="2687" t="str">
        <f>G6</f>
        <v>估价对象所在区域基础设施水平</v>
      </c>
    </row>
    <row r="21" spans="1:7" ht="27">
      <c r="A21" s="2682"/>
      <c r="B21" s="2653" t="s">
        <v>1829</v>
      </c>
      <c r="C21" s="2687" t="str">
        <f>C7</f>
        <v>估价对象所在区域公共配套设施齐备情况较差</v>
      </c>
      <c r="D21" s="2649"/>
      <c r="E21" s="2685"/>
      <c r="F21" s="2686" t="s">
        <v>1196</v>
      </c>
      <c r="G21" s="2689"/>
    </row>
    <row r="22" spans="1:7" ht="14.25">
      <c r="A22" s="2682"/>
      <c r="B22" s="2653" t="s">
        <v>1830</v>
      </c>
      <c r="C22" s="2687" t="str">
        <f>C8</f>
        <v>六通</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t="str">
        <f>C10</f>
        <v>次干道-新华大道</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22" sqref="G22"/>
    </sheetView>
  </sheetViews>
  <sheetFormatPr defaultColWidth="14.625" defaultRowHeight="13.5"/>
  <cols>
    <col min="1" max="1" width="24.375" style="2696" customWidth="1"/>
    <col min="2" max="16384" width="14.625" style="2696"/>
  </cols>
  <sheetData>
    <row r="1" spans="1:10" ht="16.5">
      <c r="A1" s="2695" t="s">
        <v>2118</v>
      </c>
      <c r="B1" s="2695">
        <f>SUM(B14:B23)</f>
        <v>302725.5</v>
      </c>
      <c r="C1" s="2703"/>
      <c r="D1" s="2703"/>
      <c r="E1" s="2703"/>
      <c r="F1" s="2703"/>
      <c r="G1" s="2704"/>
      <c r="H1" s="2704"/>
      <c r="I1" s="2704"/>
      <c r="J1" s="2704"/>
    </row>
    <row r="2" spans="1:10" ht="16.5">
      <c r="A2" s="2695" t="s">
        <v>2119</v>
      </c>
      <c r="B2" s="2695">
        <f>SUM(C14:C23)</f>
        <v>86493.04</v>
      </c>
      <c r="C2" s="2703"/>
      <c r="D2" s="2703"/>
      <c r="E2" s="2703"/>
      <c r="F2" s="2703"/>
      <c r="G2" s="2704"/>
      <c r="H2" s="2704"/>
      <c r="I2" s="2704"/>
      <c r="J2" s="2704"/>
    </row>
    <row r="3" spans="1:10" ht="16.5">
      <c r="A3" s="2695" t="s">
        <v>2120</v>
      </c>
      <c r="B3" s="2697">
        <f>项目基本情况!D3</f>
        <v>45057</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48091</v>
      </c>
      <c r="C5" s="2695">
        <f ca="1">ROUND(B5*10000/$B$1,0)</f>
        <v>1589</v>
      </c>
      <c r="D5" s="2695">
        <f ca="1">ROUND(B5*10000/$B$2,0)</f>
        <v>5560</v>
      </c>
      <c r="E5" s="2703"/>
      <c r="F5" s="2703"/>
      <c r="G5" s="2704"/>
      <c r="H5" s="2704"/>
      <c r="I5" s="2704"/>
      <c r="J5" s="2704"/>
    </row>
    <row r="6" spans="1:10" ht="16.5">
      <c r="A6" s="2695" t="s">
        <v>2126</v>
      </c>
      <c r="B6" s="2695">
        <f ca="1">SUM(G14:G23)</f>
        <v>48091</v>
      </c>
      <c r="C6" s="2695">
        <f ca="1">ROUND(B6*10000/$B$1,0)</f>
        <v>1589</v>
      </c>
      <c r="D6" s="2695">
        <f ca="1">ROUND(B6*10000/$B$2,0)</f>
        <v>5560</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结果表!L38</f>
        <v>302725.5</v>
      </c>
      <c r="C14" s="2701">
        <f>结果表!K38</f>
        <v>86493.04</v>
      </c>
      <c r="D14" s="2701">
        <f ca="1">结果表!O38</f>
        <v>48091</v>
      </c>
      <c r="E14" s="2701">
        <f ca="1">ROUND(D14*10000/B14,0)</f>
        <v>1589</v>
      </c>
      <c r="F14" s="2701">
        <f ca="1">ROUND(D14*10000/C14,0)</f>
        <v>5560</v>
      </c>
      <c r="G14" s="2701">
        <f ca="1">D14</f>
        <v>48091</v>
      </c>
      <c r="H14" s="2701"/>
      <c r="I14" s="2701"/>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19" zoomScale="85" zoomScaleNormal="100" zoomScaleSheetLayoutView="85" zoomScalePageLayoutView="80" workbookViewId="0">
      <selection activeCell="R34" sqref="R34"/>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3353</v>
      </c>
      <c r="E1" s="1499" t="s">
        <v>1575</v>
      </c>
      <c r="F1" s="1501" t="s">
        <v>3354</v>
      </c>
      <c r="G1" s="287"/>
      <c r="H1" s="287"/>
      <c r="I1" s="287"/>
      <c r="J1" s="1636"/>
      <c r="K1" s="1636"/>
      <c r="L1" s="1636"/>
      <c r="M1" s="1636"/>
      <c r="N1" s="1636"/>
      <c r="O1" s="1636"/>
      <c r="P1" s="1636"/>
      <c r="Q1" s="1636"/>
      <c r="R1" s="1636"/>
      <c r="S1" s="1636"/>
      <c r="T1" s="1636"/>
      <c r="U1" s="1636"/>
      <c r="V1" s="1636"/>
    </row>
    <row r="2" spans="1:22" ht="21.75" customHeight="1" thickBot="1">
      <c r="A2" s="3541" t="str">
        <f>项目基本情况!K2</f>
        <v>江苏省连云港海州区锦屏山东南侧4号地出让国有建设用地使用权</v>
      </c>
      <c r="B2" s="3542"/>
      <c r="C2" s="3543"/>
      <c r="D2" s="3543"/>
      <c r="E2" s="3543"/>
      <c r="F2" s="3543"/>
      <c r="G2" s="3542"/>
      <c r="H2" s="3542"/>
      <c r="I2" s="3544"/>
      <c r="J2" s="1643"/>
      <c r="K2" s="1636"/>
      <c r="L2" s="1636"/>
      <c r="M2" s="1636"/>
      <c r="N2" s="1636"/>
      <c r="O2" s="1636"/>
      <c r="P2" s="1636"/>
      <c r="Q2" s="1636"/>
      <c r="R2" s="1636"/>
      <c r="S2" s="1636"/>
      <c r="T2" s="1636"/>
      <c r="U2" s="1636"/>
      <c r="V2" s="1636"/>
    </row>
    <row r="3" spans="1:22" ht="14.25">
      <c r="A3" s="3552" t="s">
        <v>264</v>
      </c>
      <c r="B3" s="3553"/>
      <c r="C3" s="3553"/>
      <c r="D3" s="3553"/>
      <c r="E3" s="3553"/>
      <c r="F3" s="3553"/>
      <c r="G3" s="3553"/>
      <c r="H3" s="3553"/>
      <c r="I3" s="3553"/>
      <c r="J3" s="1643"/>
      <c r="K3" s="1636"/>
      <c r="L3" s="1636"/>
      <c r="M3" s="1636"/>
      <c r="N3" s="1636"/>
      <c r="O3" s="1636"/>
      <c r="P3" s="1636"/>
      <c r="Q3" s="1636"/>
      <c r="R3" s="1636"/>
      <c r="S3" s="1636"/>
      <c r="T3" s="1636"/>
      <c r="U3" s="1636"/>
      <c r="V3" s="1636"/>
    </row>
    <row r="4" spans="1:22" ht="14.25">
      <c r="A4" s="238" t="s">
        <v>265</v>
      </c>
      <c r="B4" s="239" t="s">
        <v>266</v>
      </c>
      <c r="C4" s="240" t="s">
        <v>3350</v>
      </c>
      <c r="D4" s="240" t="s">
        <v>3351</v>
      </c>
      <c r="E4" s="3516" t="s">
        <v>267</v>
      </c>
      <c r="F4" s="3558"/>
      <c r="G4" s="3558"/>
      <c r="H4" s="3558"/>
      <c r="I4" s="3517"/>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45" t="s">
        <v>268</v>
      </c>
      <c r="B5" s="3546">
        <v>25</v>
      </c>
      <c r="C5" s="3554"/>
      <c r="D5" s="3557"/>
      <c r="E5" s="241" t="s">
        <v>269</v>
      </c>
      <c r="F5" s="242"/>
      <c r="G5" s="242"/>
      <c r="H5" s="242"/>
      <c r="I5" s="243"/>
      <c r="J5" s="1643"/>
      <c r="K5" s="1636"/>
      <c r="L5" s="1636"/>
      <c r="M5" s="1636"/>
      <c r="N5" s="1636"/>
      <c r="O5" s="1636"/>
      <c r="P5" s="1636"/>
      <c r="Q5" s="1636"/>
      <c r="R5" s="1636"/>
      <c r="S5" s="1636"/>
      <c r="T5" s="1636"/>
      <c r="U5" s="1636"/>
      <c r="V5" s="1636"/>
    </row>
    <row r="6" spans="1:22" ht="14.25">
      <c r="A6" s="3545"/>
      <c r="B6" s="3546"/>
      <c r="C6" s="3555"/>
      <c r="D6" s="3557"/>
      <c r="E6" s="241" t="s">
        <v>270</v>
      </c>
      <c r="F6" s="242"/>
      <c r="G6" s="242"/>
      <c r="H6" s="242"/>
      <c r="I6" s="243"/>
      <c r="J6" s="1643"/>
      <c r="K6" s="1636"/>
      <c r="L6" s="1636"/>
      <c r="M6" s="1636"/>
      <c r="N6" s="1636"/>
      <c r="O6" s="1636"/>
      <c r="P6" s="1636"/>
      <c r="Q6" s="1636"/>
      <c r="R6" s="1636"/>
      <c r="S6" s="1636"/>
      <c r="T6" s="1636"/>
      <c r="U6" s="1636"/>
      <c r="V6" s="1636"/>
    </row>
    <row r="7" spans="1:22" ht="14.25">
      <c r="A7" s="3545"/>
      <c r="B7" s="3546"/>
      <c r="C7" s="3556"/>
      <c r="D7" s="3557"/>
      <c r="E7" s="241" t="s">
        <v>271</v>
      </c>
      <c r="F7" s="242"/>
      <c r="G7" s="242"/>
      <c r="H7" s="242"/>
      <c r="I7" s="243"/>
      <c r="J7" s="1643"/>
      <c r="K7" s="1636"/>
      <c r="L7" s="1636"/>
      <c r="M7" s="1636"/>
      <c r="N7" s="1636"/>
      <c r="O7" s="1636"/>
      <c r="P7" s="1636"/>
      <c r="Q7" s="1636"/>
      <c r="R7" s="1636"/>
      <c r="S7" s="1636"/>
      <c r="T7" s="1636"/>
      <c r="U7" s="1636"/>
      <c r="V7" s="1636"/>
    </row>
    <row r="8" spans="1:22" ht="14.25">
      <c r="A8" s="3545" t="s">
        <v>272</v>
      </c>
      <c r="B8" s="3546">
        <v>15</v>
      </c>
      <c r="C8" s="3554"/>
      <c r="D8" s="3557"/>
      <c r="E8" s="241" t="s">
        <v>273</v>
      </c>
      <c r="F8" s="242"/>
      <c r="G8" s="242"/>
      <c r="H8" s="242"/>
      <c r="I8" s="243"/>
      <c r="J8" s="1643"/>
      <c r="K8" s="1636"/>
      <c r="L8" s="1636"/>
      <c r="M8" s="1636"/>
      <c r="N8" s="1636"/>
      <c r="O8" s="1636"/>
      <c r="P8" s="1636"/>
      <c r="Q8" s="1636"/>
      <c r="R8" s="1636"/>
      <c r="S8" s="1636"/>
      <c r="T8" s="1636"/>
      <c r="U8" s="1636"/>
      <c r="V8" s="1636"/>
    </row>
    <row r="9" spans="1:22" ht="14.25">
      <c r="A9" s="3545"/>
      <c r="B9" s="3546"/>
      <c r="C9" s="3556"/>
      <c r="D9" s="3557"/>
      <c r="E9" s="241" t="s">
        <v>274</v>
      </c>
      <c r="F9" s="242"/>
      <c r="G9" s="242"/>
      <c r="H9" s="242"/>
      <c r="I9" s="243"/>
      <c r="J9" s="1643"/>
      <c r="K9" s="1636"/>
      <c r="L9" s="1636"/>
      <c r="M9" s="1636"/>
      <c r="N9" s="1636"/>
      <c r="O9" s="1636"/>
      <c r="P9" s="1636"/>
      <c r="Q9" s="1636"/>
      <c r="R9" s="1636"/>
      <c r="S9" s="1636"/>
      <c r="T9" s="1636"/>
      <c r="U9" s="1636"/>
      <c r="V9" s="1636"/>
    </row>
    <row r="10" spans="1:22" ht="14.25">
      <c r="A10" s="3545" t="s">
        <v>275</v>
      </c>
      <c r="B10" s="3546">
        <v>15</v>
      </c>
      <c r="C10" s="3554"/>
      <c r="D10" s="3557"/>
      <c r="E10" s="241" t="s">
        <v>276</v>
      </c>
      <c r="F10" s="242"/>
      <c r="G10" s="242"/>
      <c r="H10" s="242"/>
      <c r="I10" s="243"/>
      <c r="J10" s="1643"/>
      <c r="K10" s="1636"/>
      <c r="L10" s="1636"/>
      <c r="M10" s="1636"/>
      <c r="N10" s="1636"/>
      <c r="O10" s="1636"/>
      <c r="P10" s="1636"/>
      <c r="Q10" s="1636"/>
      <c r="R10" s="1636"/>
      <c r="S10" s="1636"/>
      <c r="T10" s="1636"/>
      <c r="U10" s="1636"/>
      <c r="V10" s="1636"/>
    </row>
    <row r="11" spans="1:22" ht="14.25">
      <c r="A11" s="3545"/>
      <c r="B11" s="3546"/>
      <c r="C11" s="3556"/>
      <c r="D11" s="3557"/>
      <c r="E11" s="241" t="s">
        <v>277</v>
      </c>
      <c r="F11" s="242"/>
      <c r="G11" s="242"/>
      <c r="H11" s="242"/>
      <c r="I11" s="243"/>
      <c r="J11" s="1643"/>
      <c r="K11" s="1636"/>
      <c r="L11" s="1636"/>
      <c r="M11" s="1636"/>
      <c r="N11" s="1636"/>
      <c r="O11" s="1636"/>
      <c r="P11" s="1636"/>
      <c r="Q11" s="1636"/>
      <c r="R11" s="1636"/>
      <c r="S11" s="1636"/>
      <c r="T11" s="1636"/>
      <c r="U11" s="1636"/>
      <c r="V11" s="1636"/>
    </row>
    <row r="12" spans="1:22" ht="14.25">
      <c r="A12" s="3545" t="s">
        <v>278</v>
      </c>
      <c r="B12" s="3546">
        <v>15</v>
      </c>
      <c r="C12" s="3554"/>
      <c r="D12" s="3557"/>
      <c r="E12" s="241" t="s">
        <v>279</v>
      </c>
      <c r="F12" s="242"/>
      <c r="G12" s="242"/>
      <c r="H12" s="242"/>
      <c r="I12" s="243"/>
      <c r="J12" s="1643"/>
      <c r="K12" s="1636"/>
      <c r="L12" s="1636"/>
      <c r="M12" s="1636"/>
      <c r="N12" s="1636"/>
      <c r="O12" s="1636"/>
      <c r="P12" s="1636"/>
      <c r="Q12" s="1636"/>
      <c r="R12" s="1636"/>
      <c r="S12" s="1636"/>
      <c r="T12" s="1636"/>
      <c r="U12" s="1636"/>
      <c r="V12" s="1636"/>
    </row>
    <row r="13" spans="1:22" ht="14.25">
      <c r="A13" s="3545"/>
      <c r="B13" s="3546"/>
      <c r="C13" s="3556"/>
      <c r="D13" s="3557"/>
      <c r="E13" s="241" t="s">
        <v>280</v>
      </c>
      <c r="F13" s="242"/>
      <c r="G13" s="242"/>
      <c r="H13" s="242"/>
      <c r="I13" s="243"/>
      <c r="J13" s="1643"/>
      <c r="K13" s="1636"/>
      <c r="L13" s="1636"/>
      <c r="M13" s="1636"/>
      <c r="N13" s="1636"/>
      <c r="O13" s="1636"/>
      <c r="P13" s="1636"/>
      <c r="Q13" s="1636"/>
      <c r="R13" s="1636"/>
      <c r="S13" s="1636"/>
      <c r="T13" s="1636"/>
      <c r="U13" s="1636"/>
      <c r="V13" s="1636"/>
    </row>
    <row r="14" spans="1:22" ht="14.25">
      <c r="A14" s="3545" t="s">
        <v>281</v>
      </c>
      <c r="B14" s="3546">
        <v>30</v>
      </c>
      <c r="C14" s="3554">
        <v>3</v>
      </c>
      <c r="D14" s="3557">
        <v>7</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45"/>
      <c r="B15" s="3546"/>
      <c r="C15" s="3555"/>
      <c r="D15" s="3557"/>
      <c r="E15" s="241" t="s">
        <v>283</v>
      </c>
      <c r="F15" s="242"/>
      <c r="G15" s="242"/>
      <c r="H15" s="242"/>
      <c r="I15" s="243"/>
      <c r="J15" s="1643"/>
      <c r="K15" s="1636"/>
      <c r="L15" s="1636"/>
      <c r="M15" s="1636"/>
      <c r="N15" s="1636"/>
      <c r="O15" s="1636"/>
      <c r="P15" s="1636"/>
      <c r="Q15" s="1636"/>
      <c r="R15" s="1636"/>
      <c r="S15" s="1636"/>
      <c r="T15" s="1636"/>
      <c r="U15" s="1636"/>
      <c r="V15" s="1636"/>
    </row>
    <row r="16" spans="1:22" ht="14.25">
      <c r="A16" s="3545"/>
      <c r="B16" s="3546"/>
      <c r="C16" s="3556"/>
      <c r="D16" s="3557"/>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3</v>
      </c>
      <c r="D17" s="245">
        <f>SUM(D5:D16)</f>
        <v>7</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0.3</v>
      </c>
      <c r="D18" s="247">
        <f>1-C18</f>
        <v>0.7</v>
      </c>
      <c r="E18" s="3559" t="s">
        <v>2249</v>
      </c>
      <c r="F18" s="3560"/>
      <c r="G18" s="3560"/>
      <c r="H18" s="3560"/>
      <c r="I18" s="3560"/>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24490</v>
      </c>
      <c r="D19" s="251">
        <f ca="1">SUMIF(INDIRECT("'"&amp;D4&amp;"'"&amp;"!A:A"),结果表!B19,INDIRECT("'"&amp;D4&amp;"'"&amp;"!B:B"))</f>
        <v>58206</v>
      </c>
      <c r="E19" s="248" t="s">
        <v>289</v>
      </c>
      <c r="F19" s="249" t="s">
        <v>288</v>
      </c>
      <c r="G19" s="252">
        <f ca="1">ROUND(C19*$C$18+D19*$D$18,0)</f>
        <v>48091</v>
      </c>
      <c r="H19" s="253" t="s">
        <v>290</v>
      </c>
      <c r="I19" s="287"/>
      <c r="J19" s="1636"/>
      <c r="K19" s="1636">
        <v>50437</v>
      </c>
      <c r="L19" s="1636">
        <f ca="1">K19-G19</f>
        <v>2346</v>
      </c>
      <c r="M19" s="1636"/>
      <c r="N19" s="1636"/>
      <c r="O19" s="1636"/>
      <c r="P19" s="1636"/>
      <c r="Q19" s="1636"/>
      <c r="R19" s="1636"/>
      <c r="S19" s="1636"/>
      <c r="T19" s="1636"/>
      <c r="U19" s="1636"/>
      <c r="V19" s="1636"/>
    </row>
    <row r="20" spans="1:22" ht="15">
      <c r="A20" s="254"/>
      <c r="B20" s="102" t="s">
        <v>291</v>
      </c>
      <c r="C20" s="255">
        <f ca="1">SUMIF(INDIRECT("'"&amp;C4&amp;"'"&amp;"!A:A"),结果表!B20,INDIRECT("'"&amp;C4&amp;"'"&amp;"!B:B"))</f>
        <v>809</v>
      </c>
      <c r="D20" s="256">
        <f ca="1">SUMIF(INDIRECT("'"&amp;D4&amp;"'"&amp;"!A:A"),结果表!B20,INDIRECT("'"&amp;D4&amp;"'"&amp;"!B:B"))</f>
        <v>1923</v>
      </c>
      <c r="E20" s="254"/>
      <c r="F20" s="102" t="s">
        <v>291</v>
      </c>
      <c r="G20" s="257">
        <f ca="1">ROUND(C20*$C$18+D20*$D$18,0)</f>
        <v>1589</v>
      </c>
      <c r="H20" s="258" t="s">
        <v>292</v>
      </c>
      <c r="I20" s="287"/>
      <c r="J20" s="1636"/>
      <c r="K20" s="1636">
        <v>47600</v>
      </c>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2831</v>
      </c>
      <c r="D21" s="135">
        <f ca="1">SUMIF(INDIRECT("'"&amp;D4&amp;"'"&amp;"!A:A"),结果表!B21,INDIRECT("'"&amp;D4&amp;"'"&amp;"!B:B"))</f>
        <v>6730</v>
      </c>
      <c r="E21" s="254"/>
      <c r="F21" s="106" t="s">
        <v>293</v>
      </c>
      <c r="G21" s="260">
        <f ca="1">ROUND(C21*$C$18+D21*$D$18,0)</f>
        <v>5560</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1.3767251939567169</v>
      </c>
      <c r="E22" s="262"/>
      <c r="F22" s="263"/>
      <c r="G22" s="264">
        <f ca="1">ROUND(G19/('数据-汇总表'!D3/666.67),0)</f>
        <v>371</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8"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65"/>
      <c r="B25" s="1124" t="s">
        <v>297</v>
      </c>
      <c r="C25" s="268">
        <f>IF(B30=0,0,C30)</f>
        <v>0</v>
      </c>
      <c r="D25" s="269"/>
      <c r="E25" s="287"/>
      <c r="F25" s="287"/>
      <c r="G25" s="287"/>
      <c r="H25" s="287"/>
      <c r="I25" s="287"/>
      <c r="J25" s="1636"/>
      <c r="K25" s="1061" t="str">
        <f ca="1">项目基本情况!A17&amp;"国有建设用地使用权价格："&amp;O38&amp;"万元"</f>
        <v>出让国有建设用地使用权价格：48091万元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大写金额：人民币肆亿捌仟零玖拾壹万元整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单位面积地价：5560元/平方米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楼面地价：1589元/平方米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抵押价格：48091万元</v>
      </c>
      <c r="L29" s="1060"/>
      <c r="M29" s="1060"/>
      <c r="N29" s="1060"/>
      <c r="O29" s="258"/>
      <c r="P29" s="1636"/>
      <c r="V29" s="1636"/>
    </row>
    <row r="30" spans="1:22" ht="18.75" thickBot="1">
      <c r="A30" s="2365" t="s">
        <v>302</v>
      </c>
      <c r="B30" s="285"/>
      <c r="C30" s="285"/>
      <c r="D30" s="286"/>
      <c r="E30" s="2539" t="s">
        <v>2250</v>
      </c>
      <c r="F30" s="287"/>
      <c r="G30" s="287"/>
      <c r="H30" s="287"/>
      <c r="I30" s="287"/>
      <c r="J30" s="1636"/>
      <c r="K30" s="1064" t="str">
        <f ca="1">IF(K29="——","——","大写金额：人民币"&amp;NUMBERSTRING(INT(O39*10000),2)&amp;"元整")</f>
        <v>大写金额：人民币肆亿捌仟零玖拾壹万元整</v>
      </c>
      <c r="L30" s="1060"/>
      <c r="M30" s="1060"/>
      <c r="N30" s="1060"/>
      <c r="O30" s="258"/>
      <c r="P30" s="1636"/>
      <c r="V30" s="1636"/>
    </row>
    <row r="31" spans="1:22" ht="24" customHeight="1" thickBot="1">
      <c r="A31" s="3561" t="s">
        <v>2251</v>
      </c>
      <c r="B31" s="3561"/>
      <c r="C31" s="3561"/>
      <c r="D31" s="3561"/>
      <c r="E31" s="3561"/>
      <c r="F31" s="3561"/>
      <c r="G31" s="3561"/>
      <c r="H31" s="3561"/>
      <c r="I31" s="3561"/>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48091</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1589</v>
      </c>
      <c r="D33" s="1173" t="s">
        <v>1224</v>
      </c>
      <c r="E33" s="3518"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5560</v>
      </c>
      <c r="D34" s="1173" t="s">
        <v>1224</v>
      </c>
      <c r="E34" s="3519"/>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371</v>
      </c>
      <c r="D35" s="1176" t="s">
        <v>1226</v>
      </c>
      <c r="E35" s="3520"/>
      <c r="F35" s="278" t="s">
        <v>308</v>
      </c>
      <c r="G35" s="896"/>
      <c r="H35" s="895" t="s">
        <v>309</v>
      </c>
      <c r="I35" s="287"/>
      <c r="J35" s="1636"/>
      <c r="K35" s="3524" t="s">
        <v>316</v>
      </c>
      <c r="L35" s="3524" t="s">
        <v>317</v>
      </c>
      <c r="M35" s="1070" t="s">
        <v>318</v>
      </c>
      <c r="N35" s="3524" t="s">
        <v>319</v>
      </c>
      <c r="O35" s="3524" t="s">
        <v>320</v>
      </c>
      <c r="P35" s="1636"/>
      <c r="V35" s="1636"/>
    </row>
    <row r="36" spans="1:22" ht="16.5" customHeight="1">
      <c r="A36" s="280" t="s">
        <v>310</v>
      </c>
      <c r="B36" s="281" t="s">
        <v>299</v>
      </c>
      <c r="C36" s="282" t="s">
        <v>311</v>
      </c>
      <c r="D36" s="282" t="s">
        <v>312</v>
      </c>
      <c r="E36" s="283" t="s">
        <v>313</v>
      </c>
      <c r="F36" s="287"/>
      <c r="G36" s="287"/>
      <c r="H36" s="287"/>
      <c r="I36" s="287"/>
      <c r="J36" s="1644"/>
      <c r="K36" s="3525"/>
      <c r="L36" s="3525"/>
      <c r="M36" s="1072" t="s">
        <v>321</v>
      </c>
      <c r="N36" s="3525"/>
      <c r="O36" s="3525"/>
      <c r="P36" s="1636"/>
      <c r="V36" s="1636"/>
    </row>
    <row r="37" spans="1:22" ht="16.5" customHeight="1" thickBot="1">
      <c r="A37" s="1066" t="s">
        <v>314</v>
      </c>
      <c r="B37" s="270"/>
      <c r="C37" s="271"/>
      <c r="D37" s="271"/>
      <c r="E37" s="272"/>
      <c r="F37" s="287"/>
      <c r="G37" s="287"/>
      <c r="H37" s="287"/>
      <c r="I37" s="287"/>
      <c r="J37" s="1644"/>
      <c r="K37" s="3526"/>
      <c r="L37" s="3526"/>
      <c r="M37" s="1073"/>
      <c r="N37" s="3526"/>
      <c r="O37" s="3526"/>
      <c r="P37" s="1636"/>
      <c r="V37" s="1636"/>
    </row>
    <row r="38" spans="1:22" ht="16.5" customHeight="1" thickBot="1">
      <c r="A38" s="1066" t="s">
        <v>315</v>
      </c>
      <c r="B38" s="270"/>
      <c r="C38" s="271"/>
      <c r="D38" s="271"/>
      <c r="E38" s="272"/>
      <c r="F38" s="287"/>
      <c r="G38" s="287"/>
      <c r="H38" s="287"/>
      <c r="I38" s="287"/>
      <c r="J38" s="1644"/>
      <c r="K38" s="1074">
        <f>'数据-汇总表'!D3</f>
        <v>86493.04</v>
      </c>
      <c r="L38" s="1075">
        <f>'数据-汇总表'!E3</f>
        <v>302725.5</v>
      </c>
      <c r="M38" s="1075">
        <f ca="1">C34</f>
        <v>5560</v>
      </c>
      <c r="N38" s="1075">
        <f ca="1">C33</f>
        <v>1589</v>
      </c>
      <c r="O38" s="1076">
        <f ca="1">C32</f>
        <v>48091</v>
      </c>
      <c r="P38" s="1636"/>
      <c r="V38" s="1636"/>
    </row>
    <row r="39" spans="1:22" ht="16.5" customHeight="1" thickBot="1">
      <c r="A39" s="1071"/>
      <c r="B39" s="284"/>
      <c r="C39" s="285"/>
      <c r="D39" s="285"/>
      <c r="E39" s="286"/>
      <c r="F39" s="287"/>
      <c r="G39" s="287"/>
      <c r="H39" s="287"/>
      <c r="I39" s="287"/>
      <c r="J39" s="1644"/>
      <c r="K39" s="3537" t="str">
        <f>MID(A44,3,LEN(A44)-2)</f>
        <v>抵押价格</v>
      </c>
      <c r="L39" s="3538"/>
      <c r="M39" s="3538"/>
      <c r="N39" s="3539"/>
      <c r="O39" s="1178">
        <f ca="1">C44</f>
        <v>48091</v>
      </c>
      <c r="P39" s="1636"/>
      <c r="V39" s="1636"/>
    </row>
    <row r="40" spans="1:22" ht="19.5" thickBot="1">
      <c r="A40" s="95" t="s">
        <v>810</v>
      </c>
      <c r="B40" s="287"/>
      <c r="C40" s="287"/>
      <c r="D40" s="287"/>
      <c r="E40" s="287"/>
      <c r="F40" s="287"/>
      <c r="G40" s="287"/>
      <c r="H40" s="287"/>
      <c r="I40" s="287"/>
      <c r="J40" s="1644"/>
      <c r="K40" s="3537" t="str">
        <f>MID(A45,3,LEN(A45)-2)</f>
        <v/>
      </c>
      <c r="L40" s="3538"/>
      <c r="M40" s="3538"/>
      <c r="N40" s="3539"/>
      <c r="O40" s="1178" t="str">
        <f>C45</f>
        <v>——</v>
      </c>
      <c r="P40" s="1636"/>
      <c r="V40" s="1636"/>
    </row>
    <row r="41" spans="1:22" ht="16.5" thickBot="1">
      <c r="A41" s="288" t="s">
        <v>322</v>
      </c>
      <c r="B41" s="289"/>
      <c r="C41" s="290" t="s">
        <v>323</v>
      </c>
      <c r="D41" s="291" t="s">
        <v>324</v>
      </c>
      <c r="E41" s="291" t="s">
        <v>325</v>
      </c>
      <c r="F41" s="292" t="s">
        <v>326</v>
      </c>
      <c r="G41" s="287"/>
      <c r="H41" s="287"/>
      <c r="I41" s="287"/>
      <c r="J41" s="1644"/>
      <c r="K41" s="3537" t="str">
        <f>MID(A46,3,LEN(A46)-2)</f>
        <v/>
      </c>
      <c r="L41" s="3538"/>
      <c r="M41" s="3538"/>
      <c r="N41" s="3539"/>
      <c r="O41" s="1178" t="str">
        <f>C46</f>
        <v>——</v>
      </c>
      <c r="P41" s="1636"/>
      <c r="V41" s="1636"/>
    </row>
    <row r="42" spans="1:22" ht="29.25">
      <c r="A42" s="3566" t="s">
        <v>1585</v>
      </c>
      <c r="B42" s="3567"/>
      <c r="C42" s="244">
        <f ca="1">C32</f>
        <v>48091</v>
      </c>
      <c r="D42" s="293">
        <f ca="1">C33</f>
        <v>1589</v>
      </c>
      <c r="E42" s="293">
        <f ca="1">C34</f>
        <v>5560</v>
      </c>
      <c r="F42" s="294">
        <f ca="1">C35</f>
        <v>371</v>
      </c>
      <c r="G42" s="287"/>
      <c r="H42" s="287"/>
      <c r="I42" s="295"/>
      <c r="J42" s="1644"/>
      <c r="K42" s="1077" t="s">
        <v>327</v>
      </c>
      <c r="L42" s="1660" t="s">
        <v>328</v>
      </c>
      <c r="M42" s="1078" t="s">
        <v>329</v>
      </c>
      <c r="N42" s="1661" t="s">
        <v>330</v>
      </c>
      <c r="O42" s="1662" t="s">
        <v>331</v>
      </c>
      <c r="P42" s="1636"/>
      <c r="V42" s="1636"/>
    </row>
    <row r="43" spans="1:22" ht="30">
      <c r="A43" s="3576" t="s">
        <v>2012</v>
      </c>
      <c r="B43" s="3577"/>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24490</v>
      </c>
      <c r="M43" s="1081">
        <f>C18</f>
        <v>0.3</v>
      </c>
      <c r="N43" s="1082">
        <f ca="1">IF(N42="测算结果/万元",G19,G20)</f>
        <v>48091</v>
      </c>
      <c r="O43" s="1083">
        <f ca="1">IF(O42="最终结果/万元",C32,C33)</f>
        <v>48091</v>
      </c>
      <c r="P43" s="1636"/>
      <c r="V43" s="1636"/>
    </row>
    <row r="44" spans="1:22" ht="30.75" thickBot="1">
      <c r="A44" s="3566" t="str">
        <f>IF(OR(项目基本情况!E8="抵押价格",项目基本情况!E8="已注销及未注销"),"3.抵押价格","——")</f>
        <v>3.抵押价格</v>
      </c>
      <c r="B44" s="3567"/>
      <c r="C44" s="244">
        <f ca="1">IF(A44="——","——",C42-C43)</f>
        <v>48091</v>
      </c>
      <c r="D44" s="293">
        <f ca="1">ROUND(C44*10000/'数据-汇总表'!E3,0)</f>
        <v>1589</v>
      </c>
      <c r="E44" s="293">
        <f ca="1">ROUND(C44*10000/'数据-汇总表'!D3,0)</f>
        <v>5560</v>
      </c>
      <c r="F44" s="294">
        <f ca="1">ROUND(C44/('数据-汇总表'!D3/666.67),0)</f>
        <v>371</v>
      </c>
      <c r="G44" s="287"/>
      <c r="H44" s="287"/>
      <c r="I44" s="295"/>
      <c r="J44" s="1644"/>
      <c r="K44" s="1084" t="str">
        <f>D4</f>
        <v>剩余法-待开发</v>
      </c>
      <c r="L44" s="1085">
        <f ca="1">IF(L42="估价结果/万元",D19,D20)</f>
        <v>58206</v>
      </c>
      <c r="M44" s="1086">
        <f>D18</f>
        <v>0.7</v>
      </c>
      <c r="N44" s="1087"/>
      <c r="O44" s="1088"/>
      <c r="P44" s="1636"/>
      <c r="V44" s="1636"/>
    </row>
    <row r="45" spans="1:22" ht="15">
      <c r="A45" s="3571" t="str">
        <f>IF(项目基本情况!E8="已注销及未注销","4.抵押担保权已注销时的抵押价格",IF(项目基本情况!E8="已注销","3.抵押担保权已注销时的抵押价格","——"))</f>
        <v>——</v>
      </c>
      <c r="B45" s="3572"/>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68" t="str">
        <f>IF(项目基本情况!E9="抵押净值",IF(A45="——","4.抵押净值","5.抵押净值"),"——")</f>
        <v>——</v>
      </c>
      <c r="B46" s="3569"/>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29" t="s">
        <v>340</v>
      </c>
      <c r="B63" s="3530"/>
      <c r="C63" s="3531"/>
      <c r="D63" s="315">
        <f ca="1">ROUND(C42*F63,0)</f>
        <v>48091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73" t="s">
        <v>344</v>
      </c>
      <c r="B64" s="3574"/>
      <c r="C64" s="3574"/>
      <c r="D64" s="3574"/>
      <c r="E64" s="3574"/>
      <c r="F64" s="3574"/>
      <c r="G64" s="3575"/>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70" t="s">
        <v>352</v>
      </c>
      <c r="B66" s="3536"/>
      <c r="C66" s="3536"/>
      <c r="D66" s="241" t="b">
        <f>IF(H66="情况1",0,IF(H66="情况2",D70,IF(H66="情况3",D71,IF(H66="情况4",D72))))</f>
        <v>0</v>
      </c>
      <c r="E66" s="906" t="str">
        <f>IF(H66="情况4","(销售额-原购置价)×税（费）率","销售额×税（费）率")</f>
        <v>销售额×税（费）率</v>
      </c>
      <c r="F66" s="324">
        <f>IF(H66="情况1","免征",'数据-取费表'!B41)</f>
        <v>5.6000000000000001E-2</v>
      </c>
      <c r="G66" s="325" t="s">
        <v>353</v>
      </c>
      <c r="H66" s="174"/>
      <c r="I66" s="1093"/>
      <c r="J66" s="1648"/>
      <c r="K66" s="1096">
        <v>1</v>
      </c>
      <c r="L66" s="3497" t="s">
        <v>351</v>
      </c>
      <c r="M66" s="3498"/>
      <c r="N66" s="1973"/>
      <c r="O66" s="1974"/>
      <c r="P66" s="1975"/>
      <c r="Q66" s="1636"/>
      <c r="R66" s="1636"/>
      <c r="S66" s="1636"/>
      <c r="T66" s="1636"/>
      <c r="U66" s="1636"/>
      <c r="V66" s="1636"/>
    </row>
    <row r="67" spans="1:22" ht="25.5" customHeight="1">
      <c r="A67" s="326" t="s">
        <v>355</v>
      </c>
      <c r="B67" s="3548" t="s">
        <v>356</v>
      </c>
      <c r="C67" s="3548"/>
      <c r="D67" s="327">
        <v>0</v>
      </c>
      <c r="E67" s="37" t="s">
        <v>357</v>
      </c>
      <c r="F67" s="58" t="s">
        <v>15</v>
      </c>
      <c r="G67" s="3532"/>
      <c r="H67" s="2542" t="s">
        <v>2252</v>
      </c>
      <c r="I67" s="2544"/>
      <c r="J67" s="1649"/>
      <c r="K67" s="1632">
        <v>2</v>
      </c>
      <c r="L67" s="3502" t="s">
        <v>354</v>
      </c>
      <c r="M67" s="3502"/>
      <c r="N67" s="1128">
        <f>'数据-取费表'!B2</f>
        <v>45057</v>
      </c>
      <c r="O67" s="1128"/>
      <c r="P67" s="1128"/>
      <c r="Q67" s="1636"/>
      <c r="R67" s="1636"/>
      <c r="S67" s="1636"/>
      <c r="T67" s="1636"/>
      <c r="U67" s="1636"/>
      <c r="V67" s="1636"/>
    </row>
    <row r="68" spans="1:22" ht="25.5" customHeight="1">
      <c r="A68" s="328"/>
      <c r="B68" s="3548" t="s">
        <v>359</v>
      </c>
      <c r="C68" s="3548"/>
      <c r="D68" s="329"/>
      <c r="E68" s="73"/>
      <c r="F68" s="330"/>
      <c r="G68" s="3533"/>
      <c r="H68" s="2543" t="s">
        <v>2253</v>
      </c>
      <c r="I68" s="2544"/>
      <c r="J68" s="1649"/>
      <c r="K68" s="1632">
        <v>3</v>
      </c>
      <c r="L68" s="3502" t="s">
        <v>358</v>
      </c>
      <c r="M68" s="3502"/>
      <c r="N68" s="1098">
        <f ca="1">C42</f>
        <v>48091</v>
      </c>
      <c r="O68" s="1098"/>
      <c r="P68" s="1098"/>
      <c r="Q68" s="1636"/>
      <c r="R68" s="1636"/>
      <c r="S68" s="1636"/>
      <c r="T68" s="1636"/>
      <c r="U68" s="1636"/>
      <c r="V68" s="1636"/>
    </row>
    <row r="69" spans="1:22" ht="23.45" customHeight="1">
      <c r="A69" s="331"/>
      <c r="B69" s="3548" t="s">
        <v>360</v>
      </c>
      <c r="C69" s="3548"/>
      <c r="D69" s="332"/>
      <c r="E69" s="69"/>
      <c r="F69" s="330"/>
      <c r="G69" s="3534"/>
      <c r="H69" s="2543" t="s">
        <v>2254</v>
      </c>
      <c r="I69" s="2544"/>
      <c r="J69" s="1649"/>
      <c r="K69" s="1099">
        <v>4</v>
      </c>
      <c r="L69" s="3503" t="s">
        <v>2157</v>
      </c>
      <c r="M69" s="3504"/>
      <c r="N69" s="1100">
        <f ca="1">C44</f>
        <v>48091</v>
      </c>
      <c r="O69" s="1100"/>
      <c r="P69" s="1100"/>
      <c r="Q69" s="1636"/>
      <c r="R69" s="1636"/>
      <c r="S69" s="1636"/>
      <c r="T69" s="1636"/>
      <c r="U69" s="1636"/>
      <c r="V69" s="1636"/>
    </row>
    <row r="70" spans="1:22" ht="24" customHeight="1">
      <c r="A70" s="333" t="s">
        <v>361</v>
      </c>
      <c r="B70" s="3548" t="s">
        <v>362</v>
      </c>
      <c r="C70" s="3548"/>
      <c r="D70" s="332">
        <f ca="1">ROUND(D63*'数据-取费表'!B41/(1+'数据-取费表'!C42),0)</f>
        <v>2565</v>
      </c>
      <c r="E70" s="14" t="s">
        <v>363</v>
      </c>
      <c r="F70" s="334">
        <f>'数据-取费表'!B41</f>
        <v>5.6000000000000001E-2</v>
      </c>
      <c r="G70" s="335"/>
      <c r="H70" s="287"/>
      <c r="I70" s="1097"/>
      <c r="J70" s="1649"/>
      <c r="K70" s="2333"/>
      <c r="L70" s="2334"/>
      <c r="M70" s="2334"/>
      <c r="N70" s="2335" t="s">
        <v>2161</v>
      </c>
      <c r="O70" s="2334"/>
      <c r="P70" s="2336"/>
      <c r="Q70" s="1636"/>
      <c r="R70" s="1636"/>
      <c r="S70" s="1636"/>
      <c r="T70" s="1636"/>
      <c r="U70" s="1636"/>
      <c r="V70" s="1636"/>
    </row>
    <row r="71" spans="1:22" ht="12" customHeight="1">
      <c r="A71" s="333" t="s">
        <v>369</v>
      </c>
      <c r="B71" s="3547" t="s">
        <v>2281</v>
      </c>
      <c r="C71" s="3564"/>
      <c r="D71" s="332">
        <f ca="1">ROUND(D63*'数据-取费表'!B41/(1+'数据-取费表'!C42),0)</f>
        <v>2565</v>
      </c>
      <c r="E71" s="14" t="s">
        <v>363</v>
      </c>
      <c r="F71" s="334">
        <f>'数据-取费表'!B41</f>
        <v>5.6000000000000001E-2</v>
      </c>
      <c r="G71" s="335"/>
      <c r="H71" s="287"/>
      <c r="I71" s="1097"/>
      <c r="J71" s="1649"/>
      <c r="K71" s="2332" t="s">
        <v>364</v>
      </c>
      <c r="L71" s="3505" t="s">
        <v>365</v>
      </c>
      <c r="M71" s="3505"/>
      <c r="N71" s="2332" t="s">
        <v>366</v>
      </c>
      <c r="O71" s="2332" t="s">
        <v>367</v>
      </c>
      <c r="P71" s="2332" t="s">
        <v>368</v>
      </c>
      <c r="Q71" s="1636"/>
      <c r="R71" s="1636"/>
      <c r="S71" s="1636"/>
      <c r="T71" s="1636"/>
      <c r="U71" s="1636"/>
      <c r="V71" s="1636"/>
    </row>
    <row r="72" spans="1:22" ht="12" customHeight="1">
      <c r="A72" s="333" t="s">
        <v>371</v>
      </c>
      <c r="B72" s="3547" t="s">
        <v>2282</v>
      </c>
      <c r="C72" s="3564"/>
      <c r="D72" s="332">
        <f ca="1">C86</f>
        <v>2565</v>
      </c>
      <c r="E72" s="69" t="s">
        <v>372</v>
      </c>
      <c r="F72" s="334">
        <f>'数据-取费表'!B41</f>
        <v>5.6000000000000001E-2</v>
      </c>
      <c r="G72" s="335"/>
      <c r="H72" s="1103"/>
      <c r="I72" s="1097"/>
      <c r="J72" s="1649"/>
      <c r="K72" s="1632">
        <v>1</v>
      </c>
      <c r="L72" s="3501" t="s">
        <v>370</v>
      </c>
      <c r="M72" s="3501"/>
      <c r="N72" s="1101" t="b">
        <f>D66</f>
        <v>0</v>
      </c>
      <c r="O72" s="1539" t="str">
        <f>E66</f>
        <v>销售额×税（费）率</v>
      </c>
      <c r="P72" s="1102">
        <f>F66</f>
        <v>5.6000000000000001E-2</v>
      </c>
      <c r="Q72" s="1636"/>
      <c r="R72" s="1636"/>
      <c r="S72" s="1636"/>
      <c r="T72" s="1636"/>
      <c r="U72" s="1636"/>
      <c r="V72" s="1636"/>
    </row>
    <row r="73" spans="1:22" ht="24" customHeight="1">
      <c r="A73" s="3535" t="s">
        <v>374</v>
      </c>
      <c r="B73" s="3536"/>
      <c r="C73" s="3536"/>
      <c r="D73" s="336">
        <f ca="1">IF(H73="个人住宅",0,ROUND(D63*I73,0))</f>
        <v>24</v>
      </c>
      <c r="E73" s="14" t="s">
        <v>375</v>
      </c>
      <c r="F73" s="334" t="str">
        <f>IF(H73="正常",I73,"免征")</f>
        <v>免征</v>
      </c>
      <c r="G73" s="335"/>
      <c r="H73" s="174"/>
      <c r="I73" s="334">
        <f>'数据-取费表'!B49</f>
        <v>5.0000000000000001E-4</v>
      </c>
      <c r="J73" s="1649"/>
      <c r="K73" s="1632">
        <v>2</v>
      </c>
      <c r="L73" s="3501" t="s">
        <v>373</v>
      </c>
      <c r="M73" s="3501"/>
      <c r="N73" s="1101">
        <f t="shared" ref="N73:P74" ca="1" si="0">D73</f>
        <v>24</v>
      </c>
      <c r="O73" s="1539" t="str">
        <f t="shared" si="0"/>
        <v>销售额×税（费）率</v>
      </c>
      <c r="P73" s="1102" t="str">
        <f t="shared" si="0"/>
        <v>免征</v>
      </c>
      <c r="Q73" s="1636"/>
      <c r="R73" s="1636"/>
      <c r="S73" s="1636"/>
      <c r="T73" s="1636"/>
      <c r="U73" s="1636"/>
      <c r="V73" s="1636"/>
    </row>
    <row r="74" spans="1:22" ht="24.75">
      <c r="A74" s="3535" t="s">
        <v>377</v>
      </c>
      <c r="B74" s="3536"/>
      <c r="C74" s="3536"/>
      <c r="D74" s="336">
        <f ca="1">IF(H74="个人住宅",D75,D76)</f>
        <v>27219</v>
      </c>
      <c r="E74" s="14" t="s">
        <v>378</v>
      </c>
      <c r="F74" s="334" t="str">
        <f>IF(H74="正常",F76,"免征")</f>
        <v>免征</v>
      </c>
      <c r="G74" s="897" t="s">
        <v>379</v>
      </c>
      <c r="H74" s="337"/>
      <c r="I74" s="38"/>
      <c r="J74" s="1649"/>
      <c r="K74" s="1632">
        <v>3</v>
      </c>
      <c r="L74" s="3501" t="s">
        <v>376</v>
      </c>
      <c r="M74" s="3501"/>
      <c r="N74" s="1101">
        <f t="shared" ca="1" si="0"/>
        <v>27219</v>
      </c>
      <c r="O74" s="1539" t="str">
        <f t="shared" si="0"/>
        <v>增值额×税（费）率</v>
      </c>
      <c r="P74" s="1104" t="str">
        <f t="shared" si="0"/>
        <v>免征</v>
      </c>
      <c r="Q74" s="1636"/>
      <c r="R74" s="1636"/>
      <c r="S74" s="1636"/>
      <c r="T74" s="1636"/>
      <c r="U74" s="1636"/>
      <c r="V74" s="1636"/>
    </row>
    <row r="75" spans="1:22" ht="12.75">
      <c r="A75" s="333" t="s">
        <v>380</v>
      </c>
      <c r="B75" s="3516" t="s">
        <v>381</v>
      </c>
      <c r="C75" s="3517"/>
      <c r="D75" s="338">
        <v>0</v>
      </c>
      <c r="E75" s="37" t="s">
        <v>382</v>
      </c>
      <c r="F75" s="339"/>
      <c r="G75" s="335"/>
      <c r="H75" s="38"/>
      <c r="I75" s="38"/>
      <c r="J75" s="1649"/>
      <c r="K75" s="1632">
        <f>IF(H77="非个人房产","",4)</f>
        <v>4</v>
      </c>
      <c r="L75" s="3501" t="str">
        <f>IF(H77="非个人房产","——","个人所得税")</f>
        <v>个人所得税</v>
      </c>
      <c r="M75" s="3501"/>
      <c r="N75" s="1105">
        <f>D77</f>
        <v>0</v>
      </c>
      <c r="O75" s="1540" t="str">
        <f>E77</f>
        <v>差额计税</v>
      </c>
      <c r="P75" s="1106">
        <f>F77</f>
        <v>0.01</v>
      </c>
      <c r="Q75" s="1636"/>
      <c r="R75" s="1636"/>
      <c r="S75" s="1636"/>
      <c r="T75" s="1636"/>
      <c r="U75" s="1636"/>
      <c r="V75" s="1636"/>
    </row>
    <row r="76" spans="1:22" ht="24.75">
      <c r="A76" s="333" t="s">
        <v>361</v>
      </c>
      <c r="B76" s="3516" t="s">
        <v>384</v>
      </c>
      <c r="C76" s="3558"/>
      <c r="D76" s="336">
        <f ca="1">IF(H76="转让取得",C99,C115)</f>
        <v>27219</v>
      </c>
      <c r="E76" s="14" t="s">
        <v>385</v>
      </c>
      <c r="F76" s="49" t="s">
        <v>15</v>
      </c>
      <c r="G76" s="335"/>
      <c r="H76" s="337"/>
      <c r="I76" s="38"/>
      <c r="J76" s="1649"/>
      <c r="K76" s="1632" t="str">
        <f>IF(项目基本情况!K6="上海银行",IF(K75="",4,K75+1),"")</f>
        <v/>
      </c>
      <c r="L76" s="3512" t="str">
        <f>IF(项目基本情况!K6="上海银行","其他处置费用","")</f>
        <v/>
      </c>
      <c r="M76" s="3513"/>
      <c r="N76" s="1101" t="str">
        <f>IF(项目基本情况!K6="上海银行",N89,"")</f>
        <v/>
      </c>
      <c r="O76" s="3514" t="str">
        <f>IF(项目基本情况!K6="上海银行","包含处置中涉及的律师、诉讼、拍卖、评估等费用","")</f>
        <v/>
      </c>
      <c r="P76" s="3515"/>
      <c r="Q76" s="1636"/>
      <c r="R76" s="1636"/>
      <c r="S76" s="1636"/>
      <c r="T76" s="1636"/>
      <c r="U76" s="1636"/>
      <c r="V76" s="1636"/>
    </row>
    <row r="77" spans="1:22" ht="24.75" thickBot="1">
      <c r="A77" s="3527" t="s">
        <v>387</v>
      </c>
      <c r="B77" s="3528"/>
      <c r="C77" s="3528"/>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2255</v>
      </c>
      <c r="J77" s="1649"/>
      <c r="K77" s="3523">
        <f>IF(AND(K75="",K76=""),4,IF(项目基本情况!K6="上海银行",K76+1,K75+1))</f>
        <v>5</v>
      </c>
      <c r="L77" s="3501" t="s">
        <v>2158</v>
      </c>
      <c r="M77" s="2331" t="s">
        <v>383</v>
      </c>
      <c r="N77" s="1107"/>
      <c r="O77" s="1108">
        <f ca="1">SUMIF(N72:N76,"&lt;9e307")</f>
        <v>27243</v>
      </c>
      <c r="P77" s="1109"/>
      <c r="Q77" s="2329">
        <f ca="1">O77/N69</f>
        <v>0.56648853215778416</v>
      </c>
      <c r="R77" s="1636"/>
      <c r="S77" s="1636"/>
      <c r="T77" s="1636"/>
      <c r="U77" s="1636"/>
      <c r="V77" s="1636"/>
    </row>
    <row r="78" spans="1:22" ht="12" customHeight="1">
      <c r="A78" s="1110"/>
      <c r="B78" s="287"/>
      <c r="C78" s="287"/>
      <c r="D78" s="287"/>
      <c r="E78" s="38"/>
      <c r="F78" s="38"/>
      <c r="G78" s="38"/>
      <c r="H78" s="866"/>
      <c r="I78" s="287"/>
      <c r="J78" s="1649"/>
      <c r="K78" s="3523"/>
      <c r="L78" s="3501"/>
      <c r="M78" s="2331" t="s">
        <v>386</v>
      </c>
      <c r="N78" s="1107"/>
      <c r="O78" s="1108" t="str">
        <f ca="1">NUMBERSTRING(INT(O77*10000),2)&amp;"元整"</f>
        <v>贰亿柒仟贰佰肆拾叁万元整</v>
      </c>
      <c r="P78" s="1109"/>
      <c r="Q78" s="1636"/>
      <c r="R78" s="1636"/>
      <c r="S78" s="1636"/>
      <c r="T78" s="1636"/>
      <c r="U78" s="1636"/>
      <c r="V78" s="1636"/>
    </row>
    <row r="79" spans="1:22" ht="13.5" thickBot="1">
      <c r="A79" s="3578" t="s">
        <v>388</v>
      </c>
      <c r="B79" s="3578"/>
      <c r="C79" s="3578"/>
      <c r="D79" s="3578"/>
      <c r="E79" s="3578"/>
      <c r="F79" s="38"/>
      <c r="G79" s="38"/>
      <c r="H79" s="866"/>
      <c r="I79" s="287"/>
      <c r="J79" s="1649"/>
      <c r="K79" s="3499">
        <f>K77+1</f>
        <v>6</v>
      </c>
      <c r="L79" s="3501" t="s">
        <v>2159</v>
      </c>
      <c r="M79" s="2331" t="s">
        <v>383</v>
      </c>
      <c r="N79" s="1107"/>
      <c r="O79" s="1108">
        <f ca="1">N69-O77</f>
        <v>20848</v>
      </c>
      <c r="P79" s="1109"/>
      <c r="Q79" s="1636"/>
      <c r="R79" s="1636"/>
      <c r="S79" s="1636"/>
      <c r="T79" s="1636"/>
      <c r="U79" s="1636"/>
      <c r="V79" s="1636"/>
    </row>
    <row r="80" spans="1:22" ht="25.5">
      <c r="A80" s="3509" t="s">
        <v>389</v>
      </c>
      <c r="B80" s="3510"/>
      <c r="C80" s="907"/>
      <c r="D80" s="907" t="s">
        <v>390</v>
      </c>
      <c r="E80" s="340" t="s">
        <v>391</v>
      </c>
      <c r="F80" s="38"/>
      <c r="G80" s="38"/>
      <c r="H80" s="866"/>
      <c r="I80" s="287"/>
      <c r="J80" s="1636"/>
      <c r="K80" s="3500"/>
      <c r="L80" s="3501"/>
      <c r="M80" s="2331" t="s">
        <v>386</v>
      </c>
      <c r="N80" s="1107"/>
      <c r="O80" s="1108" t="str">
        <f ca="1">NUMBERSTRING(INT(O79*10000),2)&amp;"元整"</f>
        <v>贰亿零捌佰肆拾捌万元整</v>
      </c>
      <c r="P80" s="1109"/>
      <c r="Q80" s="1636"/>
      <c r="R80" s="1636"/>
      <c r="S80" s="1636"/>
      <c r="T80" s="1636"/>
      <c r="U80" s="1636"/>
      <c r="V80" s="1636"/>
    </row>
    <row r="81" spans="1:26" ht="13.5" thickBot="1">
      <c r="A81" s="351" t="s">
        <v>1352</v>
      </c>
      <c r="B81" s="341" t="s">
        <v>392</v>
      </c>
      <c r="C81" s="342">
        <f ca="1">ROUND((C82+C83)/(1+'数据-取费表'!C42),0)</f>
        <v>45801</v>
      </c>
      <c r="D81" s="343"/>
      <c r="E81" s="344"/>
      <c r="F81" s="38"/>
      <c r="G81" s="38"/>
      <c r="H81" s="866"/>
      <c r="I81" s="287"/>
      <c r="J81" s="1636"/>
      <c r="K81" s="1632">
        <f>K79+1</f>
        <v>7</v>
      </c>
      <c r="L81" s="3521" t="s">
        <v>2160</v>
      </c>
      <c r="M81" s="3522"/>
      <c r="N81" s="1111"/>
      <c r="O81" s="1112">
        <f ca="1">ROUND(O79*10000/'数据-汇总表'!E3,0)</f>
        <v>689</v>
      </c>
      <c r="P81" s="1113"/>
      <c r="Q81" s="1636"/>
      <c r="R81" s="1636"/>
      <c r="S81" s="1636"/>
      <c r="T81" s="1636"/>
      <c r="U81" s="1636"/>
      <c r="V81" s="1636"/>
    </row>
    <row r="82" spans="1:26" ht="13.5" thickTop="1">
      <c r="A82" s="345" t="s">
        <v>1353</v>
      </c>
      <c r="B82" s="346" t="s">
        <v>393</v>
      </c>
      <c r="C82" s="347">
        <f ca="1">D63</f>
        <v>48091</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11" t="s">
        <v>2148</v>
      </c>
      <c r="L83" s="2337" t="s">
        <v>2149</v>
      </c>
      <c r="M83" s="2327">
        <f ca="1">IF(N69&gt;10000,N69*0.5%,IF(AND(N69&gt;1000,N69&lt;=10000),N69*1%,IF(AND(N69&gt;100,N69&lt;=1000),N69*3%,IF(AND(N69&gt;10,N69&lt;=100),N69*5%,N69*8%))))</f>
        <v>240.45500000000001</v>
      </c>
      <c r="N83" s="49">
        <f ca="1">ROUND(M83,1)</f>
        <v>240.5</v>
      </c>
      <c r="O83" s="2330"/>
      <c r="P83" s="1636"/>
      <c r="Q83" s="1636"/>
      <c r="R83" s="1636"/>
      <c r="S83" s="1636"/>
      <c r="T83" s="1636"/>
      <c r="U83" s="1636"/>
      <c r="V83" s="1636"/>
    </row>
    <row r="84" spans="1:26" ht="12.75">
      <c r="A84" s="351" t="s">
        <v>1355</v>
      </c>
      <c r="B84" s="352" t="s">
        <v>395</v>
      </c>
      <c r="C84" s="353"/>
      <c r="D84" s="354" t="s">
        <v>13</v>
      </c>
      <c r="E84" s="2352" t="s">
        <v>2198</v>
      </c>
      <c r="F84" s="38"/>
      <c r="G84" s="38"/>
      <c r="H84" s="866"/>
      <c r="I84" s="287"/>
      <c r="J84" s="1636"/>
      <c r="K84" s="3511"/>
      <c r="L84" s="2337" t="s">
        <v>2150</v>
      </c>
      <c r="M84" s="2327">
        <f ca="1">IF(N69&gt;2000,N69*0.5%,IF(AND(N69&gt;1000,N69&lt;=2000),N69*0.6%,IF(AND(N69&gt;500,N69&lt;=1000),N69*0.7%,IF(AND(N69&gt;200,N69&lt;=500),N69*0.8%,IF(AND(N69&gt;100,N69&lt;=200),N69*0.9%,IF(AND(N69&gt;50,N69&lt;=100),N69*1%,IF(AND(N69&gt;20,N69&lt;=50),N69*1.5%,IF(AND(N69&gt;10,N69&lt;=20),N69*2%,IF(AND(N69&gt;1,N69&lt;=10),N69*2.5%)))))))))</f>
        <v>240.45500000000001</v>
      </c>
      <c r="N84" s="49">
        <f ca="1">ROUND(M84,1)</f>
        <v>240.5</v>
      </c>
      <c r="O84" s="1636" t="s">
        <v>2151</v>
      </c>
      <c r="P84" s="1636"/>
      <c r="Q84" s="1636"/>
      <c r="R84" s="1636"/>
      <c r="S84" s="1636"/>
      <c r="T84" s="1636"/>
      <c r="U84" s="1636"/>
      <c r="V84" s="1636"/>
    </row>
    <row r="85" spans="1:26" ht="12.75">
      <c r="A85" s="351" t="s">
        <v>1356</v>
      </c>
      <c r="B85" s="352" t="s">
        <v>396</v>
      </c>
      <c r="C85" s="355">
        <f ca="1">C81-C84</f>
        <v>45801</v>
      </c>
      <c r="D85" s="348" t="s">
        <v>13</v>
      </c>
      <c r="E85" s="349"/>
      <c r="F85" s="38"/>
      <c r="G85" s="38"/>
      <c r="H85" s="866"/>
      <c r="I85" s="287"/>
      <c r="J85" s="1636"/>
      <c r="K85" s="3511"/>
      <c r="L85" s="2337" t="s">
        <v>2152</v>
      </c>
      <c r="M85" s="2327">
        <f ca="1">IF(N69&gt;1000,N69*0.1%,IF(AND(N69&gt;500,N69&lt;=1000),N69*0.5%,IF(AND(N69&gt;50,N69&lt;=500),N69*1%,IF(AND(N69&gt;1,N69&lt;=50),N69*1.5%))))</f>
        <v>48.091000000000001</v>
      </c>
      <c r="N85" s="49">
        <f ca="1">ROUND(M85,1)</f>
        <v>48.1</v>
      </c>
      <c r="O85" s="1636" t="s">
        <v>2151</v>
      </c>
      <c r="P85" s="1636"/>
      <c r="Q85" s="1636"/>
      <c r="R85" s="1636"/>
      <c r="S85" s="1636"/>
      <c r="T85" s="1636"/>
      <c r="U85" s="1636"/>
      <c r="V85" s="1636"/>
    </row>
    <row r="86" spans="1:26" ht="13.5" thickBot="1">
      <c r="A86" s="356" t="s">
        <v>1357</v>
      </c>
      <c r="B86" s="357" t="s">
        <v>397</v>
      </c>
      <c r="C86" s="358">
        <f ca="1">IF(C85&lt;=0,0,ROUND(C85*D86,0))</f>
        <v>2565</v>
      </c>
      <c r="D86" s="359">
        <f>'数据-取费表'!B41</f>
        <v>5.6000000000000001E-2</v>
      </c>
      <c r="E86" s="360"/>
      <c r="F86" s="38"/>
      <c r="G86" s="38"/>
      <c r="H86" s="866"/>
      <c r="I86" s="287"/>
      <c r="J86" s="1636"/>
      <c r="K86" s="3511"/>
      <c r="L86" s="2337" t="s">
        <v>2153</v>
      </c>
      <c r="M86" s="2327">
        <f ca="1">N69*0.5%</f>
        <v>240.45500000000001</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11"/>
      <c r="L87" s="2337" t="s">
        <v>2155</v>
      </c>
      <c r="M87" s="2327">
        <f ca="1">IF(N69&gt;=10000,(8.25+(N69-10000)*0.01%),IF(AND(N69&gt;=8000,N69&lt;10000),(7.85+(N69-8000)*0.02%),IF(AND(N69&gt;=5000,N69&lt;8000),(6.65+(N69-5000)*0.04%),IF(AND(N69&gt;=2000,N69&lt;5000),(4.25+(PN69-2000)*0.08%),IF(AND(N69&gt;=1000,N69&lt;2000),(2.75+(N69-1000)*0.15%),IF(AND(N69&gt;=100,N69&lt;1000),(0.5+(N69-100)*0.25%),IF(AND(N69&gt;0,N69&lt;100),N69*0.5%)))))))</f>
        <v>12.059100000000001</v>
      </c>
      <c r="N87" s="49">
        <f ca="1">ROUND(M87*0.9,1)</f>
        <v>10.9</v>
      </c>
      <c r="O87" s="2330"/>
      <c r="P87" s="1636"/>
      <c r="Q87" s="1636"/>
      <c r="R87" s="1636"/>
      <c r="S87" s="1636"/>
      <c r="T87" s="1636"/>
      <c r="U87" s="1636"/>
      <c r="V87" s="1636"/>
    </row>
    <row r="88" spans="1:26" s="1007" customFormat="1" ht="15" thickBot="1">
      <c r="A88" s="3550" t="s">
        <v>398</v>
      </c>
      <c r="B88" s="3551"/>
      <c r="C88" s="3551"/>
      <c r="D88" s="3551"/>
      <c r="E88" s="3551"/>
      <c r="F88" s="3551"/>
      <c r="G88" s="3551"/>
      <c r="H88" s="3551"/>
      <c r="I88" s="1119"/>
      <c r="J88" s="1650"/>
      <c r="K88" s="3511"/>
      <c r="L88" s="2337" t="s">
        <v>2156</v>
      </c>
      <c r="M88" s="2327">
        <f ca="1">IF(N69&gt;10000,N69*0.5%,IF(AND(N69&gt;5000,N69&lt;=10000),N69*1%,IF(AND(N69&gt;1000,N69&lt;=5000),N69*2%,IF(AND(N69&gt;200,N69&lt;=1000),N69*3%,N69*5%))))</f>
        <v>240.45500000000001</v>
      </c>
      <c r="N88" s="49">
        <f ca="1">ROUND(M88,1)</f>
        <v>240.5</v>
      </c>
      <c r="O88" s="2330"/>
      <c r="P88" s="1647"/>
      <c r="Q88" s="1647"/>
      <c r="R88" s="1647"/>
      <c r="S88" s="1647"/>
      <c r="T88" s="1647"/>
      <c r="U88" s="1647"/>
      <c r="V88" s="1647"/>
      <c r="W88" s="1651"/>
      <c r="X88" s="1651"/>
      <c r="Y88" s="1651"/>
      <c r="Z88" s="1651"/>
    </row>
    <row r="89" spans="1:26" s="1007" customFormat="1" ht="14.25">
      <c r="A89" s="3509" t="s">
        <v>389</v>
      </c>
      <c r="B89" s="3510"/>
      <c r="C89" s="907"/>
      <c r="D89" s="907" t="s">
        <v>390</v>
      </c>
      <c r="E89" s="361" t="s">
        <v>399</v>
      </c>
      <c r="F89" s="362"/>
      <c r="G89" s="362"/>
      <c r="H89" s="363"/>
      <c r="I89" s="1120"/>
      <c r="J89" s="1652"/>
      <c r="K89" s="3511"/>
      <c r="L89" s="2337" t="s">
        <v>16</v>
      </c>
      <c r="M89" s="2328"/>
      <c r="N89" s="49">
        <f ca="1">ROUND(SUM(N83:N88),0)</f>
        <v>781</v>
      </c>
      <c r="O89" s="2338">
        <f ca="1">N89/N69</f>
        <v>1.6240044914848931E-2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45801</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275</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47" t="s">
        <v>407</v>
      </c>
      <c r="F94" s="3548"/>
      <c r="G94" s="3548"/>
      <c r="H94" s="3549"/>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275</v>
      </c>
      <c r="D96" s="376">
        <f>'数据-取费表'!B43</f>
        <v>6.000000000000001E-3</v>
      </c>
      <c r="E96" s="3506" t="s">
        <v>1780</v>
      </c>
      <c r="F96" s="3507"/>
      <c r="G96" s="3507"/>
      <c r="H96" s="3508"/>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45526</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165.54909090909092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27219</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50" t="s">
        <v>414</v>
      </c>
      <c r="B101" s="3551"/>
      <c r="C101" s="3551"/>
      <c r="D101" s="3551"/>
      <c r="E101" s="3551"/>
      <c r="F101" s="3551"/>
      <c r="G101" s="3551"/>
      <c r="H101" s="3551"/>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09" t="s">
        <v>389</v>
      </c>
      <c r="B102" s="3510"/>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45801</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275</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5" t="s">
        <v>2275</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62" t="s">
        <v>2247</v>
      </c>
      <c r="H108" s="3563"/>
      <c r="I108" s="2417"/>
      <c r="J108" s="1647"/>
      <c r="K108" s="2745" t="s">
        <v>2276</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40" t="s">
        <v>422</v>
      </c>
      <c r="F109" s="3507"/>
      <c r="G109" s="3507"/>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5">
        <v>0</v>
      </c>
      <c r="E110" s="3540" t="s">
        <v>424</v>
      </c>
      <c r="F110" s="3507"/>
      <c r="G110" s="3507"/>
      <c r="H110" s="3508"/>
      <c r="I110" s="9"/>
      <c r="J110" s="1647"/>
      <c r="K110" s="2746" t="s">
        <v>2277</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275</v>
      </c>
      <c r="D111" s="376">
        <f>'数据-取费表'!B43</f>
        <v>6.000000000000001E-3</v>
      </c>
      <c r="E111" s="3506" t="s">
        <v>1780</v>
      </c>
      <c r="F111" s="3507"/>
      <c r="G111" s="3507"/>
      <c r="H111" s="3508"/>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40" t="s">
        <v>1799</v>
      </c>
      <c r="F112" s="3507"/>
      <c r="G112" s="3507"/>
      <c r="H112" s="3508"/>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45526</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165.54909090909092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27219</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5" zoomScale="85" zoomScaleNormal="95" zoomScaleSheetLayoutView="85" workbookViewId="0">
      <selection activeCell="G28" sqref="G28"/>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f>F67</f>
        <v>24490</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809</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2" t="s">
        <v>469</v>
      </c>
      <c r="B4" s="397">
        <f>IF(B48="单位面积地价",C50,ROUND(B2*10000/'数据-汇总表'!D3,0))</f>
        <v>2831</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189</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2" t="s">
        <v>471</v>
      </c>
      <c r="D6" s="3603"/>
      <c r="E6" s="3602" t="s">
        <v>472</v>
      </c>
      <c r="F6" s="3603"/>
      <c r="G6" s="3602" t="s">
        <v>473</v>
      </c>
      <c r="H6" s="3603"/>
      <c r="I6" s="3602" t="s">
        <v>474</v>
      </c>
      <c r="J6" s="3603"/>
      <c r="K6" s="465" t="s">
        <v>475</v>
      </c>
      <c r="L6" s="1741"/>
      <c r="M6" s="1740"/>
      <c r="N6" s="1740"/>
      <c r="O6" s="1742"/>
      <c r="P6" s="3604" t="s">
        <v>476</v>
      </c>
      <c r="Q6" s="3605"/>
      <c r="R6" s="3588" t="s">
        <v>472</v>
      </c>
      <c r="S6" s="3589"/>
      <c r="T6" s="3588" t="s">
        <v>473</v>
      </c>
      <c r="U6" s="3589"/>
      <c r="V6" s="3610" t="s">
        <v>474</v>
      </c>
      <c r="W6" s="3610"/>
      <c r="X6" s="1302"/>
      <c r="Y6" s="3588" t="s">
        <v>476</v>
      </c>
      <c r="Z6" s="3589"/>
      <c r="AA6" s="3583" t="s">
        <v>472</v>
      </c>
      <c r="AB6" s="3584" t="s">
        <v>473</v>
      </c>
      <c r="AC6" s="3583" t="s">
        <v>474</v>
      </c>
    </row>
    <row r="7" spans="1:29" ht="20.25">
      <c r="A7" s="466"/>
      <c r="B7" s="467"/>
      <c r="C7" s="3613" t="s">
        <v>2187</v>
      </c>
      <c r="D7" s="3614"/>
      <c r="E7" s="3613" t="str">
        <f>Sheet1!A2</f>
        <v>海州区香海湖路北、为民路东</v>
      </c>
      <c r="F7" s="3614"/>
      <c r="G7" s="3613" t="s">
        <v>3442</v>
      </c>
      <c r="H7" s="3614"/>
      <c r="I7" s="3613" t="s">
        <v>3443</v>
      </c>
      <c r="J7" s="3614"/>
      <c r="K7" s="465"/>
      <c r="L7" s="1741"/>
      <c r="M7" s="1740"/>
      <c r="N7" s="1740"/>
      <c r="O7" s="1742"/>
      <c r="P7" s="3606"/>
      <c r="Q7" s="3607"/>
      <c r="R7" s="3590"/>
      <c r="S7" s="3591"/>
      <c r="T7" s="3590"/>
      <c r="U7" s="3591"/>
      <c r="V7" s="3610"/>
      <c r="W7" s="3610"/>
      <c r="X7" s="1302"/>
      <c r="Y7" s="3590"/>
      <c r="Z7" s="3591"/>
      <c r="AA7" s="3584"/>
      <c r="AB7" s="3584"/>
      <c r="AC7" s="3584"/>
    </row>
    <row r="8" spans="1:29" ht="21" thickBot="1">
      <c r="A8" s="466"/>
      <c r="B8" s="467"/>
      <c r="C8" s="3615" t="s">
        <v>2191</v>
      </c>
      <c r="D8" s="3616"/>
      <c r="E8" s="3615" t="s">
        <v>2191</v>
      </c>
      <c r="F8" s="3616"/>
      <c r="G8" s="3611" t="s">
        <v>2191</v>
      </c>
      <c r="H8" s="3612"/>
      <c r="I8" s="3611" t="s">
        <v>2191</v>
      </c>
      <c r="J8" s="3612"/>
      <c r="K8" s="465" t="s">
        <v>477</v>
      </c>
      <c r="L8" s="1741"/>
      <c r="M8" s="1740"/>
      <c r="N8" s="1740"/>
      <c r="O8" s="1742"/>
      <c r="P8" s="3608"/>
      <c r="Q8" s="3609"/>
      <c r="R8" s="3590"/>
      <c r="S8" s="3591"/>
      <c r="T8" s="3592"/>
      <c r="U8" s="3593"/>
      <c r="V8" s="3610"/>
      <c r="W8" s="3610"/>
      <c r="X8" s="1302"/>
      <c r="Y8" s="3592"/>
      <c r="Z8" s="3593"/>
      <c r="AA8" s="3585"/>
      <c r="AB8" s="3585"/>
      <c r="AC8" s="3585"/>
    </row>
    <row r="9" spans="1:29" s="1059" customFormat="1" ht="21" thickBot="1">
      <c r="A9" s="2209"/>
      <c r="B9" s="2216" t="s">
        <v>478</v>
      </c>
      <c r="C9" s="2208">
        <f>'数据-取费表'!B2</f>
        <v>45057</v>
      </c>
      <c r="D9" s="471">
        <v>100</v>
      </c>
      <c r="E9" s="472" t="str">
        <f>Sheet1!S2</f>
        <v>2020-09-11</v>
      </c>
      <c r="F9" s="473">
        <f>SUMIF(71:71,YEAR(E9)&amp;"-"&amp;INT((MONTH(E9)+2)/3),72:72)</f>
        <v>98.900000000000063</v>
      </c>
      <c r="G9" s="474">
        <f>Sheet1!AC7</f>
        <v>44988.000497685185</v>
      </c>
      <c r="H9" s="471">
        <f>SUMIF(71:71,YEAR(G9)&amp;"-"&amp;INT((MONTH(G9)+2)/3),72:72)</f>
        <v>99.9</v>
      </c>
      <c r="I9" s="474">
        <f>Sheet1!AC8</f>
        <v>44988.000497685185</v>
      </c>
      <c r="J9" s="471">
        <f>SUMIF(71:71,YEAR(I9)&amp;"-"&amp;INT((MONTH(I9)+2)/3),72:72)</f>
        <v>99.9</v>
      </c>
      <c r="K9" s="88"/>
      <c r="L9" s="1743"/>
      <c r="M9" s="1740"/>
      <c r="N9" s="1740"/>
      <c r="O9" s="1640"/>
      <c r="P9" s="3586" t="s">
        <v>479</v>
      </c>
      <c r="Q9" s="3595"/>
      <c r="R9" s="1303" t="s">
        <v>5</v>
      </c>
      <c r="S9" s="1304">
        <f t="shared" ref="S9:S17" si="0">F9</f>
        <v>98.900000000000063</v>
      </c>
      <c r="T9" s="1303" t="s">
        <v>5</v>
      </c>
      <c r="U9" s="1304">
        <f t="shared" ref="U9:U17" si="1">H9</f>
        <v>99.9</v>
      </c>
      <c r="V9" s="1303" t="s">
        <v>5</v>
      </c>
      <c r="W9" s="1304">
        <f t="shared" ref="W9:W17" si="2">J9</f>
        <v>99.9</v>
      </c>
      <c r="X9" s="1305"/>
      <c r="Y9" s="3586" t="s">
        <v>479</v>
      </c>
      <c r="Z9" s="3587"/>
      <c r="AA9" s="996">
        <f>D9/F9</f>
        <v>1.0111223458038416</v>
      </c>
      <c r="AB9" s="996">
        <f>D9/H9</f>
        <v>1.0010010010010009</v>
      </c>
      <c r="AC9" s="996">
        <f>D9/J9</f>
        <v>1.0010010010010009</v>
      </c>
    </row>
    <row r="10" spans="1:29" s="1059" customFormat="1" ht="21" thickBot="1">
      <c r="A10" s="2210"/>
      <c r="B10" s="2217"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586" t="s">
        <v>482</v>
      </c>
      <c r="Q10" s="3587"/>
      <c r="R10" s="1303" t="s">
        <v>5</v>
      </c>
      <c r="S10" s="1304">
        <f t="shared" si="0"/>
        <v>100</v>
      </c>
      <c r="T10" s="1303" t="s">
        <v>5</v>
      </c>
      <c r="U10" s="1304">
        <f t="shared" si="1"/>
        <v>100</v>
      </c>
      <c r="V10" s="1303" t="s">
        <v>5</v>
      </c>
      <c r="W10" s="1304">
        <f t="shared" si="2"/>
        <v>100</v>
      </c>
      <c r="X10" s="1305"/>
      <c r="Y10" s="3586" t="s">
        <v>482</v>
      </c>
      <c r="Z10" s="3587"/>
      <c r="AA10" s="996">
        <f t="shared" ref="AA10:AA47" si="3">D10/F10</f>
        <v>1</v>
      </c>
      <c r="AB10" s="996">
        <f t="shared" ref="AB10:AB47" si="4">D10/H10</f>
        <v>1</v>
      </c>
      <c r="AC10" s="996">
        <f t="shared" ref="AC10:AC47" si="5">D10/J10</f>
        <v>1</v>
      </c>
    </row>
    <row r="11" spans="1:29" s="1059" customFormat="1" ht="20.25">
      <c r="A11" s="2211"/>
      <c r="B11" s="2218" t="s">
        <v>2038</v>
      </c>
      <c r="C11" s="2205" t="s">
        <v>2736</v>
      </c>
      <c r="D11" s="154">
        <v>100</v>
      </c>
      <c r="E11" s="2205" t="s">
        <v>2736</v>
      </c>
      <c r="F11" s="154">
        <f>SUMIF(76:76,E11,77:77)-SUMIF(76:76,C11,77:77)+100</f>
        <v>100</v>
      </c>
      <c r="G11" s="2205" t="s">
        <v>2736</v>
      </c>
      <c r="H11" s="154">
        <f>SUMIF(76:76,G11,77:77)-SUMIF(76:76,C11,77:77)+100</f>
        <v>100</v>
      </c>
      <c r="I11" s="2205" t="s">
        <v>2736</v>
      </c>
      <c r="J11" s="154">
        <f>SUMIF(76:76,I11,77:77)-SUMIF(76:76,C11,77:77)+100</f>
        <v>100</v>
      </c>
      <c r="K11" s="88"/>
      <c r="L11" s="1743"/>
      <c r="M11" s="1740"/>
      <c r="N11" s="1740"/>
      <c r="O11" s="1744"/>
      <c r="P11" s="3594" t="s">
        <v>484</v>
      </c>
      <c r="Q11" s="818" t="str">
        <f t="shared" ref="Q11:Q17" si="6">B11</f>
        <v>用途</v>
      </c>
      <c r="R11" s="1303" t="s">
        <v>5</v>
      </c>
      <c r="S11" s="1304">
        <f t="shared" si="0"/>
        <v>100</v>
      </c>
      <c r="T11" s="1303" t="s">
        <v>5</v>
      </c>
      <c r="U11" s="1304">
        <f t="shared" si="1"/>
        <v>100</v>
      </c>
      <c r="V11" s="1303" t="s">
        <v>5</v>
      </c>
      <c r="W11" s="1304">
        <f t="shared" si="2"/>
        <v>100</v>
      </c>
      <c r="X11" s="1305"/>
      <c r="Y11" s="3546" t="s">
        <v>485</v>
      </c>
      <c r="Z11" s="996" t="str">
        <f t="shared" ref="Z11:Z17" si="7">Q11</f>
        <v>用途</v>
      </c>
      <c r="AA11" s="996">
        <f t="shared" si="3"/>
        <v>1</v>
      </c>
      <c r="AB11" s="996">
        <f t="shared" si="4"/>
        <v>1</v>
      </c>
      <c r="AC11" s="996">
        <f t="shared" si="5"/>
        <v>1</v>
      </c>
    </row>
    <row r="12" spans="1:29" s="1132" customFormat="1" ht="27">
      <c r="A12" s="2212"/>
      <c r="B12" s="2217" t="s">
        <v>2039</v>
      </c>
      <c r="C12" s="832"/>
      <c r="D12" s="235">
        <v>100</v>
      </c>
      <c r="E12" s="479"/>
      <c r="F12" s="235">
        <f>ROUND(100/'数据-取费表'!G16,0)</f>
        <v>111</v>
      </c>
      <c r="G12" s="480"/>
      <c r="H12" s="235">
        <f>ROUND(100/'数据-取费表'!G16,0)</f>
        <v>111</v>
      </c>
      <c r="I12" s="480"/>
      <c r="J12" s="235">
        <f>ROUND(100/'数据-取费表'!G16,0)</f>
        <v>111</v>
      </c>
      <c r="K12" s="481"/>
      <c r="L12" s="1745"/>
      <c r="M12" s="1740"/>
      <c r="N12" s="1740"/>
      <c r="O12" s="1746"/>
      <c r="P12" s="3594"/>
      <c r="Q12" s="818" t="str">
        <f t="shared" si="6"/>
        <v>土地使用年限（年）</v>
      </c>
      <c r="R12" s="1303" t="s">
        <v>5</v>
      </c>
      <c r="S12" s="1304">
        <f t="shared" si="0"/>
        <v>111</v>
      </c>
      <c r="T12" s="1303" t="s">
        <v>5</v>
      </c>
      <c r="U12" s="1304">
        <f t="shared" si="1"/>
        <v>111</v>
      </c>
      <c r="V12" s="1303" t="s">
        <v>5</v>
      </c>
      <c r="W12" s="1304">
        <f t="shared" si="2"/>
        <v>111</v>
      </c>
      <c r="X12" s="1305"/>
      <c r="Y12" s="3546"/>
      <c r="Z12" s="996" t="str">
        <f t="shared" si="7"/>
        <v>土地使用年限（年）</v>
      </c>
      <c r="AA12" s="996">
        <f t="shared" si="3"/>
        <v>0.90090090090090091</v>
      </c>
      <c r="AB12" s="996">
        <f t="shared" si="4"/>
        <v>0.90090090090090091</v>
      </c>
      <c r="AC12" s="996">
        <f t="shared" si="5"/>
        <v>0.90090090090090091</v>
      </c>
    </row>
    <row r="13" spans="1:29" ht="20.25">
      <c r="A13" s="2213"/>
      <c r="B13" s="2217" t="s">
        <v>2040</v>
      </c>
      <c r="C13" s="484">
        <f>'数据-汇总表'!I6</f>
        <v>3.5</v>
      </c>
      <c r="D13" s="235">
        <v>100</v>
      </c>
      <c r="E13" s="483">
        <v>1.5</v>
      </c>
      <c r="F13" s="235">
        <f>LOOKUP(E13,81:81,82:82)-LOOKUP(C13,81:81,82:82)+100</f>
        <v>104</v>
      </c>
      <c r="G13" s="483">
        <v>1.5</v>
      </c>
      <c r="H13" s="235">
        <f>LOOKUP(G13,81:81,82:82)-LOOKUP(C13,81:81,82:82)+100</f>
        <v>104</v>
      </c>
      <c r="I13" s="483">
        <v>2</v>
      </c>
      <c r="J13" s="235">
        <f>LOOKUP(I13,81:81,82:82)-LOOKUP(C13,81:81,82:82)+100</f>
        <v>102</v>
      </c>
      <c r="K13" s="3398">
        <v>2</v>
      </c>
      <c r="L13" s="1747"/>
      <c r="M13" s="1740"/>
      <c r="N13" s="1740"/>
      <c r="O13" s="1748"/>
      <c r="P13" s="3594"/>
      <c r="Q13" s="818" t="str">
        <f t="shared" si="6"/>
        <v>容积率</v>
      </c>
      <c r="R13" s="1303" t="s">
        <v>5</v>
      </c>
      <c r="S13" s="1304">
        <f t="shared" si="0"/>
        <v>104</v>
      </c>
      <c r="T13" s="1303" t="s">
        <v>5</v>
      </c>
      <c r="U13" s="1304">
        <f t="shared" si="1"/>
        <v>104</v>
      </c>
      <c r="V13" s="1303" t="s">
        <v>5</v>
      </c>
      <c r="W13" s="1304">
        <f t="shared" si="2"/>
        <v>102</v>
      </c>
      <c r="X13" s="1305"/>
      <c r="Y13" s="3546"/>
      <c r="Z13" s="996" t="str">
        <f t="shared" si="7"/>
        <v>容积率</v>
      </c>
      <c r="AA13" s="996">
        <f t="shared" si="3"/>
        <v>0.96153846153846156</v>
      </c>
      <c r="AB13" s="996">
        <f t="shared" si="4"/>
        <v>0.96153846153846156</v>
      </c>
      <c r="AC13" s="996">
        <f t="shared" si="5"/>
        <v>0.98039215686274506</v>
      </c>
    </row>
    <row r="14" spans="1:29" s="1059" customFormat="1" ht="20.25">
      <c r="A14" s="2210"/>
      <c r="B14" s="2219" t="s">
        <v>2041</v>
      </c>
      <c r="C14" s="2206"/>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594"/>
      <c r="Q14" s="818" t="str">
        <f t="shared" si="6"/>
        <v>配建</v>
      </c>
      <c r="R14" s="1303" t="s">
        <v>5</v>
      </c>
      <c r="S14" s="1304">
        <f t="shared" si="0"/>
        <v>100</v>
      </c>
      <c r="T14" s="1303" t="s">
        <v>5</v>
      </c>
      <c r="U14" s="1304">
        <f t="shared" si="1"/>
        <v>100</v>
      </c>
      <c r="V14" s="1303" t="s">
        <v>5</v>
      </c>
      <c r="W14" s="1304">
        <f t="shared" si="2"/>
        <v>100</v>
      </c>
      <c r="X14" s="1305"/>
      <c r="Y14" s="3546"/>
      <c r="Z14" s="996" t="str">
        <f t="shared" si="7"/>
        <v>配建</v>
      </c>
      <c r="AA14" s="996">
        <f>D14/F14</f>
        <v>1</v>
      </c>
      <c r="AB14" s="996">
        <f>D14/H14</f>
        <v>1</v>
      </c>
      <c r="AC14" s="996">
        <f>D14/J14</f>
        <v>1</v>
      </c>
    </row>
    <row r="15" spans="1:29" ht="20.25">
      <c r="A15" s="2214"/>
      <c r="B15" s="2220">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4"/>
      <c r="Q15" s="818">
        <f t="shared" si="6"/>
        <v>111</v>
      </c>
      <c r="R15" s="1303" t="s">
        <v>5</v>
      </c>
      <c r="S15" s="1304">
        <f t="shared" si="0"/>
        <v>100</v>
      </c>
      <c r="T15" s="1303" t="s">
        <v>5</v>
      </c>
      <c r="U15" s="1304">
        <f t="shared" si="1"/>
        <v>100</v>
      </c>
      <c r="V15" s="1303" t="s">
        <v>5</v>
      </c>
      <c r="W15" s="1304">
        <f t="shared" si="2"/>
        <v>100</v>
      </c>
      <c r="X15" s="1305"/>
      <c r="Y15" s="3546"/>
      <c r="Z15" s="996">
        <f t="shared" si="7"/>
        <v>111</v>
      </c>
      <c r="AA15" s="996">
        <f>D15/F15</f>
        <v>1</v>
      </c>
      <c r="AB15" s="996">
        <f>D15/H15</f>
        <v>1</v>
      </c>
      <c r="AC15" s="996">
        <f>D15/J15</f>
        <v>1</v>
      </c>
    </row>
    <row r="16" spans="1:29" ht="21" thickBot="1">
      <c r="A16" s="2215"/>
      <c r="B16" s="2221">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4"/>
      <c r="Q16" s="818">
        <f t="shared" si="6"/>
        <v>111</v>
      </c>
      <c r="R16" s="1303" t="s">
        <v>5</v>
      </c>
      <c r="S16" s="1304">
        <f t="shared" si="0"/>
        <v>100</v>
      </c>
      <c r="T16" s="1303" t="s">
        <v>5</v>
      </c>
      <c r="U16" s="1304">
        <f t="shared" si="1"/>
        <v>100</v>
      </c>
      <c r="V16" s="1303" t="s">
        <v>5</v>
      </c>
      <c r="W16" s="1304">
        <f t="shared" si="2"/>
        <v>100</v>
      </c>
      <c r="X16" s="1305"/>
      <c r="Y16" s="3546"/>
      <c r="Z16" s="996">
        <f t="shared" si="7"/>
        <v>111</v>
      </c>
      <c r="AA16" s="996">
        <f>D16/F16</f>
        <v>1</v>
      </c>
      <c r="AB16" s="996">
        <f>D16/H16</f>
        <v>1</v>
      </c>
      <c r="AC16" s="996">
        <f>D16/J16</f>
        <v>1</v>
      </c>
    </row>
    <row r="17" spans="1:29" ht="18.75" customHeight="1">
      <c r="A17" s="2207"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596" t="s">
        <v>489</v>
      </c>
      <c r="Q17" s="1306" t="str">
        <f t="shared" si="6"/>
        <v>居住社区成熟度</v>
      </c>
      <c r="R17" s="1307" t="s">
        <v>5</v>
      </c>
      <c r="S17" s="1308">
        <f t="shared" si="0"/>
        <v>100</v>
      </c>
      <c r="T17" s="1307" t="s">
        <v>5</v>
      </c>
      <c r="U17" s="1308">
        <f t="shared" si="1"/>
        <v>100</v>
      </c>
      <c r="V17" s="1307" t="s">
        <v>5</v>
      </c>
      <c r="W17" s="1308">
        <f t="shared" si="2"/>
        <v>100</v>
      </c>
      <c r="X17" s="1302"/>
      <c r="Y17" s="3596" t="s">
        <v>489</v>
      </c>
      <c r="Z17" s="1309" t="str">
        <f t="shared" si="7"/>
        <v>居住社区成熟度</v>
      </c>
      <c r="AA17" s="1309">
        <f t="shared" si="3"/>
        <v>1</v>
      </c>
      <c r="AB17" s="1309">
        <f t="shared" si="4"/>
        <v>1</v>
      </c>
      <c r="AC17" s="1309">
        <f t="shared" si="5"/>
        <v>1</v>
      </c>
    </row>
    <row r="18" spans="1:29" ht="20.25">
      <c r="A18" s="482"/>
      <c r="B18" s="503"/>
      <c r="C18" s="504"/>
      <c r="D18" s="507"/>
      <c r="E18" s="508"/>
      <c r="F18" s="505"/>
      <c r="G18" s="506"/>
      <c r="H18" s="509"/>
      <c r="I18" s="508"/>
      <c r="J18" s="505"/>
      <c r="K18" s="481"/>
      <c r="L18" s="1749"/>
      <c r="M18" s="1740"/>
      <c r="N18" s="1740"/>
      <c r="O18" s="1748"/>
      <c r="P18" s="3597"/>
      <c r="Q18" s="1306"/>
      <c r="R18" s="1307"/>
      <c r="S18" s="1308"/>
      <c r="T18" s="1307"/>
      <c r="U18" s="1308"/>
      <c r="V18" s="1307"/>
      <c r="W18" s="1308"/>
      <c r="X18" s="1302"/>
      <c r="Y18" s="3597"/>
      <c r="Z18" s="1309"/>
      <c r="AA18" s="1309">
        <v>1</v>
      </c>
      <c r="AB18" s="1309">
        <v>1</v>
      </c>
      <c r="AC18" s="1309">
        <v>1</v>
      </c>
    </row>
    <row r="19" spans="1:29" ht="85.5">
      <c r="A19" s="482"/>
      <c r="B19" s="510" t="s">
        <v>490</v>
      </c>
      <c r="C19" s="511" t="str">
        <f>估价对象房地状况!C16</f>
        <v>估价对象周边商业氛围成熟度较差，人流量较少，住宅底商为主，商业繁华度较差</v>
      </c>
      <c r="D19" s="513">
        <v>100</v>
      </c>
      <c r="E19" s="514"/>
      <c r="F19" s="509">
        <f>SUMIF(91:91,E20,92:92)-SUMIF(91:91,C20,92:92)+100</f>
        <v>100</v>
      </c>
      <c r="G19" s="512"/>
      <c r="H19" s="515">
        <f>SUMIF(91:91,G20,92:92)-SUMIF(91:91,C20,92:92)+100</f>
        <v>105</v>
      </c>
      <c r="I19" s="514"/>
      <c r="J19" s="515">
        <f>SUMIF(91:91,I20,92:92)-SUMIF(91:91,C20,92:92)+100</f>
        <v>100</v>
      </c>
      <c r="K19" s="485">
        <v>5</v>
      </c>
      <c r="L19" s="1749"/>
      <c r="M19" s="1740"/>
      <c r="N19" s="1740"/>
      <c r="O19" s="1748"/>
      <c r="P19" s="3597"/>
      <c r="Q19" s="1306" t="str">
        <f>B19</f>
        <v>商业繁华度</v>
      </c>
      <c r="R19" s="1307" t="s">
        <v>5</v>
      </c>
      <c r="S19" s="1308">
        <f>F19</f>
        <v>100</v>
      </c>
      <c r="T19" s="1307" t="s">
        <v>5</v>
      </c>
      <c r="U19" s="1308">
        <f>H19</f>
        <v>105</v>
      </c>
      <c r="V19" s="1307" t="s">
        <v>5</v>
      </c>
      <c r="W19" s="1308">
        <f>J19</f>
        <v>100</v>
      </c>
      <c r="X19" s="1302"/>
      <c r="Y19" s="3597"/>
      <c r="Z19" s="1309" t="str">
        <f>Q19</f>
        <v>商业繁华度</v>
      </c>
      <c r="AA19" s="1309">
        <f t="shared" si="3"/>
        <v>1</v>
      </c>
      <c r="AB19" s="1309">
        <f t="shared" si="4"/>
        <v>0.95238095238095233</v>
      </c>
      <c r="AC19" s="1309">
        <f t="shared" si="5"/>
        <v>1</v>
      </c>
    </row>
    <row r="20" spans="1:29" ht="20.25">
      <c r="A20" s="482"/>
      <c r="B20" s="516"/>
      <c r="C20" s="517" t="s">
        <v>3360</v>
      </c>
      <c r="D20" s="513"/>
      <c r="E20" s="517" t="s">
        <v>3360</v>
      </c>
      <c r="F20" s="509"/>
      <c r="G20" s="517" t="s">
        <v>3340</v>
      </c>
      <c r="H20" s="505"/>
      <c r="I20" s="517" t="s">
        <v>3360</v>
      </c>
      <c r="J20" s="505"/>
      <c r="K20" s="481"/>
      <c r="L20" s="1749"/>
      <c r="M20" s="1740"/>
      <c r="N20" s="1740"/>
      <c r="O20" s="1748"/>
      <c r="P20" s="3597"/>
      <c r="Q20" s="1306"/>
      <c r="R20" s="1307"/>
      <c r="S20" s="1308"/>
      <c r="T20" s="1307"/>
      <c r="U20" s="1308"/>
      <c r="V20" s="1307"/>
      <c r="W20" s="1308"/>
      <c r="X20" s="1302"/>
      <c r="Y20" s="3597"/>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597"/>
      <c r="Q21" s="1306" t="str">
        <f>B21</f>
        <v>办公集聚程度</v>
      </c>
      <c r="R21" s="1307" t="s">
        <v>5</v>
      </c>
      <c r="S21" s="1308">
        <f>F21</f>
        <v>100</v>
      </c>
      <c r="T21" s="1307" t="s">
        <v>5</v>
      </c>
      <c r="U21" s="1308">
        <f>H21</f>
        <v>100</v>
      </c>
      <c r="V21" s="1307" t="s">
        <v>5</v>
      </c>
      <c r="W21" s="1308">
        <f>J21</f>
        <v>100</v>
      </c>
      <c r="X21" s="1302"/>
      <c r="Y21" s="3597"/>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597"/>
      <c r="Q22" s="1306"/>
      <c r="R22" s="1307"/>
      <c r="S22" s="1308"/>
      <c r="T22" s="1307"/>
      <c r="U22" s="1308"/>
      <c r="V22" s="1307"/>
      <c r="W22" s="1308"/>
      <c r="X22" s="1302"/>
      <c r="Y22" s="3597"/>
      <c r="Z22" s="1309"/>
      <c r="AA22" s="1309">
        <v>1</v>
      </c>
      <c r="AB22" s="1309">
        <v>1</v>
      </c>
      <c r="AC22" s="1309">
        <v>1</v>
      </c>
    </row>
    <row r="23" spans="1:29" ht="114">
      <c r="A23" s="482"/>
      <c r="B23" s="510" t="s">
        <v>492</v>
      </c>
      <c r="C23" s="523" t="str">
        <f>估价对象房地状况!C18</f>
        <v>估价对象周边道路状况一般、公共交通通达情况较差，有5、122路经过、停车便捷程度，综合评价交通便捷度一般</v>
      </c>
      <c r="D23" s="513">
        <v>100</v>
      </c>
      <c r="E23" s="514"/>
      <c r="F23" s="515">
        <f>SUMIF(95:95,E24,96:96)-SUMIF(95:95,C24,96:96)+100</f>
        <v>100</v>
      </c>
      <c r="G23" s="512"/>
      <c r="H23" s="509">
        <f>SUMIF(95:95,G24,96:96)-SUMIF(95:95,C24,96:96)+100</f>
        <v>100</v>
      </c>
      <c r="I23" s="514"/>
      <c r="J23" s="509">
        <f>SUMIF(95:95,I24,96:96)-SUMIF(95:95,C24,96:96)+100</f>
        <v>100</v>
      </c>
      <c r="K23" s="485">
        <v>3</v>
      </c>
      <c r="L23" s="1749"/>
      <c r="M23" s="1740"/>
      <c r="N23" s="1740"/>
      <c r="O23" s="1748"/>
      <c r="P23" s="3597"/>
      <c r="Q23" s="1306" t="str">
        <f>B23</f>
        <v>交通便捷度</v>
      </c>
      <c r="R23" s="1307" t="s">
        <v>5</v>
      </c>
      <c r="S23" s="1308">
        <f>F23</f>
        <v>100</v>
      </c>
      <c r="T23" s="1307" t="s">
        <v>5</v>
      </c>
      <c r="U23" s="1308">
        <f>H23</f>
        <v>100</v>
      </c>
      <c r="V23" s="1307" t="s">
        <v>5</v>
      </c>
      <c r="W23" s="1308">
        <f>J23</f>
        <v>100</v>
      </c>
      <c r="X23" s="1302"/>
      <c r="Y23" s="3597"/>
      <c r="Z23" s="1309" t="str">
        <f>Q23</f>
        <v>交通便捷度</v>
      </c>
      <c r="AA23" s="1309">
        <f t="shared" si="3"/>
        <v>1</v>
      </c>
      <c r="AB23" s="1309">
        <f t="shared" si="4"/>
        <v>1</v>
      </c>
      <c r="AC23" s="1309">
        <f t="shared" si="5"/>
        <v>1</v>
      </c>
    </row>
    <row r="24" spans="1:29" ht="20.25">
      <c r="A24" s="482"/>
      <c r="B24" s="528"/>
      <c r="C24" s="504" t="s">
        <v>3340</v>
      </c>
      <c r="D24" s="507"/>
      <c r="E24" s="504" t="s">
        <v>3340</v>
      </c>
      <c r="F24" s="505"/>
      <c r="G24" s="504" t="s">
        <v>3340</v>
      </c>
      <c r="H24" s="505"/>
      <c r="I24" s="504" t="s">
        <v>3340</v>
      </c>
      <c r="J24" s="505"/>
      <c r="K24" s="481"/>
      <c r="L24" s="1749"/>
      <c r="M24" s="1740"/>
      <c r="N24" s="1740"/>
      <c r="O24" s="1748"/>
      <c r="P24" s="3597"/>
      <c r="Q24" s="1306"/>
      <c r="R24" s="1307"/>
      <c r="S24" s="1308"/>
      <c r="T24" s="1307"/>
      <c r="U24" s="1308"/>
      <c r="V24" s="1307"/>
      <c r="W24" s="1308"/>
      <c r="X24" s="1302"/>
      <c r="Y24" s="3597"/>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597"/>
      <c r="Q25" s="1306" t="str">
        <f t="shared" ref="Q25:Q39" si="8">B25</f>
        <v>区域土地利用方向</v>
      </c>
      <c r="R25" s="1307" t="s">
        <v>5</v>
      </c>
      <c r="S25" s="1308">
        <f>F25</f>
        <v>100</v>
      </c>
      <c r="T25" s="1307" t="s">
        <v>5</v>
      </c>
      <c r="U25" s="1308">
        <f>H25</f>
        <v>100</v>
      </c>
      <c r="V25" s="1307" t="s">
        <v>5</v>
      </c>
      <c r="W25" s="1308">
        <f>J25</f>
        <v>100</v>
      </c>
      <c r="X25" s="1302"/>
      <c r="Y25" s="3597"/>
      <c r="Z25" s="1309" t="str">
        <f>Q25</f>
        <v>区域土地利用方向</v>
      </c>
      <c r="AA25" s="1309">
        <f t="shared" si="3"/>
        <v>1</v>
      </c>
      <c r="AB25" s="1309">
        <f t="shared" si="4"/>
        <v>1</v>
      </c>
      <c r="AC25" s="1309">
        <f t="shared" si="5"/>
        <v>1</v>
      </c>
    </row>
    <row r="26" spans="1:29" ht="20.25">
      <c r="A26" s="466"/>
      <c r="B26" s="918"/>
      <c r="C26" s="504"/>
      <c r="D26" s="507"/>
      <c r="E26" s="508"/>
      <c r="F26" s="505"/>
      <c r="G26" s="506"/>
      <c r="H26" s="505"/>
      <c r="I26" s="508"/>
      <c r="J26" s="505"/>
      <c r="K26" s="481"/>
      <c r="L26" s="1749"/>
      <c r="M26" s="1740"/>
      <c r="N26" s="1740"/>
      <c r="O26" s="1748"/>
      <c r="P26" s="3597"/>
      <c r="Q26" s="1306"/>
      <c r="R26" s="1307"/>
      <c r="S26" s="1308"/>
      <c r="T26" s="1307"/>
      <c r="U26" s="1308"/>
      <c r="V26" s="1307"/>
      <c r="W26" s="1308"/>
      <c r="X26" s="1302"/>
      <c r="Y26" s="3597"/>
      <c r="Z26" s="1309"/>
      <c r="AA26" s="1309"/>
      <c r="AB26" s="1309"/>
      <c r="AC26" s="1309"/>
    </row>
    <row r="27" spans="1:29" ht="57">
      <c r="A27" s="466"/>
      <c r="B27" s="528" t="s">
        <v>494</v>
      </c>
      <c r="C27" s="511" t="str">
        <f>估价对象房地状况!C20</f>
        <v>区域自然环境：；人文环境；综合评价环境状况较好</v>
      </c>
      <c r="D27" s="513">
        <v>100</v>
      </c>
      <c r="E27" s="514"/>
      <c r="F27" s="509">
        <f>SUMIF(99:99,E28,100:100)-SUMIF(99:99,C28,100:100)+100</f>
        <v>97</v>
      </c>
      <c r="G27" s="512"/>
      <c r="H27" s="509">
        <f>SUMIF(99:99,G28,100:100)-SUMIF(99:99,C28,100:100)+100</f>
        <v>97</v>
      </c>
      <c r="I27" s="514"/>
      <c r="J27" s="509">
        <f>SUMIF(99:99,I28,100:100)-SUMIF(99:99,C28,100:100)+100</f>
        <v>97</v>
      </c>
      <c r="K27" s="485">
        <v>3</v>
      </c>
      <c r="L27" s="1749"/>
      <c r="M27" s="1740"/>
      <c r="N27" s="1740"/>
      <c r="O27" s="1748"/>
      <c r="P27" s="3597"/>
      <c r="Q27" s="1306" t="str">
        <f t="shared" si="8"/>
        <v>自然及人文环境状况</v>
      </c>
      <c r="R27" s="1307" t="s">
        <v>5</v>
      </c>
      <c r="S27" s="1308">
        <f>F27</f>
        <v>97</v>
      </c>
      <c r="T27" s="1307" t="s">
        <v>5</v>
      </c>
      <c r="U27" s="1308">
        <f>H27</f>
        <v>97</v>
      </c>
      <c r="V27" s="1307" t="s">
        <v>5</v>
      </c>
      <c r="W27" s="1308">
        <f>J27</f>
        <v>97</v>
      </c>
      <c r="X27" s="1302"/>
      <c r="Y27" s="3597"/>
      <c r="Z27" s="1309" t="str">
        <f>Q27</f>
        <v>自然及人文环境状况</v>
      </c>
      <c r="AA27" s="1309">
        <f t="shared" si="3"/>
        <v>1.0309278350515463</v>
      </c>
      <c r="AB27" s="1309">
        <f t="shared" si="4"/>
        <v>1.0309278350515463</v>
      </c>
      <c r="AC27" s="1309">
        <f t="shared" si="5"/>
        <v>1.0309278350515463</v>
      </c>
    </row>
    <row r="28" spans="1:29" ht="20.25">
      <c r="A28" s="466"/>
      <c r="B28" s="516"/>
      <c r="C28" s="504" t="s">
        <v>3345</v>
      </c>
      <c r="D28" s="507"/>
      <c r="E28" s="526" t="s">
        <v>3340</v>
      </c>
      <c r="F28" s="505"/>
      <c r="G28" s="526" t="s">
        <v>3340</v>
      </c>
      <c r="H28" s="505"/>
      <c r="I28" s="526" t="s">
        <v>3340</v>
      </c>
      <c r="J28" s="505"/>
      <c r="K28" s="481"/>
      <c r="L28" s="1749"/>
      <c r="M28" s="1740"/>
      <c r="N28" s="1740"/>
      <c r="O28" s="1748"/>
      <c r="P28" s="3597"/>
      <c r="Q28" s="1306"/>
      <c r="R28" s="1307"/>
      <c r="S28" s="1308"/>
      <c r="T28" s="1307"/>
      <c r="U28" s="1308"/>
      <c r="V28" s="1307"/>
      <c r="W28" s="1308"/>
      <c r="X28" s="1302"/>
      <c r="Y28" s="3597"/>
      <c r="Z28" s="1309"/>
      <c r="AA28" s="1309">
        <v>1</v>
      </c>
      <c r="AB28" s="1309">
        <v>1</v>
      </c>
      <c r="AC28" s="1309">
        <v>1</v>
      </c>
    </row>
    <row r="29" spans="1:29" s="1059" customFormat="1" ht="42.75">
      <c r="A29" s="527"/>
      <c r="B29" s="2050" t="s">
        <v>1831</v>
      </c>
      <c r="C29" s="523" t="str">
        <f>估价对象房地状况!C21</f>
        <v>估价对象所在区域公共配套设施齐备情况较差</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597"/>
      <c r="Q29" s="818" t="str">
        <f t="shared" si="8"/>
        <v>公共配套设施</v>
      </c>
      <c r="R29" s="1303" t="s">
        <v>5</v>
      </c>
      <c r="S29" s="1304">
        <f>F29</f>
        <v>100</v>
      </c>
      <c r="T29" s="1303" t="s">
        <v>5</v>
      </c>
      <c r="U29" s="1304">
        <f>H29</f>
        <v>100</v>
      </c>
      <c r="V29" s="1303" t="s">
        <v>5</v>
      </c>
      <c r="W29" s="1304">
        <f>J29</f>
        <v>100</v>
      </c>
      <c r="X29" s="1305"/>
      <c r="Y29" s="3597"/>
      <c r="Z29" s="996" t="str">
        <f>Q29</f>
        <v>公共配套设施</v>
      </c>
      <c r="AA29" s="1309">
        <f>D29/F29</f>
        <v>1</v>
      </c>
      <c r="AB29" s="1309">
        <f>D29/H29</f>
        <v>1</v>
      </c>
      <c r="AC29" s="1309">
        <f>D29/J29</f>
        <v>1</v>
      </c>
    </row>
    <row r="30" spans="1:29" s="1059" customFormat="1" ht="20.25">
      <c r="A30" s="527"/>
      <c r="B30" s="516"/>
      <c r="C30" s="529"/>
      <c r="D30" s="507"/>
      <c r="E30" s="526"/>
      <c r="F30" s="505"/>
      <c r="G30" s="504"/>
      <c r="H30" s="505"/>
      <c r="I30" s="526"/>
      <c r="J30" s="505"/>
      <c r="K30" s="481"/>
      <c r="L30" s="1743"/>
      <c r="M30" s="1740"/>
      <c r="N30" s="1740"/>
      <c r="O30" s="1744"/>
      <c r="P30" s="3597"/>
      <c r="Q30" s="818"/>
      <c r="R30" s="1303"/>
      <c r="S30" s="1304"/>
      <c r="T30" s="1303"/>
      <c r="U30" s="1304"/>
      <c r="V30" s="1303"/>
      <c r="W30" s="1304"/>
      <c r="X30" s="1305"/>
      <c r="Y30" s="3597"/>
      <c r="Z30" s="996"/>
      <c r="AA30" s="1309">
        <v>1</v>
      </c>
      <c r="AB30" s="1309">
        <v>1</v>
      </c>
      <c r="AC30" s="1309">
        <v>1</v>
      </c>
    </row>
    <row r="31" spans="1:29" s="1059" customFormat="1" ht="20.25">
      <c r="A31" s="527"/>
      <c r="B31" s="2050" t="s">
        <v>1832</v>
      </c>
      <c r="C31" s="523" t="str">
        <f>估价对象房地状况!C22</f>
        <v>六通</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3"/>
      <c r="M31" s="1740"/>
      <c r="N31" s="1740"/>
      <c r="O31" s="1744"/>
      <c r="P31" s="3597"/>
      <c r="Q31" s="818" t="str">
        <f>B31</f>
        <v>基础设施水平</v>
      </c>
      <c r="R31" s="1303" t="s">
        <v>5</v>
      </c>
      <c r="S31" s="1304">
        <f>F31</f>
        <v>100</v>
      </c>
      <c r="T31" s="1303" t="s">
        <v>5</v>
      </c>
      <c r="U31" s="1304">
        <f>H31</f>
        <v>100</v>
      </c>
      <c r="V31" s="1303" t="s">
        <v>5</v>
      </c>
      <c r="W31" s="1304">
        <f>J31</f>
        <v>100</v>
      </c>
      <c r="X31" s="1305"/>
      <c r="Y31" s="3597"/>
      <c r="Z31" s="996" t="str">
        <f>Q31</f>
        <v>基础设施水平</v>
      </c>
      <c r="AA31" s="1309">
        <f>D31/F31</f>
        <v>1</v>
      </c>
      <c r="AB31" s="1309">
        <f>D31/H31</f>
        <v>1</v>
      </c>
      <c r="AC31" s="1309">
        <f>D31/J31</f>
        <v>1</v>
      </c>
    </row>
    <row r="32" spans="1:29" s="1059" customFormat="1" ht="20.25">
      <c r="A32" s="527"/>
      <c r="B32" s="516"/>
      <c r="C32" s="529"/>
      <c r="D32" s="507"/>
      <c r="E32" s="2051"/>
      <c r="F32" s="505"/>
      <c r="G32" s="529"/>
      <c r="H32" s="505"/>
      <c r="I32" s="529"/>
      <c r="J32" s="505"/>
      <c r="K32" s="481"/>
      <c r="L32" s="1743"/>
      <c r="M32" s="1740"/>
      <c r="N32" s="1740"/>
      <c r="O32" s="1744"/>
      <c r="P32" s="3597"/>
      <c r="Q32" s="818"/>
      <c r="R32" s="1303"/>
      <c r="S32" s="1304"/>
      <c r="T32" s="1303"/>
      <c r="U32" s="1304"/>
      <c r="V32" s="1303"/>
      <c r="W32" s="1304"/>
      <c r="X32" s="1305"/>
      <c r="Y32" s="3597"/>
      <c r="Z32" s="996"/>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597"/>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597"/>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597"/>
      <c r="Q34" s="1306" t="str">
        <f t="shared" si="8"/>
        <v>毗邻道路的类型与等级</v>
      </c>
      <c r="R34" s="1307" t="s">
        <v>5</v>
      </c>
      <c r="S34" s="1308">
        <f t="shared" si="9"/>
        <v>100</v>
      </c>
      <c r="T34" s="1307" t="s">
        <v>5</v>
      </c>
      <c r="U34" s="1308">
        <f t="shared" si="10"/>
        <v>100</v>
      </c>
      <c r="V34" s="1307" t="s">
        <v>5</v>
      </c>
      <c r="W34" s="1308">
        <f t="shared" si="11"/>
        <v>100</v>
      </c>
      <c r="X34" s="1302"/>
      <c r="Y34" s="3597"/>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597"/>
      <c r="Q35" s="1306"/>
      <c r="R35" s="1307"/>
      <c r="S35" s="1308"/>
      <c r="T35" s="1307"/>
      <c r="U35" s="1308"/>
      <c r="V35" s="1307"/>
      <c r="W35" s="1308"/>
      <c r="X35" s="1302"/>
      <c r="Y35" s="3597"/>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597"/>
      <c r="Q36" s="1306" t="str">
        <f t="shared" si="8"/>
        <v>土地级别</v>
      </c>
      <c r="R36" s="1307" t="s">
        <v>5</v>
      </c>
      <c r="S36" s="1308">
        <f t="shared" si="9"/>
        <v>100</v>
      </c>
      <c r="T36" s="1307" t="s">
        <v>5</v>
      </c>
      <c r="U36" s="1308">
        <f t="shared" si="10"/>
        <v>100</v>
      </c>
      <c r="V36" s="1307" t="s">
        <v>5</v>
      </c>
      <c r="W36" s="1308">
        <f t="shared" si="11"/>
        <v>100</v>
      </c>
      <c r="X36" s="1302"/>
      <c r="Y36" s="3597"/>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597"/>
      <c r="Q37" s="1306">
        <f t="shared" si="8"/>
        <v>111</v>
      </c>
      <c r="R37" s="1307" t="s">
        <v>5</v>
      </c>
      <c r="S37" s="1308">
        <f t="shared" si="9"/>
        <v>100</v>
      </c>
      <c r="T37" s="1307" t="s">
        <v>5</v>
      </c>
      <c r="U37" s="1308">
        <f t="shared" si="10"/>
        <v>100</v>
      </c>
      <c r="V37" s="1307" t="s">
        <v>5</v>
      </c>
      <c r="W37" s="1308">
        <f t="shared" si="11"/>
        <v>100</v>
      </c>
      <c r="X37" s="1302"/>
      <c r="Y37" s="3597"/>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598" t="s">
        <v>499</v>
      </c>
      <c r="Q38" s="1306">
        <f t="shared" si="8"/>
        <v>111</v>
      </c>
      <c r="R38" s="1307" t="s">
        <v>5</v>
      </c>
      <c r="S38" s="1308">
        <f t="shared" si="9"/>
        <v>100</v>
      </c>
      <c r="T38" s="1307" t="s">
        <v>5</v>
      </c>
      <c r="U38" s="1308">
        <f t="shared" si="10"/>
        <v>100</v>
      </c>
      <c r="V38" s="1307" t="s">
        <v>5</v>
      </c>
      <c r="W38" s="1308">
        <f t="shared" si="11"/>
        <v>100</v>
      </c>
      <c r="X38" s="1302"/>
      <c r="Y38" s="3599" t="s">
        <v>499</v>
      </c>
      <c r="Z38" s="1309">
        <f t="shared" si="12"/>
        <v>111</v>
      </c>
      <c r="AA38" s="1309">
        <f t="shared" si="3"/>
        <v>1</v>
      </c>
      <c r="AB38" s="1309">
        <f t="shared" si="4"/>
        <v>1</v>
      </c>
      <c r="AC38" s="1309">
        <f t="shared" si="5"/>
        <v>1</v>
      </c>
    </row>
    <row r="39" spans="1:29" s="1133"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599"/>
      <c r="Q39" s="1306">
        <f t="shared" si="8"/>
        <v>111</v>
      </c>
      <c r="R39" s="1310" t="s">
        <v>5</v>
      </c>
      <c r="S39" s="1311">
        <f t="shared" si="9"/>
        <v>100</v>
      </c>
      <c r="T39" s="1310" t="s">
        <v>5</v>
      </c>
      <c r="U39" s="1311">
        <f t="shared" si="10"/>
        <v>100</v>
      </c>
      <c r="V39" s="1310" t="s">
        <v>5</v>
      </c>
      <c r="W39" s="1311">
        <f t="shared" si="11"/>
        <v>100</v>
      </c>
      <c r="X39" s="1312"/>
      <c r="Y39" s="3599"/>
      <c r="Z39" s="1313">
        <f t="shared" si="12"/>
        <v>111</v>
      </c>
      <c r="AA39" s="1309">
        <f t="shared" si="3"/>
        <v>1</v>
      </c>
      <c r="AB39" s="1309">
        <f t="shared" si="4"/>
        <v>1</v>
      </c>
      <c r="AC39" s="1309">
        <f t="shared" si="5"/>
        <v>1</v>
      </c>
    </row>
    <row r="40" spans="1:29" ht="20.25">
      <c r="A40" s="2204" t="s">
        <v>2037</v>
      </c>
      <c r="B40" s="544" t="s">
        <v>501</v>
      </c>
      <c r="C40" s="545">
        <f>'数据-汇总表'!D3</f>
        <v>86493.04</v>
      </c>
      <c r="D40" s="546">
        <v>100</v>
      </c>
      <c r="E40" s="545">
        <f>Sheet1!J2</f>
        <v>43392</v>
      </c>
      <c r="F40" s="546">
        <f>LOOKUP(E40,118:118,119:119)-LOOKUP(C40,118:118,119:119)+100</f>
        <v>97</v>
      </c>
      <c r="G40" s="545">
        <f>Sheet1!I7</f>
        <v>16787</v>
      </c>
      <c r="H40" s="546">
        <f>LOOKUP(G40,118:118,119:119)-LOOKUP(C40,118:118,119:119)+100</f>
        <v>94</v>
      </c>
      <c r="I40" s="547">
        <f>Sheet1!I8</f>
        <v>28857</v>
      </c>
      <c r="J40" s="546">
        <f>LOOKUP(I40,118:118,119:119)-LOOKUP(C40,118:118,119:119)+100</f>
        <v>94</v>
      </c>
      <c r="K40" s="531"/>
      <c r="L40" s="1749"/>
      <c r="M40" s="1740"/>
      <c r="N40" s="1740"/>
      <c r="O40" s="1748"/>
      <c r="P40" s="3599"/>
      <c r="Q40" s="1306" t="str">
        <f>B40</f>
        <v>宗地面积</v>
      </c>
      <c r="R40" s="1307" t="s">
        <v>5</v>
      </c>
      <c r="S40" s="1308">
        <f t="shared" si="9"/>
        <v>97</v>
      </c>
      <c r="T40" s="1307" t="s">
        <v>5</v>
      </c>
      <c r="U40" s="1308">
        <f t="shared" si="10"/>
        <v>94</v>
      </c>
      <c r="V40" s="1307" t="s">
        <v>5</v>
      </c>
      <c r="W40" s="1308">
        <f t="shared" si="11"/>
        <v>94</v>
      </c>
      <c r="X40" s="1302"/>
      <c r="Y40" s="3599"/>
      <c r="Z40" s="1309" t="str">
        <f t="shared" si="12"/>
        <v>宗地面积</v>
      </c>
      <c r="AA40" s="1309">
        <f t="shared" si="3"/>
        <v>1.0309278350515463</v>
      </c>
      <c r="AB40" s="1309">
        <f t="shared" si="4"/>
        <v>1.0638297872340425</v>
      </c>
      <c r="AC40" s="1309">
        <f t="shared" si="5"/>
        <v>1.0638297872340425</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599"/>
      <c r="Q41" s="1306" t="str">
        <f t="shared" ref="Q41:Q47" si="13">B41</f>
        <v>宗地形状</v>
      </c>
      <c r="R41" s="1307" t="s">
        <v>5</v>
      </c>
      <c r="S41" s="1308">
        <f t="shared" si="9"/>
        <v>100</v>
      </c>
      <c r="T41" s="1307" t="s">
        <v>5</v>
      </c>
      <c r="U41" s="1308">
        <f t="shared" si="10"/>
        <v>100</v>
      </c>
      <c r="V41" s="1307" t="s">
        <v>5</v>
      </c>
      <c r="W41" s="1308">
        <f t="shared" si="11"/>
        <v>100</v>
      </c>
      <c r="X41" s="1302"/>
      <c r="Y41" s="3599"/>
      <c r="Z41" s="1309" t="str">
        <f t="shared" si="12"/>
        <v>宗地形状</v>
      </c>
      <c r="AA41" s="1309">
        <f t="shared" si="3"/>
        <v>1</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599"/>
      <c r="Q42" s="1306" t="str">
        <f t="shared" si="13"/>
        <v>临街宽度及深度</v>
      </c>
      <c r="R42" s="1307" t="s">
        <v>5</v>
      </c>
      <c r="S42" s="1308">
        <f t="shared" si="9"/>
        <v>100</v>
      </c>
      <c r="T42" s="1307" t="s">
        <v>5</v>
      </c>
      <c r="U42" s="1308">
        <f t="shared" si="10"/>
        <v>100</v>
      </c>
      <c r="V42" s="1307" t="s">
        <v>5</v>
      </c>
      <c r="W42" s="1308">
        <f t="shared" si="11"/>
        <v>100</v>
      </c>
      <c r="X42" s="1302"/>
      <c r="Y42" s="3599"/>
      <c r="Z42" s="1309" t="str">
        <f t="shared" si="12"/>
        <v>临街宽度及深度</v>
      </c>
      <c r="AA42" s="1309">
        <f t="shared" si="3"/>
        <v>1</v>
      </c>
      <c r="AB42" s="1309">
        <f t="shared" si="4"/>
        <v>1</v>
      </c>
      <c r="AC42" s="1309">
        <f t="shared" si="5"/>
        <v>1</v>
      </c>
    </row>
    <row r="43" spans="1:29" s="1059" customFormat="1" ht="20.25">
      <c r="A43" s="549"/>
      <c r="B43" s="1554" t="s">
        <v>1776</v>
      </c>
      <c r="C43" s="550" t="s">
        <v>3389</v>
      </c>
      <c r="D43" s="235">
        <v>100</v>
      </c>
      <c r="E43" s="550" t="s">
        <v>3389</v>
      </c>
      <c r="F43" s="490">
        <f>SUMIF(124:124,E43,125:125)-SUMIF(124:124,C43,125:125)+100</f>
        <v>100</v>
      </c>
      <c r="G43" s="550" t="s">
        <v>3389</v>
      </c>
      <c r="H43" s="490">
        <f>SUMIF(124:124,G43,125:125)-SUMIF(124:124,C43,125:125)+100</f>
        <v>100</v>
      </c>
      <c r="I43" s="550" t="s">
        <v>3389</v>
      </c>
      <c r="J43" s="490">
        <f>SUMIF(124:124,I43,125:125)-SUMIF(124:124,C43,125:125)+100</f>
        <v>100</v>
      </c>
      <c r="K43" s="533">
        <v>1</v>
      </c>
      <c r="L43" s="1743"/>
      <c r="M43" s="1740"/>
      <c r="N43" s="1740"/>
      <c r="O43" s="1744"/>
      <c r="P43" s="3599"/>
      <c r="Q43" s="1306" t="str">
        <f t="shared" si="13"/>
        <v>宗地开发程度</v>
      </c>
      <c r="R43" s="1303" t="s">
        <v>5</v>
      </c>
      <c r="S43" s="1304">
        <f t="shared" si="9"/>
        <v>100</v>
      </c>
      <c r="T43" s="1303" t="s">
        <v>5</v>
      </c>
      <c r="U43" s="1304">
        <f t="shared" si="10"/>
        <v>100</v>
      </c>
      <c r="V43" s="1303" t="s">
        <v>5</v>
      </c>
      <c r="W43" s="1304">
        <f t="shared" si="11"/>
        <v>100</v>
      </c>
      <c r="X43" s="1305"/>
      <c r="Y43" s="3599"/>
      <c r="Z43" s="996" t="str">
        <f t="shared" si="12"/>
        <v>宗地开发程度</v>
      </c>
      <c r="AA43" s="996">
        <f t="shared" si="3"/>
        <v>1</v>
      </c>
      <c r="AB43" s="996">
        <f t="shared" si="4"/>
        <v>1</v>
      </c>
      <c r="AC43" s="996">
        <f t="shared" si="5"/>
        <v>1</v>
      </c>
    </row>
    <row r="44" spans="1:29" ht="20.25">
      <c r="A44" s="543"/>
      <c r="B44" s="477" t="s">
        <v>504</v>
      </c>
      <c r="C44" s="548" t="s">
        <v>3345</v>
      </c>
      <c r="D44" s="490">
        <v>100</v>
      </c>
      <c r="E44" s="548" t="s">
        <v>3345</v>
      </c>
      <c r="F44" s="490">
        <f>SUMIF(126:126,E44,127:127)-SUMIF(126:126,C44,127:127)+100</f>
        <v>100</v>
      </c>
      <c r="G44" s="548" t="s">
        <v>3345</v>
      </c>
      <c r="H44" s="490">
        <f>SUMIF(126:126,G44,127:127)-SUMIF(126:126,C44,127:127)+100</f>
        <v>100</v>
      </c>
      <c r="I44" s="548" t="s">
        <v>3345</v>
      </c>
      <c r="J44" s="490">
        <f>SUMIF(126:126,I44,127:127)-SUMIF(126:126,C44,127:127)+100</f>
        <v>100</v>
      </c>
      <c r="K44" s="533">
        <v>2</v>
      </c>
      <c r="L44" s="1749"/>
      <c r="M44" s="1740"/>
      <c r="N44" s="1740"/>
      <c r="O44" s="1748"/>
      <c r="P44" s="3599" t="s">
        <v>499</v>
      </c>
      <c r="Q44" s="1306" t="str">
        <f t="shared" si="13"/>
        <v>工程地质条件</v>
      </c>
      <c r="R44" s="1307" t="s">
        <v>5</v>
      </c>
      <c r="S44" s="1308">
        <f t="shared" si="9"/>
        <v>100</v>
      </c>
      <c r="T44" s="1307" t="s">
        <v>5</v>
      </c>
      <c r="U44" s="1308">
        <f t="shared" si="10"/>
        <v>100</v>
      </c>
      <c r="V44" s="1307" t="s">
        <v>5</v>
      </c>
      <c r="W44" s="1308">
        <f t="shared" si="11"/>
        <v>100</v>
      </c>
      <c r="X44" s="1302"/>
      <c r="Y44" s="3599"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599"/>
      <c r="Q45" s="1306">
        <f t="shared" si="13"/>
        <v>111</v>
      </c>
      <c r="R45" s="1307" t="s">
        <v>5</v>
      </c>
      <c r="S45" s="1308">
        <f t="shared" si="9"/>
        <v>100</v>
      </c>
      <c r="T45" s="1307" t="s">
        <v>5</v>
      </c>
      <c r="U45" s="1308">
        <f t="shared" si="10"/>
        <v>100</v>
      </c>
      <c r="V45" s="1307" t="s">
        <v>5</v>
      </c>
      <c r="W45" s="1308">
        <f t="shared" si="11"/>
        <v>100</v>
      </c>
      <c r="X45" s="1302"/>
      <c r="Y45" s="3599"/>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599"/>
      <c r="Q46" s="1306">
        <f t="shared" si="13"/>
        <v>111</v>
      </c>
      <c r="R46" s="1307" t="s">
        <v>5</v>
      </c>
      <c r="S46" s="1308">
        <f t="shared" si="9"/>
        <v>100</v>
      </c>
      <c r="T46" s="1307" t="s">
        <v>5</v>
      </c>
      <c r="U46" s="1308">
        <f t="shared" si="10"/>
        <v>100</v>
      </c>
      <c r="V46" s="1307" t="s">
        <v>5</v>
      </c>
      <c r="W46" s="1308">
        <f t="shared" si="11"/>
        <v>100</v>
      </c>
      <c r="X46" s="1302"/>
      <c r="Y46" s="3599"/>
      <c r="Z46" s="1309">
        <f t="shared" si="12"/>
        <v>111</v>
      </c>
      <c r="AA46" s="1309">
        <f t="shared" si="3"/>
        <v>1</v>
      </c>
      <c r="AB46" s="1309">
        <f t="shared" si="4"/>
        <v>1</v>
      </c>
      <c r="AC46" s="1309">
        <f t="shared" si="5"/>
        <v>1</v>
      </c>
    </row>
    <row r="47" spans="1:29" s="1133"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599"/>
      <c r="Q47" s="1306">
        <f t="shared" si="13"/>
        <v>111</v>
      </c>
      <c r="R47" s="1310" t="s">
        <v>5</v>
      </c>
      <c r="S47" s="1311">
        <f t="shared" si="9"/>
        <v>100</v>
      </c>
      <c r="T47" s="1310" t="s">
        <v>5</v>
      </c>
      <c r="U47" s="1311">
        <f t="shared" si="10"/>
        <v>100</v>
      </c>
      <c r="V47" s="1310" t="s">
        <v>5</v>
      </c>
      <c r="W47" s="1311">
        <f t="shared" si="11"/>
        <v>100</v>
      </c>
      <c r="X47" s="1312"/>
      <c r="Y47" s="3599"/>
      <c r="Z47" s="1313">
        <f t="shared" si="12"/>
        <v>111</v>
      </c>
      <c r="AA47" s="1309">
        <f t="shared" si="3"/>
        <v>1</v>
      </c>
      <c r="AB47" s="1309">
        <f t="shared" si="4"/>
        <v>1</v>
      </c>
      <c r="AC47" s="1309">
        <f t="shared" si="5"/>
        <v>1</v>
      </c>
    </row>
    <row r="48" spans="1:29" ht="20.25">
      <c r="A48" s="556" t="s">
        <v>505</v>
      </c>
      <c r="B48" s="557" t="s">
        <v>3352</v>
      </c>
      <c r="C48" s="558" t="s">
        <v>0</v>
      </c>
      <c r="D48" s="559"/>
      <c r="E48" s="560">
        <f>ROUND(Sheet1!AC2,0)</f>
        <v>851</v>
      </c>
      <c r="F48" s="561"/>
      <c r="G48" s="560">
        <f>Sheet1!AP7</f>
        <v>1001</v>
      </c>
      <c r="H48" s="563"/>
      <c r="I48" s="560">
        <f>Sheet1!AP8</f>
        <v>750</v>
      </c>
      <c r="J48" s="563"/>
      <c r="K48" s="1134"/>
      <c r="L48" s="1751"/>
      <c r="M48" s="1740"/>
      <c r="N48" s="1740"/>
      <c r="O48" s="1742"/>
      <c r="P48" s="3594" t="str">
        <f>A48</f>
        <v>成交单价</v>
      </c>
      <c r="Q48" s="3594"/>
      <c r="R48" s="3610">
        <f>E48</f>
        <v>851</v>
      </c>
      <c r="S48" s="3610"/>
      <c r="T48" s="3610">
        <f>G48</f>
        <v>1001</v>
      </c>
      <c r="U48" s="3610"/>
      <c r="V48" s="3610">
        <f>I48</f>
        <v>750</v>
      </c>
      <c r="W48" s="3610"/>
      <c r="X48" s="799"/>
      <c r="Y48" s="1314"/>
      <c r="Z48" s="799"/>
      <c r="AA48" s="799"/>
      <c r="AB48" s="799"/>
      <c r="AC48" s="799"/>
    </row>
    <row r="49" spans="1:29" ht="21" thickBot="1">
      <c r="A49" s="564" t="s">
        <v>1975</v>
      </c>
      <c r="B49" s="565"/>
      <c r="C49" s="566">
        <f>R50</f>
        <v>809</v>
      </c>
      <c r="D49" s="2550" t="s">
        <v>2256</v>
      </c>
      <c r="E49" s="566">
        <f>R49</f>
        <v>792</v>
      </c>
      <c r="F49" s="2551"/>
      <c r="G49" s="567">
        <f>T49</f>
        <v>907</v>
      </c>
      <c r="H49" s="2551"/>
      <c r="I49" s="566">
        <f>V49</f>
        <v>727</v>
      </c>
      <c r="J49" s="2551"/>
      <c r="K49" s="2552">
        <f>F49+H49+J49</f>
        <v>0</v>
      </c>
      <c r="L49" s="1751"/>
      <c r="M49" s="1740"/>
      <c r="N49" s="1740"/>
      <c r="O49" s="1742"/>
      <c r="P49" s="3594" t="str">
        <f>A49</f>
        <v>比较价格（元/平方米）</v>
      </c>
      <c r="Q49" s="3594"/>
      <c r="R49" s="3618">
        <f>ROUND(PRODUCT(R48,AA9:AA47),0)</f>
        <v>792</v>
      </c>
      <c r="S49" s="3618"/>
      <c r="T49" s="3618">
        <f>ROUND(PRODUCT(T48,AB9:AB47),0)</f>
        <v>907</v>
      </c>
      <c r="U49" s="3618"/>
      <c r="V49" s="3618">
        <f>ROUND(PRODUCT(V48,AC9:AC47),0)</f>
        <v>727</v>
      </c>
      <c r="W49" s="3618"/>
      <c r="X49" s="799"/>
      <c r="Y49" s="799"/>
      <c r="Z49" s="799"/>
      <c r="AA49" s="799"/>
      <c r="AB49" s="799"/>
      <c r="AC49" s="799"/>
    </row>
    <row r="50" spans="1:29" ht="21" thickBot="1">
      <c r="A50" s="568" t="s">
        <v>2193</v>
      </c>
      <c r="B50" s="569"/>
      <c r="C50" s="570">
        <f>R50</f>
        <v>809</v>
      </c>
      <c r="D50" s="570"/>
      <c r="E50" s="570"/>
      <c r="F50" s="570"/>
      <c r="G50" s="570"/>
      <c r="H50" s="570"/>
      <c r="I50" s="570"/>
      <c r="J50" s="570"/>
      <c r="K50" s="1135"/>
      <c r="L50" s="1751"/>
      <c r="M50" s="1740"/>
      <c r="N50" s="1740"/>
      <c r="O50" s="1742"/>
      <c r="P50" s="3600" t="str">
        <f>A50</f>
        <v>估价对象XX用房的比较价格（楼面单价，元/平方米）</v>
      </c>
      <c r="Q50" s="3601"/>
      <c r="R50" s="3617">
        <f>ROUND(IF(D49="简单平均",AVERAGE(R49:W49),R49*F49+T49*H49+V49*J49),0)</f>
        <v>809</v>
      </c>
      <c r="S50" s="3617"/>
      <c r="T50" s="3617"/>
      <c r="U50" s="3617"/>
      <c r="V50" s="3617"/>
      <c r="W50" s="3617"/>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f>IF(E48&lt;E49,E49/E48-1,E48/E49-1)</f>
        <v>7.4494949494949392E-2</v>
      </c>
      <c r="F53" s="574" t="str">
        <f>IF(OR(E53&gt;=0.3,E53&lt;=-0.3),"超过30%","")</f>
        <v/>
      </c>
      <c r="G53" s="573">
        <f>IF(G48&lt;G49,G49/G48-1,G48/G49-1)</f>
        <v>0.10363836824696793</v>
      </c>
      <c r="H53" s="574" t="str">
        <f>IF(OR(G53&gt;=0.3,G53&lt;=-0.3),"超过30%","")</f>
        <v/>
      </c>
      <c r="I53" s="573">
        <f>IF(I48&lt;I49,I49/I48-1,I48/I49-1)</f>
        <v>3.1636863823933936E-2</v>
      </c>
      <c r="J53" s="574" t="str">
        <f>IF(OR(I53&gt;=0.3,I53&lt;=-0.3),"超过30%","")</f>
        <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f>IF(E49&lt;G49,G49/E49-1,E49/G49-1)</f>
        <v>0.14520202020202011</v>
      </c>
      <c r="F54" s="574" t="str">
        <f>IF(OR(E54&gt;=0.2,E54&lt;=-0.2),"超过20%","")</f>
        <v/>
      </c>
      <c r="G54" s="573">
        <f>IF(G49&lt;I49,I49/G49-1,G49/I49-1)</f>
        <v>0.24759284731774422</v>
      </c>
      <c r="H54" s="574" t="str">
        <f>IF(OR(G54&gt;=0.2,G54&lt;=-0.2),"超过20%","")</f>
        <v>超过20%</v>
      </c>
      <c r="I54" s="573">
        <f>IF(I49&lt;E49,E49/I49-1,I49/E49-1)</f>
        <v>8.9408528198074322E-2</v>
      </c>
      <c r="J54" s="574" t="str">
        <f>IF(OR(I54&gt;=0.2,I54&lt;=-0.2),"超过20%","")</f>
        <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f>IF(E48&lt;G48,G48/E48-1,E48/G48-1)</f>
        <v>0.17626321974148063</v>
      </c>
      <c r="F55" s="574" t="str">
        <f>IF(OR(E55&gt;=0.3,E55&lt;=-0.3),"超过30%","")</f>
        <v/>
      </c>
      <c r="G55" s="573">
        <f>IF(G48&lt;I48,I48/G48-1,G48/I48-1)</f>
        <v>0.33466666666666667</v>
      </c>
      <c r="H55" s="574" t="str">
        <f>IF(OR(G55&gt;=0.3,G55&lt;=-0.3),"超过30%","")</f>
        <v>超过30%</v>
      </c>
      <c r="I55" s="573">
        <f>IF(I48&lt;E48,E48/I48-1,I48/E48-1)</f>
        <v>0.13466666666666671</v>
      </c>
      <c r="J55" s="574" t="str">
        <f>IF(OR(I55&gt;=0.3,I55&lt;=-0.3),"超过30%","")</f>
        <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79" t="s">
        <v>1639</v>
      </c>
      <c r="H57" s="3580"/>
      <c r="I57" s="1297" t="s">
        <v>1251</v>
      </c>
      <c r="J57" s="1297" t="str">
        <f>项目基本情况!F41</f>
        <v>江苏省</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809</v>
      </c>
      <c r="C58" s="582">
        <v>1</v>
      </c>
      <c r="D58" s="1822">
        <v>1</v>
      </c>
      <c r="E58" s="582">
        <f>'数据-汇总表'!E8+'数据-汇总表'!E9</f>
        <v>302725.5</v>
      </c>
      <c r="F58" s="583">
        <f t="shared" ref="F58:F66" si="14">ROUND(B58*E58/10000,0)</f>
        <v>24490</v>
      </c>
      <c r="G58" s="3581"/>
      <c r="H58" s="3582"/>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8" t="s">
        <v>1640</v>
      </c>
      <c r="H59" s="1607">
        <f>项目基本情况!B43</f>
        <v>0</v>
      </c>
      <c r="I59" s="1298">
        <f>SUMIF(修正!$A$57:$A$68,H59,修正!B57:B68)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9"/>
      <c r="H60" s="1607">
        <f>项目基本情况!B43</f>
        <v>0</v>
      </c>
      <c r="I60" s="1298">
        <f>SUMIF(修正!$A$57:$A$68,H60,修正!C57:C68)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9"/>
      <c r="H61" s="1607">
        <f>项目基本情况!B43</f>
        <v>0</v>
      </c>
      <c r="I61" s="1298">
        <f>SUMIF(修正!$A$57:$A$68,H61,修正!D57:D68)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302725.5</v>
      </c>
      <c r="F67" s="591">
        <f>IF(B48="楼面地价",SUM(F58:F66),ROUND(C50*E67/10000,0))</f>
        <v>24490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2023-5-1</v>
      </c>
      <c r="D69" s="2111">
        <f>EDATE(C69,-3)</f>
        <v>44958</v>
      </c>
      <c r="E69" s="2111">
        <f t="shared" ref="E69:N69" si="17">EDATE(D69,-3)</f>
        <v>44866</v>
      </c>
      <c r="F69" s="2111">
        <f t="shared" si="17"/>
        <v>44774</v>
      </c>
      <c r="G69" s="2111">
        <f t="shared" si="17"/>
        <v>44682</v>
      </c>
      <c r="H69" s="2111">
        <f t="shared" si="17"/>
        <v>44593</v>
      </c>
      <c r="I69" s="2111">
        <f t="shared" si="17"/>
        <v>44501</v>
      </c>
      <c r="J69" s="2111">
        <f t="shared" si="17"/>
        <v>44409</v>
      </c>
      <c r="K69" s="2111">
        <f t="shared" si="17"/>
        <v>44317</v>
      </c>
      <c r="L69" s="2111">
        <f t="shared" si="17"/>
        <v>44228</v>
      </c>
      <c r="M69" s="2111">
        <f t="shared" si="17"/>
        <v>44136</v>
      </c>
      <c r="N69" s="2111">
        <f t="shared" si="17"/>
        <v>44044</v>
      </c>
      <c r="O69" s="1753">
        <f t="shared" ref="O69" si="18">EDATE(N69,-3)</f>
        <v>43952</v>
      </c>
      <c r="P69" s="1753">
        <f t="shared" ref="P69" si="19">EDATE(O69,-3)</f>
        <v>43862</v>
      </c>
      <c r="Q69" s="1753">
        <f t="shared" ref="Q69" si="20">EDATE(P69,-3)</f>
        <v>43770</v>
      </c>
      <c r="R69" s="1753">
        <f t="shared" ref="R69" si="21">EDATE(Q69,-3)</f>
        <v>43678</v>
      </c>
      <c r="S69" s="1753">
        <f t="shared" ref="S69" si="22">EDATE(R69,-3)</f>
        <v>43586</v>
      </c>
      <c r="T69" s="1753">
        <f t="shared" ref="T69" si="23">EDATE(S69,-3)</f>
        <v>43497</v>
      </c>
      <c r="U69" s="1753">
        <f t="shared" ref="U69" si="24">EDATE(T69,-3)</f>
        <v>43405</v>
      </c>
      <c r="V69" s="1753">
        <f t="shared" ref="V69" si="25">EDATE(U69,-3)</f>
        <v>43313</v>
      </c>
      <c r="W69" s="1753">
        <f t="shared" ref="W69" si="26">EDATE(V69,-3)</f>
        <v>43221</v>
      </c>
      <c r="X69" s="1753">
        <f t="shared" ref="X69" si="27">EDATE(W69,-3)</f>
        <v>43132</v>
      </c>
      <c r="Y69" s="1753">
        <f t="shared" ref="Y69" si="28">EDATE(X69,-3)</f>
        <v>43040</v>
      </c>
      <c r="Z69" s="1753">
        <f t="shared" ref="Z69" si="29">EDATE(Y69,-3)</f>
        <v>42948</v>
      </c>
      <c r="AA69" s="1753">
        <f t="shared" ref="AA69" si="30">EDATE(Z69,-3)</f>
        <v>42856</v>
      </c>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42.75">
      <c r="A71" s="2042" t="s">
        <v>1815</v>
      </c>
      <c r="B71" s="2043"/>
      <c r="C71" s="155" t="str">
        <f>YEAR(C69)&amp;"-"&amp;ROUNDUP(MONTH(C69)/3,0)</f>
        <v>2023-2</v>
      </c>
      <c r="D71" s="155" t="str">
        <f>YEAR(D69)&amp;"-"&amp;ROUNDUP(MONTH(D69)/3,0)</f>
        <v>2023-1</v>
      </c>
      <c r="E71" s="155" t="str">
        <f t="shared" ref="E71:X71" si="31">YEAR(E69)&amp;"-"&amp;ROUNDUP(MONTH(E69)/3,0)</f>
        <v>2022-4</v>
      </c>
      <c r="F71" s="155" t="str">
        <f t="shared" si="31"/>
        <v>2022-3</v>
      </c>
      <c r="G71" s="155" t="str">
        <f t="shared" si="31"/>
        <v>2022-2</v>
      </c>
      <c r="H71" s="155" t="str">
        <f t="shared" si="31"/>
        <v>2022-1</v>
      </c>
      <c r="I71" s="155" t="str">
        <f t="shared" si="31"/>
        <v>2021-4</v>
      </c>
      <c r="J71" s="155" t="str">
        <f t="shared" si="31"/>
        <v>2021-3</v>
      </c>
      <c r="K71" s="155" t="str">
        <f t="shared" si="31"/>
        <v>2021-2</v>
      </c>
      <c r="L71" s="155" t="str">
        <f t="shared" si="31"/>
        <v>2021-1</v>
      </c>
      <c r="M71" s="155" t="str">
        <f t="shared" si="31"/>
        <v>2020-4</v>
      </c>
      <c r="N71" s="155" t="str">
        <f t="shared" si="31"/>
        <v>2020-3</v>
      </c>
      <c r="O71" s="3397" t="str">
        <f>YEAR(O69)&amp;"-"&amp;ROUNDUP(MONTH(O69)/3,0)</f>
        <v>2020-2</v>
      </c>
      <c r="P71" s="3397" t="str">
        <f t="shared" si="31"/>
        <v>2020-1</v>
      </c>
      <c r="Q71" s="3397" t="str">
        <f t="shared" si="31"/>
        <v>2019-4</v>
      </c>
      <c r="R71" s="3397" t="str">
        <f t="shared" si="31"/>
        <v>2019-3</v>
      </c>
      <c r="S71" s="3397" t="str">
        <f t="shared" si="31"/>
        <v>2019-2</v>
      </c>
      <c r="T71" s="3397" t="str">
        <f t="shared" si="31"/>
        <v>2019-1</v>
      </c>
      <c r="U71" s="3397" t="str">
        <f t="shared" si="31"/>
        <v>2018-4</v>
      </c>
      <c r="V71" s="3397" t="str">
        <f t="shared" si="31"/>
        <v>2018-3</v>
      </c>
      <c r="W71" s="3397" t="str">
        <f t="shared" si="31"/>
        <v>2018-2</v>
      </c>
      <c r="X71" s="3397" t="str">
        <f t="shared" si="31"/>
        <v>2018-1</v>
      </c>
      <c r="Y71" s="3397" t="str">
        <f t="shared" ref="Y71:AA71" si="32">YEAR(Y69)&amp;"-"&amp;ROUNDUP(MONTH(Y69)/3,0)</f>
        <v>2017-4</v>
      </c>
      <c r="Z71" s="3397" t="str">
        <f t="shared" si="32"/>
        <v>2017-3</v>
      </c>
      <c r="AA71" s="3397" t="str">
        <f t="shared" si="32"/>
        <v>2017-2</v>
      </c>
      <c r="AB71" s="1765"/>
      <c r="AC71" s="1765"/>
    </row>
    <row r="72" spans="1:29" s="1059" customFormat="1" ht="27" customHeight="1">
      <c r="A72" s="2117" t="s">
        <v>1929</v>
      </c>
      <c r="B72" s="448" t="str">
        <f>"北京市平均增长率"&amp;TEXT(SUMIF(基准地价!N25:N29,A72,基准地价!P25:P29),"0.00%")</f>
        <v>北京市平均增长率0.00%</v>
      </c>
      <c r="C72" s="818">
        <v>100</v>
      </c>
      <c r="D72" s="79">
        <f>C72-0.1</f>
        <v>99.9</v>
      </c>
      <c r="E72" s="79">
        <f t="shared" ref="E72:X72" si="33">D72-0.1</f>
        <v>99.800000000000011</v>
      </c>
      <c r="F72" s="79">
        <f t="shared" si="33"/>
        <v>99.700000000000017</v>
      </c>
      <c r="G72" s="79">
        <f t="shared" si="33"/>
        <v>99.600000000000023</v>
      </c>
      <c r="H72" s="79">
        <f t="shared" si="33"/>
        <v>99.500000000000028</v>
      </c>
      <c r="I72" s="79">
        <f t="shared" si="33"/>
        <v>99.400000000000034</v>
      </c>
      <c r="J72" s="79">
        <f t="shared" si="33"/>
        <v>99.30000000000004</v>
      </c>
      <c r="K72" s="79">
        <f t="shared" si="33"/>
        <v>99.200000000000045</v>
      </c>
      <c r="L72" s="79">
        <f t="shared" si="33"/>
        <v>99.100000000000051</v>
      </c>
      <c r="M72" s="79">
        <f t="shared" si="33"/>
        <v>99.000000000000057</v>
      </c>
      <c r="N72" s="79">
        <f t="shared" si="33"/>
        <v>98.900000000000063</v>
      </c>
      <c r="O72" s="79">
        <f t="shared" si="33"/>
        <v>98.800000000000068</v>
      </c>
      <c r="P72" s="79">
        <f t="shared" si="33"/>
        <v>98.700000000000074</v>
      </c>
      <c r="Q72" s="79">
        <f t="shared" si="33"/>
        <v>98.60000000000008</v>
      </c>
      <c r="R72" s="79">
        <f t="shared" si="33"/>
        <v>98.500000000000085</v>
      </c>
      <c r="S72" s="79">
        <f t="shared" si="33"/>
        <v>98.400000000000091</v>
      </c>
      <c r="T72" s="79">
        <f t="shared" si="33"/>
        <v>98.300000000000097</v>
      </c>
      <c r="U72" s="79">
        <f t="shared" si="33"/>
        <v>98.200000000000102</v>
      </c>
      <c r="V72" s="79">
        <f t="shared" si="33"/>
        <v>98.100000000000108</v>
      </c>
      <c r="W72" s="79">
        <f t="shared" si="33"/>
        <v>98.000000000000114</v>
      </c>
      <c r="X72" s="79">
        <f t="shared" si="33"/>
        <v>97.900000000000119</v>
      </c>
      <c r="Y72" s="79">
        <f t="shared" ref="Y72:AA72" si="34">X72-0.1</f>
        <v>97.800000000000125</v>
      </c>
      <c r="Z72" s="79">
        <f t="shared" si="34"/>
        <v>97.700000000000131</v>
      </c>
      <c r="AA72" s="79">
        <f t="shared" si="34"/>
        <v>97.600000000000136</v>
      </c>
      <c r="AB72" s="1640"/>
      <c r="AC72" s="1640"/>
    </row>
    <row r="73" spans="1:29" s="1059"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399" t="s">
        <v>3335</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35">D81&amp;"（含）"&amp;"-"&amp;E81</f>
        <v>1（含）-2</v>
      </c>
      <c r="E80" s="624" t="str">
        <f t="shared" si="35"/>
        <v>2（含）-3</v>
      </c>
      <c r="F80" s="624" t="str">
        <f t="shared" si="35"/>
        <v>3（含）-4</v>
      </c>
      <c r="G80" s="624" t="str">
        <f t="shared" si="35"/>
        <v>4（含）-</v>
      </c>
      <c r="H80" s="624" t="str">
        <f t="shared" si="35"/>
        <v>（含）-</v>
      </c>
      <c r="I80" s="624" t="str">
        <f t="shared" si="35"/>
        <v>（含）-</v>
      </c>
      <c r="J80" s="624" t="str">
        <f t="shared" si="35"/>
        <v>（含）-</v>
      </c>
      <c r="K80" s="624" t="str">
        <f t="shared" si="35"/>
        <v>（含）-</v>
      </c>
      <c r="L80" s="624" t="str">
        <f t="shared" si="35"/>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36">IF($B$48="单位面积地价",C82+$K13,C82-$K13)</f>
        <v>98</v>
      </c>
      <c r="E82" s="621">
        <f t="shared" si="36"/>
        <v>96</v>
      </c>
      <c r="F82" s="621">
        <f t="shared" si="36"/>
        <v>94</v>
      </c>
      <c r="G82" s="621">
        <f t="shared" si="36"/>
        <v>92</v>
      </c>
      <c r="H82" s="621">
        <f t="shared" si="36"/>
        <v>90</v>
      </c>
      <c r="I82" s="621">
        <f t="shared" si="36"/>
        <v>88</v>
      </c>
      <c r="J82" s="621">
        <f t="shared" si="36"/>
        <v>86</v>
      </c>
      <c r="K82" s="621">
        <f t="shared" si="36"/>
        <v>84</v>
      </c>
      <c r="L82" s="621">
        <f t="shared" si="36"/>
        <v>82</v>
      </c>
      <c r="M82" s="621">
        <f t="shared" si="36"/>
        <v>80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95</v>
      </c>
      <c r="E92" s="621">
        <f>D92-$K19</f>
        <v>90</v>
      </c>
      <c r="F92" s="621">
        <f>E92-$K19</f>
        <v>85</v>
      </c>
      <c r="G92" s="621">
        <f>F92-$K19</f>
        <v>80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97</v>
      </c>
      <c r="E96" s="621">
        <f>D96-$K23</f>
        <v>94</v>
      </c>
      <c r="F96" s="621">
        <f>E96-$K23</f>
        <v>91</v>
      </c>
      <c r="G96" s="621">
        <f>F96-$K23</f>
        <v>88</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37">C106-$K33</f>
        <v>100</v>
      </c>
      <c r="E106" s="621">
        <f t="shared" si="37"/>
        <v>100</v>
      </c>
      <c r="F106" s="621">
        <f t="shared" si="37"/>
        <v>100</v>
      </c>
      <c r="G106" s="621">
        <f t="shared" si="37"/>
        <v>100</v>
      </c>
      <c r="H106" s="621">
        <f t="shared" si="37"/>
        <v>100</v>
      </c>
      <c r="I106" s="621">
        <f t="shared" si="37"/>
        <v>100</v>
      </c>
      <c r="J106" s="621">
        <f t="shared" si="37"/>
        <v>100</v>
      </c>
      <c r="K106" s="621">
        <f t="shared" si="37"/>
        <v>100</v>
      </c>
      <c r="L106" s="621">
        <f t="shared" si="37"/>
        <v>100</v>
      </c>
      <c r="M106" s="621">
        <f t="shared" si="37"/>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3406" t="s">
        <v>3376</v>
      </c>
      <c r="D107" s="3406" t="s">
        <v>3377</v>
      </c>
      <c r="E107" s="3406" t="s">
        <v>3378</v>
      </c>
      <c r="F107" s="3406" t="s">
        <v>3379</v>
      </c>
      <c r="G107" s="3406" t="s">
        <v>3380</v>
      </c>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38">C108-$K34</f>
        <v>100</v>
      </c>
      <c r="E108" s="621">
        <f t="shared" si="38"/>
        <v>100</v>
      </c>
      <c r="F108" s="621">
        <f t="shared" si="38"/>
        <v>100</v>
      </c>
      <c r="G108" s="621">
        <f t="shared" si="38"/>
        <v>100</v>
      </c>
      <c r="H108" s="621">
        <f t="shared" si="38"/>
        <v>100</v>
      </c>
      <c r="I108" s="621">
        <f t="shared" si="38"/>
        <v>100</v>
      </c>
      <c r="J108" s="621">
        <f t="shared" si="38"/>
        <v>100</v>
      </c>
      <c r="K108" s="621">
        <f t="shared" si="38"/>
        <v>100</v>
      </c>
      <c r="L108" s="621">
        <f t="shared" si="38"/>
        <v>100</v>
      </c>
      <c r="M108" s="621">
        <f t="shared" si="38"/>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39">C110-$K36</f>
        <v>100</v>
      </c>
      <c r="E110" s="621">
        <f t="shared" si="39"/>
        <v>100</v>
      </c>
      <c r="F110" s="621">
        <f t="shared" si="39"/>
        <v>100</v>
      </c>
      <c r="G110" s="621">
        <f t="shared" si="39"/>
        <v>100</v>
      </c>
      <c r="H110" s="621">
        <f t="shared" si="39"/>
        <v>100</v>
      </c>
      <c r="I110" s="621">
        <f t="shared" si="39"/>
        <v>100</v>
      </c>
      <c r="J110" s="621">
        <f t="shared" si="39"/>
        <v>100</v>
      </c>
      <c r="K110" s="621">
        <f t="shared" si="39"/>
        <v>100</v>
      </c>
      <c r="L110" s="621">
        <f t="shared" si="39"/>
        <v>100</v>
      </c>
      <c r="M110" s="621">
        <f t="shared" si="39"/>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40">C118&amp;"(含)"&amp;"-"&amp;D118</f>
        <v>0(含)-30000</v>
      </c>
      <c r="D117" s="645" t="str">
        <f t="shared" si="40"/>
        <v>30000(含)-60000</v>
      </c>
      <c r="E117" s="645" t="str">
        <f t="shared" si="40"/>
        <v>60000(含)-90000</v>
      </c>
      <c r="F117" s="645" t="str">
        <f t="shared" si="40"/>
        <v>90000(含)-120000</v>
      </c>
      <c r="G117" s="645" t="str">
        <f t="shared" si="40"/>
        <v>120000(含)-150000</v>
      </c>
      <c r="H117" s="645" t="str">
        <f t="shared" si="40"/>
        <v>150000(含)-</v>
      </c>
      <c r="I117" s="645" t="str">
        <f t="shared" si="40"/>
        <v>(含)-</v>
      </c>
      <c r="J117" s="2348" t="str">
        <f t="shared" si="40"/>
        <v>(含)-</v>
      </c>
      <c r="K117" s="2348" t="str">
        <f t="shared" si="40"/>
        <v>(含)-</v>
      </c>
      <c r="L117" s="2349" t="str">
        <f t="shared" si="40"/>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f>C118+30000</f>
        <v>30000</v>
      </c>
      <c r="E118" s="79">
        <f t="shared" ref="E118:H118" si="41">D118+30000</f>
        <v>60000</v>
      </c>
      <c r="F118" s="79">
        <f t="shared" si="41"/>
        <v>90000</v>
      </c>
      <c r="G118" s="79">
        <f t="shared" si="41"/>
        <v>120000</v>
      </c>
      <c r="H118" s="79">
        <f t="shared" si="41"/>
        <v>150000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C119+3</f>
        <v>103</v>
      </c>
      <c r="E119" s="666">
        <f t="shared" ref="E119:H119" si="42">D119+3</f>
        <v>106</v>
      </c>
      <c r="F119" s="666">
        <f t="shared" si="42"/>
        <v>109</v>
      </c>
      <c r="G119" s="666">
        <f t="shared" si="42"/>
        <v>112</v>
      </c>
      <c r="H119" s="666">
        <f t="shared" si="42"/>
        <v>115</v>
      </c>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2" t="s">
        <v>3341</v>
      </c>
      <c r="D120" s="3402" t="s">
        <v>3342</v>
      </c>
      <c r="E120" s="3402" t="s">
        <v>3343</v>
      </c>
      <c r="F120" s="3402" t="s">
        <v>3344</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43">C121-$K41</f>
        <v>100</v>
      </c>
      <c r="E121" s="621">
        <f t="shared" si="43"/>
        <v>100</v>
      </c>
      <c r="F121" s="621">
        <f t="shared" si="43"/>
        <v>100</v>
      </c>
      <c r="G121" s="621">
        <f t="shared" si="43"/>
        <v>100</v>
      </c>
      <c r="H121" s="621">
        <f t="shared" si="43"/>
        <v>100</v>
      </c>
      <c r="I121" s="621">
        <f t="shared" si="43"/>
        <v>100</v>
      </c>
      <c r="J121" s="621">
        <f t="shared" si="43"/>
        <v>100</v>
      </c>
      <c r="K121" s="621">
        <f t="shared" si="43"/>
        <v>100</v>
      </c>
      <c r="L121" s="621">
        <f t="shared" si="43"/>
        <v>100</v>
      </c>
      <c r="M121" s="622">
        <f t="shared" si="43"/>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44">C123-$K42</f>
        <v>100</v>
      </c>
      <c r="E123" s="621">
        <f t="shared" si="44"/>
        <v>100</v>
      </c>
      <c r="F123" s="621">
        <f t="shared" si="44"/>
        <v>100</v>
      </c>
      <c r="G123" s="621">
        <f t="shared" si="44"/>
        <v>100</v>
      </c>
      <c r="H123" s="621">
        <f t="shared" si="44"/>
        <v>100</v>
      </c>
      <c r="I123" s="621">
        <f t="shared" si="44"/>
        <v>100</v>
      </c>
      <c r="J123" s="621">
        <f t="shared" si="44"/>
        <v>100</v>
      </c>
      <c r="K123" s="621">
        <f t="shared" si="44"/>
        <v>100</v>
      </c>
      <c r="L123" s="621">
        <f t="shared" si="44"/>
        <v>100</v>
      </c>
      <c r="M123" s="622">
        <f t="shared" si="44"/>
        <v>100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3406" t="s">
        <v>3386</v>
      </c>
      <c r="D124" s="3406" t="s">
        <v>3361</v>
      </c>
      <c r="E124" s="3406" t="s">
        <v>3387</v>
      </c>
      <c r="F124" s="3406" t="s">
        <v>3388</v>
      </c>
      <c r="G124" s="3406" t="s">
        <v>3389</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45">C125-$K43</f>
        <v>99</v>
      </c>
      <c r="E125" s="621">
        <f t="shared" si="45"/>
        <v>98</v>
      </c>
      <c r="F125" s="621">
        <f t="shared" si="45"/>
        <v>97</v>
      </c>
      <c r="G125" s="621">
        <f t="shared" si="45"/>
        <v>96</v>
      </c>
      <c r="H125" s="621">
        <f t="shared" si="45"/>
        <v>95</v>
      </c>
      <c r="I125" s="621">
        <f t="shared" si="45"/>
        <v>94</v>
      </c>
      <c r="J125" s="621">
        <f t="shared" si="45"/>
        <v>93</v>
      </c>
      <c r="K125" s="621">
        <f t="shared" si="45"/>
        <v>92</v>
      </c>
      <c r="L125" s="621">
        <f t="shared" si="45"/>
        <v>91</v>
      </c>
      <c r="M125" s="622">
        <f t="shared" si="45"/>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3406" t="s">
        <v>3381</v>
      </c>
      <c r="D126" s="3406" t="s">
        <v>3382</v>
      </c>
      <c r="E126" s="3402" t="s">
        <v>3383</v>
      </c>
      <c r="F126" s="3402" t="s">
        <v>3384</v>
      </c>
      <c r="G126" s="3402" t="s">
        <v>3385</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46">C127-$K44</f>
        <v>98</v>
      </c>
      <c r="E127" s="621">
        <f t="shared" si="46"/>
        <v>96</v>
      </c>
      <c r="F127" s="621">
        <f t="shared" si="46"/>
        <v>94</v>
      </c>
      <c r="G127" s="621">
        <f t="shared" si="46"/>
        <v>92</v>
      </c>
      <c r="H127" s="621">
        <f t="shared" si="46"/>
        <v>90</v>
      </c>
      <c r="I127" s="621">
        <f t="shared" si="46"/>
        <v>88</v>
      </c>
      <c r="J127" s="621">
        <f t="shared" si="46"/>
        <v>86</v>
      </c>
      <c r="K127" s="621">
        <f t="shared" si="46"/>
        <v>84</v>
      </c>
      <c r="L127" s="621">
        <f t="shared" si="46"/>
        <v>82</v>
      </c>
      <c r="M127" s="622">
        <f t="shared" si="46"/>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6"/>
  <sheetViews>
    <sheetView workbookViewId="0">
      <selection activeCell="G7" sqref="G7"/>
    </sheetView>
  </sheetViews>
  <sheetFormatPr defaultColWidth="9" defaultRowHeight="13.5"/>
  <cols>
    <col min="1" max="1" width="32.125" style="3394" customWidth="1"/>
    <col min="2" max="11" width="9" style="3394"/>
    <col min="12" max="12" width="23.375" style="3394" customWidth="1"/>
    <col min="13" max="16384" width="9" style="3394"/>
  </cols>
  <sheetData>
    <row r="1" spans="1:247">
      <c r="A1" s="3393" t="s">
        <v>3262</v>
      </c>
      <c r="B1" s="3393" t="s">
        <v>3263</v>
      </c>
      <c r="C1" s="3393" t="s">
        <v>3264</v>
      </c>
      <c r="D1" s="3393" t="s">
        <v>3265</v>
      </c>
      <c r="E1" s="3393" t="s">
        <v>3266</v>
      </c>
      <c r="F1" s="3393" t="s">
        <v>3267</v>
      </c>
      <c r="G1" s="3393" t="s">
        <v>3268</v>
      </c>
      <c r="H1" s="3393" t="s">
        <v>3269</v>
      </c>
      <c r="I1" s="3393" t="s">
        <v>3270</v>
      </c>
      <c r="J1" s="3393" t="s">
        <v>3271</v>
      </c>
      <c r="K1" s="3393" t="s">
        <v>3272</v>
      </c>
      <c r="L1" s="3393" t="s">
        <v>1550</v>
      </c>
      <c r="M1" s="3393" t="s">
        <v>3273</v>
      </c>
      <c r="N1" s="3393" t="s">
        <v>3274</v>
      </c>
      <c r="O1" s="3393" t="s">
        <v>3275</v>
      </c>
      <c r="P1" s="3393" t="s">
        <v>3276</v>
      </c>
      <c r="Q1" s="3393" t="s">
        <v>3277</v>
      </c>
      <c r="R1" s="3393" t="s">
        <v>3278</v>
      </c>
      <c r="S1" s="3393" t="s">
        <v>3279</v>
      </c>
      <c r="T1" s="3393" t="s">
        <v>3280</v>
      </c>
      <c r="U1" s="3393" t="s">
        <v>3281</v>
      </c>
      <c r="V1" s="3393" t="s">
        <v>3282</v>
      </c>
      <c r="W1" s="3393" t="s">
        <v>3283</v>
      </c>
      <c r="X1" s="3393" t="s">
        <v>3284</v>
      </c>
      <c r="Y1" s="3393" t="s">
        <v>3285</v>
      </c>
      <c r="Z1" s="3393" t="s">
        <v>3286</v>
      </c>
      <c r="AA1" s="3393" t="s">
        <v>3287</v>
      </c>
      <c r="AB1" s="3393" t="s">
        <v>3288</v>
      </c>
      <c r="AC1" s="3393" t="s">
        <v>3289</v>
      </c>
      <c r="AD1" s="3393" t="s">
        <v>3290</v>
      </c>
      <c r="AE1" s="3393" t="s">
        <v>3291</v>
      </c>
      <c r="AF1" s="3393" t="s">
        <v>3292</v>
      </c>
      <c r="AG1" s="3393" t="s">
        <v>3293</v>
      </c>
      <c r="AH1" s="3393" t="s">
        <v>3294</v>
      </c>
      <c r="AI1" s="3393" t="s">
        <v>3295</v>
      </c>
      <c r="AJ1" s="3393" t="s">
        <v>3296</v>
      </c>
      <c r="AK1" s="3393" t="s">
        <v>3297</v>
      </c>
      <c r="AL1" s="3393"/>
      <c r="AM1" s="3393"/>
      <c r="AN1" s="3393"/>
      <c r="AO1" s="3393"/>
      <c r="AP1" s="3393"/>
      <c r="AQ1" s="3393"/>
      <c r="AR1" s="3393"/>
      <c r="AS1" s="3393"/>
      <c r="AT1" s="3393"/>
      <c r="AU1" s="3393"/>
      <c r="AV1" s="3393"/>
      <c r="AW1" s="3393"/>
      <c r="AX1" s="3393"/>
      <c r="AY1" s="3393"/>
      <c r="AZ1" s="3393"/>
      <c r="BA1" s="3393"/>
      <c r="BB1" s="3393"/>
      <c r="BC1" s="3393"/>
      <c r="BD1" s="3393"/>
      <c r="BE1" s="3393"/>
      <c r="BF1" s="3393"/>
      <c r="BG1" s="3393"/>
      <c r="BH1" s="3393"/>
      <c r="BI1" s="3393"/>
      <c r="BJ1" s="3393"/>
      <c r="BK1" s="3393"/>
      <c r="BL1" s="3393"/>
      <c r="BM1" s="3393"/>
      <c r="BN1" s="3393"/>
      <c r="BO1" s="3393"/>
      <c r="BP1" s="3393"/>
      <c r="BQ1" s="3393"/>
      <c r="BR1" s="3393"/>
      <c r="BS1" s="3393"/>
      <c r="BT1" s="3393"/>
      <c r="BU1" s="3393"/>
      <c r="BV1" s="3393"/>
      <c r="BW1" s="3393"/>
      <c r="BX1" s="3393"/>
      <c r="BY1" s="3393"/>
      <c r="BZ1" s="3393"/>
      <c r="CA1" s="3393"/>
      <c r="CB1" s="3393"/>
      <c r="CC1" s="3393"/>
      <c r="CD1" s="3393"/>
      <c r="CE1" s="3393"/>
      <c r="CF1" s="3393"/>
      <c r="CG1" s="3393"/>
      <c r="CH1" s="3393"/>
      <c r="CI1" s="3393"/>
      <c r="CJ1" s="3393"/>
      <c r="CK1" s="3393"/>
      <c r="CL1" s="3393"/>
      <c r="CM1" s="3393"/>
      <c r="CN1" s="3393"/>
      <c r="CO1" s="3393"/>
      <c r="CP1" s="3393"/>
      <c r="CQ1" s="3393"/>
      <c r="CR1" s="3393"/>
      <c r="CS1" s="3393"/>
      <c r="CT1" s="3393"/>
      <c r="CU1" s="3393"/>
      <c r="CV1" s="3393"/>
      <c r="CW1" s="3393"/>
      <c r="CX1" s="3393"/>
      <c r="CY1" s="3393"/>
      <c r="CZ1" s="3393"/>
      <c r="DA1" s="3393"/>
      <c r="DB1" s="3393"/>
      <c r="DC1" s="3393"/>
      <c r="DD1" s="3393"/>
      <c r="DE1" s="3393"/>
      <c r="DF1" s="3393"/>
      <c r="DG1" s="3393"/>
      <c r="DH1" s="3393"/>
      <c r="DI1" s="3393"/>
      <c r="DJ1" s="3393"/>
      <c r="DK1" s="3393"/>
      <c r="DL1" s="3393"/>
      <c r="DM1" s="3393"/>
      <c r="DN1" s="3393"/>
      <c r="DO1" s="3393"/>
      <c r="DP1" s="3393"/>
      <c r="DQ1" s="3393"/>
      <c r="DR1" s="3393"/>
      <c r="DS1" s="3393"/>
      <c r="DT1" s="3393"/>
      <c r="DU1" s="3393"/>
      <c r="DV1" s="3393"/>
      <c r="DW1" s="3393"/>
      <c r="DX1" s="3393"/>
      <c r="DY1" s="3393"/>
      <c r="DZ1" s="3393"/>
      <c r="EA1" s="3393"/>
      <c r="EB1" s="3393"/>
      <c r="EC1" s="3393"/>
      <c r="ED1" s="3393"/>
      <c r="EE1" s="3393"/>
      <c r="EF1" s="3393"/>
      <c r="EG1" s="3393"/>
      <c r="EH1" s="3393"/>
      <c r="EI1" s="3393"/>
      <c r="EJ1" s="3393"/>
      <c r="EK1" s="3393"/>
      <c r="EL1" s="3393"/>
      <c r="EM1" s="3393"/>
      <c r="EN1" s="3393"/>
      <c r="EO1" s="3393"/>
      <c r="EP1" s="3393"/>
      <c r="EQ1" s="3393"/>
      <c r="ER1" s="3393"/>
      <c r="ES1" s="3393"/>
      <c r="ET1" s="3393"/>
      <c r="EU1" s="3393"/>
      <c r="EV1" s="3393"/>
      <c r="EW1" s="3393"/>
      <c r="EX1" s="3393"/>
      <c r="EY1" s="3393"/>
      <c r="EZ1" s="3393"/>
      <c r="FA1" s="3393"/>
      <c r="FB1" s="3393"/>
      <c r="FC1" s="3393"/>
      <c r="FD1" s="3393"/>
      <c r="FE1" s="3393"/>
      <c r="FF1" s="3393"/>
      <c r="FG1" s="3393"/>
      <c r="FH1" s="3393"/>
      <c r="FI1" s="3393"/>
      <c r="FJ1" s="3393"/>
      <c r="FK1" s="3393"/>
      <c r="FL1" s="3393"/>
      <c r="FM1" s="3393"/>
      <c r="FN1" s="3393"/>
      <c r="FO1" s="3393"/>
      <c r="FP1" s="3393"/>
      <c r="FQ1" s="3393"/>
      <c r="FR1" s="3393"/>
      <c r="FS1" s="3393"/>
      <c r="FT1" s="3393"/>
      <c r="FU1" s="3393"/>
      <c r="FV1" s="3393"/>
      <c r="FW1" s="3393"/>
      <c r="FX1" s="3393"/>
      <c r="FY1" s="3393"/>
      <c r="FZ1" s="3393"/>
      <c r="GA1" s="3393"/>
      <c r="GB1" s="3393"/>
      <c r="GC1" s="3393"/>
      <c r="GD1" s="3393"/>
      <c r="GE1" s="3393"/>
      <c r="GF1" s="3393"/>
      <c r="GG1" s="3393"/>
      <c r="GH1" s="3393"/>
      <c r="GI1" s="3393"/>
      <c r="GJ1" s="3393"/>
      <c r="GK1" s="3393"/>
      <c r="GL1" s="3393"/>
      <c r="GM1" s="3393"/>
      <c r="GN1" s="3393"/>
      <c r="GO1" s="3393"/>
      <c r="GP1" s="3393"/>
      <c r="GQ1" s="3393"/>
      <c r="GR1" s="3393"/>
      <c r="GS1" s="3393"/>
      <c r="GT1" s="3393"/>
      <c r="GU1" s="3393"/>
      <c r="GV1" s="3393"/>
      <c r="GW1" s="3393"/>
      <c r="GX1" s="3393"/>
      <c r="GY1" s="3393"/>
      <c r="GZ1" s="3393"/>
      <c r="HA1" s="3393"/>
      <c r="HB1" s="3393"/>
      <c r="HC1" s="3393"/>
      <c r="HD1" s="3393"/>
      <c r="HE1" s="3393"/>
      <c r="HF1" s="3393"/>
      <c r="HG1" s="3393"/>
      <c r="HH1" s="3393"/>
      <c r="HI1" s="3393"/>
      <c r="HJ1" s="3393"/>
      <c r="HK1" s="3393"/>
      <c r="HL1" s="3393"/>
      <c r="HM1" s="3393"/>
      <c r="HN1" s="3393"/>
      <c r="HO1" s="3393"/>
      <c r="HP1" s="3393"/>
      <c r="HQ1" s="3393"/>
      <c r="HR1" s="3393"/>
      <c r="HS1" s="3393"/>
      <c r="HT1" s="3393"/>
      <c r="HU1" s="3393"/>
      <c r="HV1" s="3393"/>
      <c r="HW1" s="3393"/>
      <c r="HX1" s="3393"/>
      <c r="HY1" s="3393"/>
      <c r="HZ1" s="3393"/>
      <c r="IA1" s="3393"/>
      <c r="IB1" s="3393"/>
      <c r="IC1" s="3393"/>
      <c r="ID1" s="3393"/>
      <c r="IE1" s="3393"/>
      <c r="IF1" s="3393"/>
      <c r="IG1" s="3393"/>
      <c r="IH1" s="3393"/>
      <c r="II1" s="3393"/>
      <c r="IJ1" s="3393"/>
      <c r="IK1" s="3393"/>
      <c r="IL1" s="3393"/>
      <c r="IM1" s="3393"/>
    </row>
    <row r="2" spans="1:247">
      <c r="A2" s="3393" t="s">
        <v>3298</v>
      </c>
      <c r="B2" s="3393" t="s">
        <v>3299</v>
      </c>
      <c r="C2" s="3393" t="s">
        <v>3300</v>
      </c>
      <c r="D2" s="3393" t="s">
        <v>3301</v>
      </c>
      <c r="E2" s="3395" t="s">
        <v>3302</v>
      </c>
      <c r="F2" s="3393" t="s">
        <v>3298</v>
      </c>
      <c r="G2" s="3393" t="s">
        <v>3303</v>
      </c>
      <c r="H2" s="3393" t="s">
        <v>3304</v>
      </c>
      <c r="I2" s="3393" t="s">
        <v>3305</v>
      </c>
      <c r="J2" s="3393">
        <v>43392</v>
      </c>
      <c r="K2" s="3393">
        <v>65088</v>
      </c>
      <c r="L2" s="3393" t="s">
        <v>3306</v>
      </c>
      <c r="M2" s="3393" t="s">
        <v>2095</v>
      </c>
      <c r="N2" s="3393" t="s">
        <v>3307</v>
      </c>
      <c r="O2" s="3393" t="s">
        <v>3308</v>
      </c>
      <c r="P2" s="3393" t="s">
        <v>3309</v>
      </c>
      <c r="Q2" s="3393" t="s">
        <v>3310</v>
      </c>
      <c r="R2" s="3393" t="s">
        <v>3311</v>
      </c>
      <c r="S2" s="3393" t="s">
        <v>3311</v>
      </c>
      <c r="T2" s="3393" t="s">
        <v>3312</v>
      </c>
      <c r="U2" s="3393" t="s">
        <v>3313</v>
      </c>
      <c r="V2" s="3393" t="s">
        <v>3314</v>
      </c>
      <c r="W2" s="3393">
        <v>5540</v>
      </c>
      <c r="X2" s="3393">
        <v>5540</v>
      </c>
      <c r="Y2" s="3393">
        <v>5540</v>
      </c>
      <c r="Z2" s="3393">
        <v>85.12</v>
      </c>
      <c r="AA2" s="3393">
        <v>85.12</v>
      </c>
      <c r="AB2" s="3393">
        <v>851.15</v>
      </c>
      <c r="AC2" s="3393">
        <v>851.15</v>
      </c>
      <c r="AD2" s="3393" t="s">
        <v>2095</v>
      </c>
      <c r="AE2" s="3393" t="s">
        <v>2095</v>
      </c>
      <c r="AF2" s="3393">
        <v>0</v>
      </c>
      <c r="AG2" s="3393" t="s">
        <v>3315</v>
      </c>
      <c r="AH2" s="3393" t="s">
        <v>2095</v>
      </c>
      <c r="AI2" s="3393" t="s">
        <v>2095</v>
      </c>
      <c r="AJ2" s="3393" t="s">
        <v>2095</v>
      </c>
      <c r="AK2" s="3393" t="s">
        <v>3316</v>
      </c>
      <c r="AL2" s="3393"/>
      <c r="AM2" s="3393"/>
      <c r="AN2" s="3393"/>
      <c r="AO2" s="3393"/>
      <c r="AP2" s="3393"/>
      <c r="AQ2" s="3393"/>
      <c r="AR2" s="3393"/>
      <c r="AS2" s="3393"/>
      <c r="AT2" s="3393"/>
      <c r="AU2" s="3393"/>
      <c r="AV2" s="3393"/>
      <c r="AW2" s="3393"/>
      <c r="AX2" s="3393"/>
      <c r="AY2" s="3393"/>
      <c r="AZ2" s="3393"/>
      <c r="BA2" s="3393"/>
      <c r="BB2" s="3393"/>
      <c r="BC2" s="3393"/>
      <c r="BD2" s="3393"/>
      <c r="BE2" s="3393"/>
      <c r="BF2" s="3393"/>
      <c r="BG2" s="3393"/>
      <c r="BH2" s="3393"/>
      <c r="BI2" s="3393"/>
      <c r="BJ2" s="3393"/>
      <c r="BK2" s="3393"/>
      <c r="BL2" s="3393"/>
      <c r="BM2" s="3393"/>
      <c r="BN2" s="3393"/>
      <c r="BO2" s="3393"/>
      <c r="BP2" s="3393"/>
      <c r="BQ2" s="3393"/>
      <c r="BR2" s="3393"/>
      <c r="BS2" s="3393"/>
      <c r="BT2" s="3393"/>
      <c r="BU2" s="3393"/>
      <c r="BV2" s="3393"/>
      <c r="BW2" s="3393"/>
      <c r="BX2" s="3393"/>
      <c r="BY2" s="3393"/>
      <c r="BZ2" s="3393"/>
      <c r="CA2" s="3393"/>
      <c r="CB2" s="3393"/>
      <c r="CC2" s="3393"/>
      <c r="CD2" s="3393"/>
      <c r="CE2" s="3393"/>
      <c r="CF2" s="3393"/>
      <c r="CG2" s="3393"/>
      <c r="CH2" s="3393"/>
      <c r="CI2" s="3393"/>
      <c r="CJ2" s="3393"/>
      <c r="CK2" s="3393"/>
      <c r="CL2" s="3393"/>
      <c r="CM2" s="3393"/>
      <c r="CN2" s="3393"/>
      <c r="CO2" s="3393"/>
      <c r="CP2" s="3393"/>
      <c r="CQ2" s="3393"/>
      <c r="CR2" s="3393"/>
      <c r="CS2" s="3393"/>
      <c r="CT2" s="3393"/>
      <c r="CU2" s="3393"/>
      <c r="CV2" s="3393"/>
      <c r="CW2" s="3393"/>
      <c r="CX2" s="3393"/>
      <c r="CY2" s="3393"/>
      <c r="CZ2" s="3393"/>
      <c r="DA2" s="3393"/>
      <c r="DB2" s="3393"/>
      <c r="DC2" s="3393"/>
      <c r="DD2" s="3393"/>
      <c r="DE2" s="3393"/>
      <c r="DF2" s="3393"/>
      <c r="DG2" s="3393"/>
      <c r="DH2" s="3393"/>
      <c r="DI2" s="3393"/>
      <c r="DJ2" s="3393"/>
      <c r="DK2" s="3393"/>
      <c r="DL2" s="3393"/>
      <c r="DM2" s="3393"/>
      <c r="DN2" s="3393"/>
      <c r="DO2" s="3393"/>
      <c r="DP2" s="3393"/>
      <c r="DQ2" s="3393"/>
      <c r="DR2" s="3393"/>
      <c r="DS2" s="3393"/>
      <c r="DT2" s="3393"/>
      <c r="DU2" s="3393"/>
      <c r="DV2" s="3393"/>
      <c r="DW2" s="3393"/>
      <c r="DX2" s="3393"/>
      <c r="DY2" s="3393"/>
      <c r="DZ2" s="3393"/>
      <c r="EA2" s="3393"/>
      <c r="EB2" s="3393"/>
      <c r="EC2" s="3393"/>
      <c r="ED2" s="3393"/>
      <c r="EE2" s="3393"/>
      <c r="EF2" s="3393"/>
      <c r="EG2" s="3393"/>
      <c r="EH2" s="3393"/>
      <c r="EI2" s="3393"/>
      <c r="EJ2" s="3393"/>
      <c r="EK2" s="3393"/>
      <c r="EL2" s="3393"/>
      <c r="EM2" s="3393"/>
      <c r="EN2" s="3393"/>
      <c r="EO2" s="3393"/>
      <c r="EP2" s="3393"/>
      <c r="EQ2" s="3393"/>
      <c r="ER2" s="3393"/>
      <c r="ES2" s="3393"/>
      <c r="ET2" s="3393"/>
      <c r="EU2" s="3393"/>
      <c r="EV2" s="3393"/>
      <c r="EW2" s="3393"/>
      <c r="EX2" s="3393"/>
      <c r="EY2" s="3393"/>
      <c r="EZ2" s="3393"/>
      <c r="FA2" s="3393"/>
      <c r="FB2" s="3393"/>
      <c r="FC2" s="3393"/>
      <c r="FD2" s="3393"/>
      <c r="FE2" s="3393"/>
      <c r="FF2" s="3393"/>
      <c r="FG2" s="3393"/>
      <c r="FH2" s="3393"/>
      <c r="FI2" s="3393"/>
      <c r="FJ2" s="3393"/>
      <c r="FK2" s="3393"/>
      <c r="FL2" s="3393"/>
      <c r="FM2" s="3393"/>
      <c r="FN2" s="3393"/>
      <c r="FO2" s="3393"/>
      <c r="FP2" s="3393"/>
      <c r="FQ2" s="3393"/>
      <c r="FR2" s="3393"/>
      <c r="FS2" s="3393"/>
      <c r="FT2" s="3393"/>
      <c r="FU2" s="3393"/>
      <c r="FV2" s="3393"/>
      <c r="FW2" s="3393"/>
      <c r="FX2" s="3393"/>
      <c r="FY2" s="3393"/>
      <c r="FZ2" s="3393"/>
      <c r="GA2" s="3393"/>
      <c r="GB2" s="3393"/>
      <c r="GC2" s="3393"/>
      <c r="GD2" s="3393"/>
      <c r="GE2" s="3393"/>
      <c r="GF2" s="3393"/>
      <c r="GG2" s="3393"/>
      <c r="GH2" s="3393"/>
      <c r="GI2" s="3393"/>
      <c r="GJ2" s="3393"/>
      <c r="GK2" s="3393"/>
      <c r="GL2" s="3393"/>
      <c r="GM2" s="3393"/>
      <c r="GN2" s="3393"/>
      <c r="GO2" s="3393"/>
      <c r="GP2" s="3393"/>
      <c r="GQ2" s="3393"/>
      <c r="GR2" s="3393"/>
      <c r="GS2" s="3393"/>
      <c r="GT2" s="3393"/>
      <c r="GU2" s="3393"/>
      <c r="GV2" s="3393"/>
      <c r="GW2" s="3393"/>
      <c r="GX2" s="3393"/>
      <c r="GY2" s="3393"/>
      <c r="GZ2" s="3393"/>
      <c r="HA2" s="3393"/>
      <c r="HB2" s="3393"/>
      <c r="HC2" s="3393"/>
      <c r="HD2" s="3393"/>
      <c r="HE2" s="3393"/>
      <c r="HF2" s="3393"/>
      <c r="HG2" s="3393"/>
      <c r="HH2" s="3393"/>
      <c r="HI2" s="3393"/>
      <c r="HJ2" s="3393"/>
      <c r="HK2" s="3393"/>
      <c r="HL2" s="3393"/>
      <c r="HM2" s="3393"/>
      <c r="HN2" s="3393"/>
      <c r="HO2" s="3393"/>
      <c r="HP2" s="3393"/>
      <c r="HQ2" s="3393"/>
      <c r="HR2" s="3393"/>
      <c r="HS2" s="3393"/>
      <c r="HT2" s="3393"/>
      <c r="HU2" s="3393"/>
      <c r="HV2" s="3393"/>
      <c r="HW2" s="3393"/>
      <c r="HX2" s="3393"/>
      <c r="HY2" s="3393"/>
      <c r="HZ2" s="3393"/>
      <c r="IA2" s="3393"/>
      <c r="IB2" s="3393"/>
      <c r="IC2" s="3393"/>
      <c r="ID2" s="3393"/>
      <c r="IE2" s="3393"/>
      <c r="IF2" s="3393"/>
      <c r="IG2" s="3393"/>
      <c r="IH2" s="3393"/>
      <c r="II2" s="3393"/>
      <c r="IJ2" s="3393"/>
      <c r="IK2" s="3393"/>
      <c r="IL2" s="3393"/>
      <c r="IM2" s="3393"/>
    </row>
    <row r="3" spans="1:247">
      <c r="A3" s="3393" t="s">
        <v>3317</v>
      </c>
      <c r="B3" s="3393" t="s">
        <v>3299</v>
      </c>
      <c r="C3" s="3393" t="s">
        <v>3300</v>
      </c>
      <c r="D3" s="3393" t="s">
        <v>3301</v>
      </c>
      <c r="E3" s="3393" t="s">
        <v>3318</v>
      </c>
      <c r="F3" s="3393" t="s">
        <v>3319</v>
      </c>
      <c r="G3" s="3393" t="s">
        <v>3303</v>
      </c>
      <c r="H3" s="3393" t="s">
        <v>3320</v>
      </c>
      <c r="I3" s="3393" t="s">
        <v>3321</v>
      </c>
      <c r="J3" s="3393">
        <v>22989</v>
      </c>
      <c r="K3" s="3393">
        <v>34483.5</v>
      </c>
      <c r="L3" s="3393" t="s">
        <v>3322</v>
      </c>
      <c r="M3" s="3393" t="s">
        <v>2095</v>
      </c>
      <c r="N3" s="3393" t="s">
        <v>3323</v>
      </c>
      <c r="O3" s="3393" t="s">
        <v>3324</v>
      </c>
      <c r="P3" s="3393" t="s">
        <v>3325</v>
      </c>
      <c r="Q3" s="3393" t="s">
        <v>3326</v>
      </c>
      <c r="R3" s="3393" t="s">
        <v>3327</v>
      </c>
      <c r="S3" s="3393" t="s">
        <v>3327</v>
      </c>
      <c r="T3" s="3393" t="s">
        <v>3328</v>
      </c>
      <c r="U3" s="3393" t="s">
        <v>3313</v>
      </c>
      <c r="V3" s="3393" t="s">
        <v>3329</v>
      </c>
      <c r="W3" s="3393">
        <v>2900</v>
      </c>
      <c r="X3" s="3393">
        <v>2900</v>
      </c>
      <c r="Y3" s="3393">
        <v>2900</v>
      </c>
      <c r="Z3" s="3393">
        <v>84.1</v>
      </c>
      <c r="AA3" s="3393">
        <v>84.1</v>
      </c>
      <c r="AB3" s="3393">
        <v>840.98</v>
      </c>
      <c r="AC3" s="3393">
        <v>840.98</v>
      </c>
      <c r="AD3" s="3393" t="s">
        <v>2095</v>
      </c>
      <c r="AE3" s="3393" t="s">
        <v>2095</v>
      </c>
      <c r="AF3" s="3393">
        <v>0</v>
      </c>
      <c r="AG3" s="3393" t="s">
        <v>3315</v>
      </c>
      <c r="AH3" s="3393" t="s">
        <v>2095</v>
      </c>
      <c r="AI3" s="3393" t="s">
        <v>2095</v>
      </c>
      <c r="AJ3" s="3393" t="s">
        <v>2095</v>
      </c>
      <c r="AK3" s="3393" t="s">
        <v>3330</v>
      </c>
      <c r="AL3" s="3393"/>
      <c r="AM3" s="3393"/>
      <c r="AN3" s="3393"/>
      <c r="AO3" s="3393"/>
      <c r="AP3" s="3393"/>
      <c r="AQ3" s="3393"/>
      <c r="AR3" s="3393"/>
      <c r="AS3" s="3393"/>
      <c r="AT3" s="3393"/>
      <c r="AU3" s="3393"/>
      <c r="AV3" s="3393"/>
      <c r="AW3" s="3393"/>
      <c r="AX3" s="3393"/>
      <c r="AY3" s="3393"/>
      <c r="AZ3" s="3393"/>
      <c r="BA3" s="3393"/>
      <c r="BB3" s="3393"/>
      <c r="BC3" s="3393"/>
      <c r="BD3" s="3393"/>
      <c r="BE3" s="3393"/>
      <c r="BF3" s="3393"/>
      <c r="BG3" s="3393"/>
      <c r="BH3" s="3393"/>
      <c r="BI3" s="3393"/>
      <c r="BJ3" s="3393"/>
      <c r="BK3" s="3393"/>
      <c r="BL3" s="3393"/>
      <c r="BM3" s="3393"/>
      <c r="BN3" s="3393"/>
      <c r="BO3" s="3393"/>
      <c r="BP3" s="3393"/>
      <c r="BQ3" s="3393"/>
      <c r="BR3" s="3393"/>
      <c r="BS3" s="3393"/>
      <c r="BT3" s="3393"/>
      <c r="BU3" s="3393"/>
      <c r="BV3" s="3393"/>
      <c r="BW3" s="3393"/>
      <c r="BX3" s="3393"/>
      <c r="BY3" s="3393"/>
      <c r="BZ3" s="3393"/>
      <c r="CA3" s="3393"/>
      <c r="CB3" s="3393"/>
      <c r="CC3" s="3393"/>
      <c r="CD3" s="3393"/>
      <c r="CE3" s="3393"/>
      <c r="CF3" s="3393"/>
      <c r="CG3" s="3393"/>
      <c r="CH3" s="3393"/>
      <c r="CI3" s="3393"/>
      <c r="CJ3" s="3393"/>
      <c r="CK3" s="3393"/>
      <c r="CL3" s="3393"/>
      <c r="CM3" s="3393"/>
      <c r="CN3" s="3393"/>
      <c r="CO3" s="3393"/>
      <c r="CP3" s="3393"/>
      <c r="CQ3" s="3393"/>
      <c r="CR3" s="3393"/>
      <c r="CS3" s="3393"/>
      <c r="CT3" s="3393"/>
      <c r="CU3" s="3393"/>
      <c r="CV3" s="3393"/>
      <c r="CW3" s="3393"/>
      <c r="CX3" s="3393"/>
      <c r="CY3" s="3393"/>
      <c r="CZ3" s="3393"/>
      <c r="DA3" s="3393"/>
      <c r="DB3" s="3393"/>
      <c r="DC3" s="3393"/>
      <c r="DD3" s="3393"/>
      <c r="DE3" s="3393"/>
      <c r="DF3" s="3393"/>
      <c r="DG3" s="3393"/>
      <c r="DH3" s="3393"/>
      <c r="DI3" s="3393"/>
      <c r="DJ3" s="3393"/>
      <c r="DK3" s="3393"/>
      <c r="DL3" s="3393"/>
      <c r="DM3" s="3393"/>
      <c r="DN3" s="3393"/>
      <c r="DO3" s="3393"/>
      <c r="DP3" s="3393"/>
      <c r="DQ3" s="3393"/>
      <c r="DR3" s="3393"/>
      <c r="DS3" s="3393"/>
      <c r="DT3" s="3393"/>
      <c r="DU3" s="3393"/>
      <c r="DV3" s="3393"/>
      <c r="DW3" s="3393"/>
      <c r="DX3" s="3393"/>
      <c r="DY3" s="3393"/>
      <c r="DZ3" s="3393"/>
      <c r="EA3" s="3393"/>
      <c r="EB3" s="3393"/>
      <c r="EC3" s="3393"/>
      <c r="ED3" s="3393"/>
      <c r="EE3" s="3393"/>
      <c r="EF3" s="3393"/>
      <c r="EG3" s="3393"/>
      <c r="EH3" s="3393"/>
      <c r="EI3" s="3393"/>
      <c r="EJ3" s="3393"/>
      <c r="EK3" s="3393"/>
      <c r="EL3" s="3393"/>
      <c r="EM3" s="3393"/>
      <c r="EN3" s="3393"/>
      <c r="EO3" s="3393"/>
      <c r="EP3" s="3393"/>
      <c r="EQ3" s="3393"/>
      <c r="ER3" s="3393"/>
      <c r="ES3" s="3393"/>
      <c r="ET3" s="3393"/>
      <c r="EU3" s="3393"/>
      <c r="EV3" s="3393"/>
      <c r="EW3" s="3393"/>
      <c r="EX3" s="3393"/>
      <c r="EY3" s="3393"/>
      <c r="EZ3" s="3393"/>
      <c r="FA3" s="3393"/>
      <c r="FB3" s="3393"/>
      <c r="FC3" s="3393"/>
      <c r="FD3" s="3393"/>
      <c r="FE3" s="3393"/>
      <c r="FF3" s="3393"/>
      <c r="FG3" s="3393"/>
      <c r="FH3" s="3393"/>
      <c r="FI3" s="3393"/>
      <c r="FJ3" s="3393"/>
      <c r="FK3" s="3393"/>
      <c r="FL3" s="3393"/>
      <c r="FM3" s="3393"/>
      <c r="FN3" s="3393"/>
      <c r="FO3" s="3393"/>
      <c r="FP3" s="3393"/>
      <c r="FQ3" s="3393"/>
      <c r="FR3" s="3393"/>
      <c r="FS3" s="3393"/>
      <c r="FT3" s="3393"/>
      <c r="FU3" s="3393"/>
      <c r="FV3" s="3393"/>
      <c r="FW3" s="3393"/>
      <c r="FX3" s="3393"/>
      <c r="FY3" s="3393"/>
      <c r="FZ3" s="3393"/>
      <c r="GA3" s="3393"/>
      <c r="GB3" s="3393"/>
      <c r="GC3" s="3393"/>
      <c r="GD3" s="3393"/>
      <c r="GE3" s="3393"/>
      <c r="GF3" s="3393"/>
      <c r="GG3" s="3393"/>
      <c r="GH3" s="3393"/>
      <c r="GI3" s="3393"/>
      <c r="GJ3" s="3393"/>
      <c r="GK3" s="3393"/>
      <c r="GL3" s="3393"/>
      <c r="GM3" s="3393"/>
      <c r="GN3" s="3393"/>
      <c r="GO3" s="3393"/>
      <c r="GP3" s="3393"/>
      <c r="GQ3" s="3393"/>
      <c r="GR3" s="3393"/>
      <c r="GS3" s="3393"/>
      <c r="GT3" s="3393"/>
      <c r="GU3" s="3393"/>
      <c r="GV3" s="3393"/>
      <c r="GW3" s="3393"/>
      <c r="GX3" s="3393"/>
      <c r="GY3" s="3393"/>
      <c r="GZ3" s="3393"/>
      <c r="HA3" s="3393"/>
      <c r="HB3" s="3393"/>
      <c r="HC3" s="3393"/>
      <c r="HD3" s="3393"/>
      <c r="HE3" s="3393"/>
      <c r="HF3" s="3393"/>
      <c r="HG3" s="3393"/>
      <c r="HH3" s="3393"/>
      <c r="HI3" s="3393"/>
      <c r="HJ3" s="3393"/>
      <c r="HK3" s="3393"/>
      <c r="HL3" s="3393"/>
      <c r="HM3" s="3393"/>
      <c r="HN3" s="3393"/>
      <c r="HO3" s="3393"/>
      <c r="HP3" s="3393"/>
      <c r="HQ3" s="3393"/>
      <c r="HR3" s="3393"/>
      <c r="HS3" s="3393"/>
      <c r="HT3" s="3393"/>
      <c r="HU3" s="3393"/>
      <c r="HV3" s="3393"/>
      <c r="HW3" s="3393"/>
      <c r="HX3" s="3393"/>
      <c r="HY3" s="3393"/>
      <c r="HZ3" s="3393"/>
      <c r="IA3" s="3393"/>
      <c r="IB3" s="3393"/>
      <c r="IC3" s="3393"/>
      <c r="ID3" s="3393"/>
      <c r="IE3" s="3393"/>
      <c r="IF3" s="3393"/>
      <c r="IG3" s="3393"/>
      <c r="IH3" s="3393"/>
      <c r="II3" s="3393"/>
      <c r="IJ3" s="3393"/>
      <c r="IK3" s="3393"/>
      <c r="IL3" s="3393"/>
      <c r="IM3" s="3393"/>
    </row>
    <row r="4" spans="1:247">
      <c r="A4" s="3393" t="s">
        <v>3331</v>
      </c>
      <c r="B4" s="3393" t="s">
        <v>3299</v>
      </c>
      <c r="C4" s="3393" t="s">
        <v>3300</v>
      </c>
      <c r="D4" s="3393" t="s">
        <v>3301</v>
      </c>
      <c r="E4" s="3393" t="s">
        <v>3318</v>
      </c>
      <c r="F4" s="3393" t="s">
        <v>3331</v>
      </c>
      <c r="G4" s="3393" t="s">
        <v>3303</v>
      </c>
      <c r="H4" s="3393" t="s">
        <v>3332</v>
      </c>
      <c r="I4" s="3393" t="s">
        <v>3321</v>
      </c>
      <c r="J4" s="3393">
        <v>26568</v>
      </c>
      <c r="K4" s="3393">
        <v>39852</v>
      </c>
      <c r="L4" s="3393" t="s">
        <v>3322</v>
      </c>
      <c r="M4" s="3393" t="s">
        <v>2095</v>
      </c>
      <c r="N4" s="3393" t="s">
        <v>3323</v>
      </c>
      <c r="O4" s="3393" t="s">
        <v>3324</v>
      </c>
      <c r="P4" s="3393" t="s">
        <v>3325</v>
      </c>
      <c r="Q4" s="3393" t="s">
        <v>3326</v>
      </c>
      <c r="R4" s="3393" t="s">
        <v>3327</v>
      </c>
      <c r="S4" s="3393" t="s">
        <v>3327</v>
      </c>
      <c r="T4" s="3393" t="s">
        <v>3328</v>
      </c>
      <c r="U4" s="3393" t="s">
        <v>3313</v>
      </c>
      <c r="V4" s="3393" t="s">
        <v>3333</v>
      </c>
      <c r="W4" s="3393">
        <v>3360</v>
      </c>
      <c r="X4" s="3393">
        <v>3360</v>
      </c>
      <c r="Y4" s="3393">
        <v>3360</v>
      </c>
      <c r="Z4" s="3393">
        <v>84.31</v>
      </c>
      <c r="AA4" s="3393">
        <v>84.31</v>
      </c>
      <c r="AB4" s="3393">
        <v>843.11</v>
      </c>
      <c r="AC4" s="3393">
        <v>843.12</v>
      </c>
      <c r="AD4" s="3393" t="s">
        <v>2095</v>
      </c>
      <c r="AE4" s="3393" t="s">
        <v>2095</v>
      </c>
      <c r="AF4" s="3393">
        <v>0</v>
      </c>
      <c r="AG4" s="3393" t="s">
        <v>3315</v>
      </c>
      <c r="AH4" s="3393" t="s">
        <v>2095</v>
      </c>
      <c r="AI4" s="3393" t="s">
        <v>2095</v>
      </c>
      <c r="AJ4" s="3393" t="s">
        <v>2095</v>
      </c>
      <c r="AK4" s="3393" t="s">
        <v>3330</v>
      </c>
      <c r="AL4" s="3393"/>
      <c r="AM4" s="3393"/>
      <c r="AN4" s="3393"/>
      <c r="AO4" s="3393"/>
      <c r="AP4" s="3393"/>
      <c r="AQ4" s="3393"/>
      <c r="AR4" s="3393"/>
      <c r="AS4" s="3393"/>
      <c r="AT4" s="3393"/>
      <c r="AU4" s="3393"/>
      <c r="AV4" s="3393"/>
      <c r="AW4" s="3393"/>
      <c r="AX4" s="3393"/>
      <c r="AY4" s="3393"/>
      <c r="AZ4" s="3393"/>
      <c r="BA4" s="3393"/>
      <c r="BB4" s="3393"/>
      <c r="BC4" s="3393"/>
      <c r="BD4" s="3393"/>
      <c r="BE4" s="3393"/>
      <c r="BF4" s="3393"/>
      <c r="BG4" s="3393"/>
      <c r="BH4" s="3393"/>
      <c r="BI4" s="3393"/>
      <c r="BJ4" s="3393"/>
      <c r="BK4" s="3393"/>
      <c r="BL4" s="3393"/>
      <c r="BM4" s="3393"/>
      <c r="BN4" s="3393"/>
      <c r="BO4" s="3393"/>
      <c r="BP4" s="3393"/>
      <c r="BQ4" s="3393"/>
      <c r="BR4" s="3393"/>
      <c r="BS4" s="3393"/>
      <c r="BT4" s="3393"/>
      <c r="BU4" s="3393"/>
      <c r="BV4" s="3393"/>
      <c r="BW4" s="3393"/>
      <c r="BX4" s="3393"/>
      <c r="BY4" s="3393"/>
      <c r="BZ4" s="3393"/>
      <c r="CA4" s="3393"/>
      <c r="CB4" s="3393"/>
      <c r="CC4" s="3393"/>
      <c r="CD4" s="3393"/>
      <c r="CE4" s="3393"/>
      <c r="CF4" s="3393"/>
      <c r="CG4" s="3393"/>
      <c r="CH4" s="3393"/>
      <c r="CI4" s="3393"/>
      <c r="CJ4" s="3393"/>
      <c r="CK4" s="3393"/>
      <c r="CL4" s="3393"/>
      <c r="CM4" s="3393"/>
      <c r="CN4" s="3393"/>
      <c r="CO4" s="3393"/>
      <c r="CP4" s="3393"/>
      <c r="CQ4" s="3393"/>
      <c r="CR4" s="3393"/>
      <c r="CS4" s="3393"/>
      <c r="CT4" s="3393"/>
      <c r="CU4" s="3393"/>
      <c r="CV4" s="3393"/>
      <c r="CW4" s="3393"/>
      <c r="CX4" s="3393"/>
      <c r="CY4" s="3393"/>
      <c r="CZ4" s="3393"/>
      <c r="DA4" s="3393"/>
      <c r="DB4" s="3393"/>
      <c r="DC4" s="3393"/>
      <c r="DD4" s="3393"/>
      <c r="DE4" s="3393"/>
      <c r="DF4" s="3393"/>
      <c r="DG4" s="3393"/>
      <c r="DH4" s="3393"/>
      <c r="DI4" s="3393"/>
      <c r="DJ4" s="3393"/>
      <c r="DK4" s="3393"/>
      <c r="DL4" s="3393"/>
      <c r="DM4" s="3393"/>
      <c r="DN4" s="3393"/>
      <c r="DO4" s="3393"/>
      <c r="DP4" s="3393"/>
      <c r="DQ4" s="3393"/>
      <c r="DR4" s="3393"/>
      <c r="DS4" s="3393"/>
      <c r="DT4" s="3393"/>
      <c r="DU4" s="3393"/>
      <c r="DV4" s="3393"/>
      <c r="DW4" s="3393"/>
      <c r="DX4" s="3393"/>
      <c r="DY4" s="3393"/>
      <c r="DZ4" s="3393"/>
      <c r="EA4" s="3393"/>
      <c r="EB4" s="3393"/>
      <c r="EC4" s="3393"/>
      <c r="ED4" s="3393"/>
      <c r="EE4" s="3393"/>
      <c r="EF4" s="3393"/>
      <c r="EG4" s="3393"/>
      <c r="EH4" s="3393"/>
      <c r="EI4" s="3393"/>
      <c r="EJ4" s="3393"/>
      <c r="EK4" s="3393"/>
      <c r="EL4" s="3393"/>
      <c r="EM4" s="3393"/>
      <c r="EN4" s="3393"/>
      <c r="EO4" s="3393"/>
      <c r="EP4" s="3393"/>
      <c r="EQ4" s="3393"/>
      <c r="ER4" s="3393"/>
      <c r="ES4" s="3393"/>
      <c r="ET4" s="3393"/>
      <c r="EU4" s="3393"/>
      <c r="EV4" s="3393"/>
      <c r="EW4" s="3393"/>
      <c r="EX4" s="3393"/>
      <c r="EY4" s="3393"/>
      <c r="EZ4" s="3393"/>
      <c r="FA4" s="3393"/>
      <c r="FB4" s="3393"/>
      <c r="FC4" s="3393"/>
      <c r="FD4" s="3393"/>
      <c r="FE4" s="3393"/>
      <c r="FF4" s="3393"/>
      <c r="FG4" s="3393"/>
      <c r="FH4" s="3393"/>
      <c r="FI4" s="3393"/>
      <c r="FJ4" s="3393"/>
      <c r="FK4" s="3393"/>
      <c r="FL4" s="3393"/>
      <c r="FM4" s="3393"/>
      <c r="FN4" s="3393"/>
      <c r="FO4" s="3393"/>
      <c r="FP4" s="3393"/>
      <c r="FQ4" s="3393"/>
      <c r="FR4" s="3393"/>
      <c r="FS4" s="3393"/>
      <c r="FT4" s="3393"/>
      <c r="FU4" s="3393"/>
      <c r="FV4" s="3393"/>
      <c r="FW4" s="3393"/>
      <c r="FX4" s="3393"/>
      <c r="FY4" s="3393"/>
      <c r="FZ4" s="3393"/>
      <c r="GA4" s="3393"/>
      <c r="GB4" s="3393"/>
      <c r="GC4" s="3393"/>
      <c r="GD4" s="3393"/>
      <c r="GE4" s="3393"/>
      <c r="GF4" s="3393"/>
      <c r="GG4" s="3393"/>
      <c r="GH4" s="3393"/>
      <c r="GI4" s="3393"/>
      <c r="GJ4" s="3393"/>
      <c r="GK4" s="3393"/>
      <c r="GL4" s="3393"/>
      <c r="GM4" s="3393"/>
      <c r="GN4" s="3393"/>
      <c r="GO4" s="3393"/>
      <c r="GP4" s="3393"/>
      <c r="GQ4" s="3393"/>
      <c r="GR4" s="3393"/>
      <c r="GS4" s="3393"/>
      <c r="GT4" s="3393"/>
      <c r="GU4" s="3393"/>
      <c r="GV4" s="3393"/>
      <c r="GW4" s="3393"/>
      <c r="GX4" s="3393"/>
      <c r="GY4" s="3393"/>
      <c r="GZ4" s="3393"/>
      <c r="HA4" s="3393"/>
      <c r="HB4" s="3393"/>
      <c r="HC4" s="3393"/>
      <c r="HD4" s="3393"/>
      <c r="HE4" s="3393"/>
      <c r="HF4" s="3393"/>
      <c r="HG4" s="3393"/>
      <c r="HH4" s="3393"/>
      <c r="HI4" s="3393"/>
      <c r="HJ4" s="3393"/>
      <c r="HK4" s="3393"/>
      <c r="HL4" s="3393"/>
      <c r="HM4" s="3393"/>
      <c r="HN4" s="3393"/>
      <c r="HO4" s="3393"/>
      <c r="HP4" s="3393"/>
      <c r="HQ4" s="3393"/>
      <c r="HR4" s="3393"/>
      <c r="HS4" s="3393"/>
      <c r="HT4" s="3393"/>
      <c r="HU4" s="3393"/>
      <c r="HV4" s="3393"/>
      <c r="HW4" s="3393"/>
      <c r="HX4" s="3393"/>
      <c r="HY4" s="3393"/>
      <c r="HZ4" s="3393"/>
      <c r="IA4" s="3393"/>
      <c r="IB4" s="3393"/>
      <c r="IC4" s="3393"/>
      <c r="ID4" s="3393"/>
      <c r="IE4" s="3393"/>
      <c r="IF4" s="3393"/>
      <c r="IG4" s="3393"/>
      <c r="IH4" s="3393"/>
      <c r="II4" s="3393"/>
      <c r="IJ4" s="3393"/>
      <c r="IK4" s="3393"/>
      <c r="IL4" s="3393"/>
      <c r="IM4" s="3393"/>
    </row>
    <row r="6" spans="1:247" s="2235" customFormat="1">
      <c r="A6" s="2235" t="s">
        <v>3262</v>
      </c>
      <c r="B6" s="2235" t="s">
        <v>3263</v>
      </c>
      <c r="C6" s="2235" t="s">
        <v>3269</v>
      </c>
      <c r="D6" s="2235" t="s">
        <v>3393</v>
      </c>
      <c r="E6" s="2235" t="s">
        <v>3265</v>
      </c>
      <c r="F6" s="2235" t="s">
        <v>3266</v>
      </c>
      <c r="G6" s="2235" t="s">
        <v>3267</v>
      </c>
      <c r="H6" s="2235" t="s">
        <v>3264</v>
      </c>
      <c r="I6" s="2235" t="s">
        <v>3271</v>
      </c>
      <c r="J6" s="2235" t="s">
        <v>3272</v>
      </c>
      <c r="K6" s="2235" t="s">
        <v>1550</v>
      </c>
      <c r="L6" s="2235" t="s">
        <v>3268</v>
      </c>
      <c r="M6" s="2235" t="s">
        <v>3270</v>
      </c>
      <c r="N6" s="2235" t="s">
        <v>3394</v>
      </c>
      <c r="O6" s="2235" t="s">
        <v>3395</v>
      </c>
      <c r="P6" s="2235" t="s">
        <v>3274</v>
      </c>
      <c r="Q6" s="2235" t="s">
        <v>3396</v>
      </c>
      <c r="R6" s="2235" t="s">
        <v>3397</v>
      </c>
      <c r="S6" s="2235" t="s">
        <v>3398</v>
      </c>
      <c r="T6" s="2235" t="s">
        <v>3399</v>
      </c>
      <c r="U6" s="2235" t="s">
        <v>3400</v>
      </c>
      <c r="V6" s="2235" t="s">
        <v>3401</v>
      </c>
      <c r="W6" s="2235" t="s">
        <v>3402</v>
      </c>
      <c r="X6" s="2235" t="s">
        <v>3403</v>
      </c>
      <c r="Y6" s="2235" t="s">
        <v>3404</v>
      </c>
      <c r="Z6" s="2235" t="s">
        <v>3276</v>
      </c>
      <c r="AA6" s="2235" t="s">
        <v>3277</v>
      </c>
      <c r="AB6" s="2235" t="s">
        <v>3278</v>
      </c>
      <c r="AC6" s="2235" t="s">
        <v>3279</v>
      </c>
      <c r="AD6" s="2235" t="s">
        <v>3280</v>
      </c>
      <c r="AE6" s="2235" t="s">
        <v>3405</v>
      </c>
      <c r="AF6" s="2235" t="s">
        <v>3282</v>
      </c>
      <c r="AG6" s="2235" t="s">
        <v>3406</v>
      </c>
      <c r="AH6" s="2235" t="s">
        <v>3407</v>
      </c>
      <c r="AI6" s="2235" t="s">
        <v>3284</v>
      </c>
      <c r="AJ6" s="2235" t="s">
        <v>3283</v>
      </c>
      <c r="AK6" s="2235" t="s">
        <v>3408</v>
      </c>
      <c r="AL6" s="2235" t="s">
        <v>3285</v>
      </c>
      <c r="AM6" s="2235" t="s">
        <v>3286</v>
      </c>
      <c r="AN6" s="2235" t="s">
        <v>3287</v>
      </c>
      <c r="AO6" s="2235" t="s">
        <v>3288</v>
      </c>
      <c r="AP6" s="2235" t="s">
        <v>3289</v>
      </c>
      <c r="AQ6" s="2235" t="s">
        <v>3290</v>
      </c>
      <c r="AR6" s="2235" t="s">
        <v>3291</v>
      </c>
      <c r="AS6" s="2235" t="s">
        <v>3409</v>
      </c>
      <c r="AT6" s="2235" t="s">
        <v>3410</v>
      </c>
      <c r="AU6" s="2235" t="s">
        <v>3411</v>
      </c>
      <c r="AV6" s="2235" t="s">
        <v>3412</v>
      </c>
      <c r="AW6" s="2235" t="s">
        <v>3413</v>
      </c>
      <c r="AX6" s="2235" t="s">
        <v>3414</v>
      </c>
      <c r="AY6" s="2235" t="s">
        <v>3415</v>
      </c>
      <c r="AZ6" s="2235" t="s">
        <v>3416</v>
      </c>
    </row>
    <row r="7" spans="1:247" s="3407" customFormat="1">
      <c r="A7" s="3407" t="s">
        <v>3417</v>
      </c>
      <c r="B7" s="3407" t="s">
        <v>3299</v>
      </c>
      <c r="C7" s="3407" t="s">
        <v>3417</v>
      </c>
      <c r="D7" s="3407" t="s">
        <v>3418</v>
      </c>
      <c r="E7" s="3407" t="s">
        <v>3419</v>
      </c>
      <c r="F7" s="3407" t="s">
        <v>3420</v>
      </c>
      <c r="G7" s="3409" t="s">
        <v>3440</v>
      </c>
      <c r="H7" s="3407" t="s">
        <v>3421</v>
      </c>
      <c r="I7" s="3407">
        <v>16787</v>
      </c>
      <c r="J7" s="3407">
        <v>25180.5</v>
      </c>
      <c r="K7" s="3407" t="s">
        <v>3422</v>
      </c>
      <c r="L7" s="3407" t="s">
        <v>3423</v>
      </c>
      <c r="M7" s="3407" t="s">
        <v>3424</v>
      </c>
      <c r="N7" s="3407" t="s">
        <v>3425</v>
      </c>
      <c r="O7" s="3407" t="s">
        <v>3426</v>
      </c>
      <c r="P7" s="3407" t="s">
        <v>3427</v>
      </c>
      <c r="Q7" s="3407" t="s">
        <v>3428</v>
      </c>
      <c r="R7" s="3407" t="s">
        <v>3429</v>
      </c>
      <c r="S7" s="3407" t="s">
        <v>3429</v>
      </c>
      <c r="T7" s="3407" t="s">
        <v>3429</v>
      </c>
      <c r="U7" s="3407" t="s">
        <v>3429</v>
      </c>
      <c r="V7" s="3407" t="s">
        <v>3429</v>
      </c>
      <c r="W7" s="3407" t="s">
        <v>3429</v>
      </c>
      <c r="X7" s="3407">
        <v>0</v>
      </c>
      <c r="Y7" s="3407">
        <v>0</v>
      </c>
      <c r="Z7" s="3408">
        <v>44957.000497685185</v>
      </c>
      <c r="AA7" s="3408">
        <v>44977.000497685185</v>
      </c>
      <c r="AB7" s="3408">
        <v>44988.000497685185</v>
      </c>
      <c r="AC7" s="3408">
        <v>44988.000497685185</v>
      </c>
      <c r="AD7" s="3407" t="s">
        <v>3430</v>
      </c>
      <c r="AE7" s="3407" t="s">
        <v>3431</v>
      </c>
      <c r="AF7" s="3407" t="s">
        <v>3432</v>
      </c>
      <c r="AG7" s="3407" t="s">
        <v>3429</v>
      </c>
      <c r="AH7" s="3407" t="s">
        <v>3429</v>
      </c>
      <c r="AI7" s="3407">
        <v>2520</v>
      </c>
      <c r="AJ7" s="3407">
        <v>2520</v>
      </c>
      <c r="AK7" s="3407" t="s">
        <v>3433</v>
      </c>
      <c r="AL7" s="3407">
        <v>2520</v>
      </c>
      <c r="AM7" s="3407">
        <v>100.08</v>
      </c>
      <c r="AN7" s="3407">
        <v>100.08</v>
      </c>
      <c r="AO7" s="3407">
        <v>1001</v>
      </c>
      <c r="AP7" s="3407">
        <v>1001</v>
      </c>
      <c r="AQ7" s="3407" t="s">
        <v>3429</v>
      </c>
      <c r="AR7" s="3407" t="s">
        <v>3429</v>
      </c>
      <c r="AS7" s="3407">
        <v>0</v>
      </c>
      <c r="AT7" s="3407" t="s">
        <v>3434</v>
      </c>
      <c r="AU7" s="3407" t="s">
        <v>3426</v>
      </c>
      <c r="AV7" s="3407" t="s">
        <v>3429</v>
      </c>
      <c r="AW7" s="3407" t="s">
        <v>3426</v>
      </c>
      <c r="AX7" s="3407" t="s">
        <v>3429</v>
      </c>
      <c r="AY7" s="3407" t="s">
        <v>3429</v>
      </c>
      <c r="AZ7" s="3407" t="s">
        <v>3429</v>
      </c>
    </row>
    <row r="8" spans="1:247" s="3407" customFormat="1">
      <c r="A8" s="3407" t="s">
        <v>3435</v>
      </c>
      <c r="B8" s="3407" t="s">
        <v>3299</v>
      </c>
      <c r="C8" s="3407" t="s">
        <v>3435</v>
      </c>
      <c r="D8" s="3407" t="s">
        <v>3418</v>
      </c>
      <c r="E8" s="3407" t="s">
        <v>3419</v>
      </c>
      <c r="F8" s="3407" t="s">
        <v>3436</v>
      </c>
      <c r="G8" s="3409" t="s">
        <v>3441</v>
      </c>
      <c r="H8" s="3407" t="s">
        <v>3421</v>
      </c>
      <c r="I8" s="3407">
        <v>28857</v>
      </c>
      <c r="J8" s="3407">
        <v>57714</v>
      </c>
      <c r="K8" s="3407" t="s">
        <v>3437</v>
      </c>
      <c r="L8" s="3407" t="s">
        <v>3423</v>
      </c>
      <c r="M8" s="3407" t="s">
        <v>3424</v>
      </c>
      <c r="N8" s="3407" t="s">
        <v>3425</v>
      </c>
      <c r="O8" s="3407" t="s">
        <v>3426</v>
      </c>
      <c r="P8" s="3407" t="s">
        <v>3438</v>
      </c>
      <c r="Q8" s="3407" t="s">
        <v>3429</v>
      </c>
      <c r="R8" s="3407" t="s">
        <v>3429</v>
      </c>
      <c r="S8" s="3407" t="s">
        <v>3429</v>
      </c>
      <c r="T8" s="3407" t="s">
        <v>3429</v>
      </c>
      <c r="U8" s="3407" t="s">
        <v>3429</v>
      </c>
      <c r="V8" s="3407" t="s">
        <v>3429</v>
      </c>
      <c r="W8" s="3407" t="s">
        <v>3429</v>
      </c>
      <c r="X8" s="3407">
        <v>0</v>
      </c>
      <c r="Y8" s="3407">
        <v>0</v>
      </c>
      <c r="Z8" s="3408">
        <v>44957.000497685185</v>
      </c>
      <c r="AA8" s="3408">
        <v>44977.000497685185</v>
      </c>
      <c r="AB8" s="3408">
        <v>44988.000497685185</v>
      </c>
      <c r="AC8" s="3408">
        <v>44988.000497685185</v>
      </c>
      <c r="AD8" s="3407" t="s">
        <v>3430</v>
      </c>
      <c r="AE8" s="3407" t="s">
        <v>3431</v>
      </c>
      <c r="AF8" s="3407" t="s">
        <v>3439</v>
      </c>
      <c r="AG8" s="3407" t="s">
        <v>3429</v>
      </c>
      <c r="AH8" s="3407" t="s">
        <v>3429</v>
      </c>
      <c r="AI8" s="3407">
        <v>4330</v>
      </c>
      <c r="AJ8" s="3407">
        <v>4330</v>
      </c>
      <c r="AK8" s="3407" t="s">
        <v>3433</v>
      </c>
      <c r="AL8" s="3407">
        <v>4330</v>
      </c>
      <c r="AM8" s="3407">
        <v>100.03</v>
      </c>
      <c r="AN8" s="3407">
        <v>100.03</v>
      </c>
      <c r="AO8" s="3407">
        <v>750</v>
      </c>
      <c r="AP8" s="3407">
        <v>750</v>
      </c>
      <c r="AQ8" s="3407" t="s">
        <v>3429</v>
      </c>
      <c r="AR8" s="3407" t="s">
        <v>3429</v>
      </c>
      <c r="AS8" s="3407">
        <v>0</v>
      </c>
      <c r="AT8" s="3407" t="s">
        <v>3434</v>
      </c>
      <c r="AU8" s="3407" t="s">
        <v>3426</v>
      </c>
      <c r="AV8" s="3407" t="s">
        <v>3429</v>
      </c>
      <c r="AW8" s="3407" t="s">
        <v>3426</v>
      </c>
      <c r="AX8" s="3407" t="s">
        <v>3429</v>
      </c>
      <c r="AY8" s="3407" t="s">
        <v>3429</v>
      </c>
      <c r="AZ8" s="3407" t="s">
        <v>3429</v>
      </c>
    </row>
    <row r="13" spans="1:247">
      <c r="V13" s="3394">
        <v>1</v>
      </c>
      <c r="W13" s="3394">
        <v>1</v>
      </c>
      <c r="X13" s="3394">
        <v>3</v>
      </c>
      <c r="Y13" s="3396">
        <f>Y21/X21*X13</f>
        <v>12121.379310344828</v>
      </c>
    </row>
    <row r="14" spans="1:247">
      <c r="V14" s="3394">
        <v>2</v>
      </c>
      <c r="W14" s="3394">
        <v>0.6</v>
      </c>
      <c r="X14" s="3394">
        <f>$X$13*W14</f>
        <v>1.7999999999999998</v>
      </c>
      <c r="Y14" s="3396">
        <f>W14*$Y$13</f>
        <v>7272.8275862068967</v>
      </c>
    </row>
    <row r="15" spans="1:247">
      <c r="V15" s="3394">
        <v>3</v>
      </c>
      <c r="W15" s="3394">
        <v>0.5</v>
      </c>
      <c r="X15" s="3394">
        <f t="shared" ref="X15:X20" si="0">$X$13*W15</f>
        <v>1.5</v>
      </c>
      <c r="Y15" s="3396">
        <f t="shared" ref="Y15:Y20" si="1">W15*$Y$13</f>
        <v>6060.6896551724139</v>
      </c>
    </row>
    <row r="16" spans="1:247">
      <c r="V16" s="3394">
        <v>4</v>
      </c>
      <c r="W16" s="3394">
        <v>0.45</v>
      </c>
      <c r="X16" s="3394">
        <f t="shared" si="0"/>
        <v>1.35</v>
      </c>
      <c r="Y16" s="3396">
        <f t="shared" si="1"/>
        <v>5454.620689655173</v>
      </c>
    </row>
    <row r="17" spans="20:25">
      <c r="V17" s="3394">
        <v>5</v>
      </c>
      <c r="W17" s="3394">
        <f t="shared" ref="W17:W20" si="2">W16</f>
        <v>0.45</v>
      </c>
      <c r="X17" s="3394">
        <f t="shared" si="0"/>
        <v>1.35</v>
      </c>
      <c r="Y17" s="3396">
        <f t="shared" si="1"/>
        <v>5454.620689655173</v>
      </c>
    </row>
    <row r="18" spans="20:25">
      <c r="V18" s="3394">
        <v>6</v>
      </c>
      <c r="W18" s="3394">
        <f t="shared" si="2"/>
        <v>0.45</v>
      </c>
      <c r="X18" s="3394">
        <f t="shared" si="0"/>
        <v>1.35</v>
      </c>
      <c r="Y18" s="3396">
        <f t="shared" si="1"/>
        <v>5454.620689655173</v>
      </c>
    </row>
    <row r="19" spans="20:25">
      <c r="V19" s="3394">
        <v>7</v>
      </c>
      <c r="W19" s="3394">
        <f t="shared" si="2"/>
        <v>0.45</v>
      </c>
      <c r="X19" s="3394">
        <f t="shared" si="0"/>
        <v>1.35</v>
      </c>
      <c r="Y19" s="3396">
        <f t="shared" si="1"/>
        <v>5454.620689655173</v>
      </c>
    </row>
    <row r="20" spans="20:25">
      <c r="V20" s="3394">
        <v>8</v>
      </c>
      <c r="W20" s="3394">
        <f t="shared" si="2"/>
        <v>0.45</v>
      </c>
      <c r="X20" s="3394">
        <f t="shared" si="0"/>
        <v>1.35</v>
      </c>
      <c r="Y20" s="3396">
        <f t="shared" si="1"/>
        <v>5454.620689655173</v>
      </c>
    </row>
    <row r="21" spans="20:25">
      <c r="X21" s="3394">
        <f>SUM(X13:X20)/8</f>
        <v>1.6312499999999999</v>
      </c>
      <c r="Y21" s="3394">
        <f>[1]不动产收益法!C43</f>
        <v>6591</v>
      </c>
    </row>
    <row r="26" spans="20:25">
      <c r="T26" s="3394" t="s">
        <v>3334</v>
      </c>
    </row>
  </sheetData>
  <phoneticPr fontId="224"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0" t="str">
        <f>项目基本情况!B1</f>
        <v>江苏省连云港海州区锦屏山东南侧4号地出让国有建设用地使用权抵押价格预评估</v>
      </c>
      <c r="C37" s="3410"/>
      <c r="D37" s="3410"/>
      <c r="E37" s="3410"/>
      <c r="F37" s="3410"/>
      <c r="G37" s="3410"/>
      <c r="H37" s="3410"/>
      <c r="I37" s="3410"/>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王鹏、郑燚</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31" s="1654" customFormat="1" ht="18" customHeight="1">
      <c r="A2" s="1709" t="s">
        <v>427</v>
      </c>
      <c r="B2" s="1713">
        <f ca="1">C36</f>
        <v>58206</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1923</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6730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449</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215691.91875000001</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6" t="s">
        <v>2736</v>
      </c>
      <c r="D7" s="406"/>
      <c r="E7" s="406"/>
      <c r="F7" s="406"/>
      <c r="G7" s="406"/>
      <c r="H7" s="406"/>
      <c r="I7" s="406"/>
      <c r="J7" s="406"/>
      <c r="K7" s="407"/>
      <c r="AA7" s="1720"/>
      <c r="AB7" s="1720"/>
      <c r="AC7" s="1720"/>
      <c r="AD7" s="1720"/>
      <c r="AE7" s="1720"/>
    </row>
    <row r="8" spans="1:31" s="1723" customFormat="1" ht="13.5" customHeight="1">
      <c r="A8" s="738" t="s">
        <v>1374</v>
      </c>
      <c r="B8" s="241" t="s">
        <v>432</v>
      </c>
      <c r="C8" s="2140">
        <f>'不动产比较法-商业'!B3</f>
        <v>7125</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302725.5</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C8*C9/10000</f>
        <v>215691.91875000001</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9">
        <f ca="1">IF(B1="",'数据-取费表'!P16,INDIRECT("'数据-取费表'!p"&amp;$K$1)+INDIRECT("'数据-取费表'!t"&amp;$K$1))</f>
        <v>80222</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2407</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4541</v>
      </c>
      <c r="D16" s="2150">
        <f ca="1">IF(B1="",'数据-汇总表'!E3,INDIRECT("'数据-取费表'!K"&amp;$K$1)+INDIRECT("'数据-取费表'!S"&amp;$K$1))</f>
        <v>302725.5</v>
      </c>
      <c r="E16" s="49">
        <f>'数据-取费表'!B35</f>
        <v>150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1203</v>
      </c>
      <c r="D17" s="444"/>
      <c r="E17" s="2153"/>
      <c r="F17" s="2154">
        <f>'数据-取费表'!B36</f>
        <v>1.4999999999999999E-2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88373</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2422</v>
      </c>
      <c r="D19" s="2159">
        <f ca="1">D16</f>
        <v>302725.5</v>
      </c>
      <c r="E19" s="1631">
        <f>'数据-取费表'!B32</f>
        <v>80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3179</v>
      </c>
      <c r="D20" s="2159"/>
      <c r="E20" s="1631"/>
      <c r="F20" s="2160"/>
      <c r="G20" s="2344"/>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3179</v>
      </c>
      <c r="D22" s="2150">
        <f ca="1">IF(B1="",'数据-汇总表'!E6,IF(INDIRECT("'数据-取费表'!c"&amp;$K$1)="住宅",INDIRECT("'数据-取费表'!s"&amp;$K$1),INDIRECT("'数据-取费表'!k"&amp;$K$1)+INDIRECT("'数据-取费表'!s"&amp;$K$1)))</f>
        <v>302725.5</v>
      </c>
      <c r="E22" s="49">
        <f>'数据-取费表'!B28</f>
        <v>105</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1410</v>
      </c>
      <c r="D23" s="437"/>
      <c r="E23" s="437"/>
      <c r="F23" s="2161">
        <f>'数据-取费表'!B37</f>
        <v>1.4999999999999999E-2</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3235</v>
      </c>
      <c r="D24" s="444"/>
      <c r="E24" s="442"/>
      <c r="F24" s="2161">
        <f>'数据-取费表'!B38</f>
        <v>1.4999999999999999E-2</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6202</v>
      </c>
      <c r="D26" s="436">
        <f ca="1">C27</f>
        <v>0.13350000000000001</v>
      </c>
      <c r="E26" s="438" t="s">
        <v>455</v>
      </c>
      <c r="F26" s="440">
        <f ca="1">'数据-取费表'!B40</f>
        <v>4.1499999999999995E-2</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1385</v>
      </c>
      <c r="B27" s="2163" t="s">
        <v>456</v>
      </c>
      <c r="C27" s="2164">
        <f ca="1">ROUND(IF('数据-取费表'!B22&lt;=1,(1+C25)*F26*'数据-取费表'!B24,(1+C25)*(POWER((1+F26),'数据-取费表'!B24)-1)),4)</f>
        <v>0.13350000000000001</v>
      </c>
      <c r="D27" s="441"/>
      <c r="E27" s="442"/>
      <c r="F27" s="443"/>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1386</v>
      </c>
      <c r="B28" s="2163" t="s">
        <v>2113</v>
      </c>
      <c r="C28" s="2165">
        <f ca="1">ROUND(IF('数据-取费表'!B22&lt;=1,(C18+C19+C20+C23+C24)*F26*'数据-取费表'!B24/2,(C18+C19+C20+C23+C24)*(POWER((1+F26),'数据-取费表'!B24/2)-1)),0)</f>
        <v>6202</v>
      </c>
      <c r="D28" s="441"/>
      <c r="E28" s="442"/>
      <c r="F28" s="443"/>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ROUND(C6*F29/(1+'数据-取费表'!C42),0)</f>
        <v>11504</v>
      </c>
      <c r="D29" s="437"/>
      <c r="E29" s="437"/>
      <c r="F29" s="2321">
        <f>'数据-取费表'!B41</f>
        <v>5.6000000000000001E-2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116325</v>
      </c>
      <c r="D30" s="446">
        <f ca="1">C32</f>
        <v>0.16250000000000001</v>
      </c>
      <c r="E30" s="438" t="s">
        <v>455</v>
      </c>
      <c r="F30" s="440"/>
      <c r="G30" s="2126" t="s">
        <v>2225</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1385</v>
      </c>
      <c r="B31" s="2163"/>
      <c r="C31" s="419">
        <f ca="1">C18+C19+C20+C23+C24+C26+C29</f>
        <v>116325</v>
      </c>
      <c r="D31" s="441"/>
      <c r="E31" s="442"/>
      <c r="F31" s="443"/>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1386</v>
      </c>
      <c r="B32" s="2163"/>
      <c r="C32" s="49">
        <f ca="1">ROUND(C25+D26,4)</f>
        <v>0.16250000000000001</v>
      </c>
      <c r="D32" s="441"/>
      <c r="E32" s="442"/>
      <c r="F32" s="443"/>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7">
        <f ca="1">C35</f>
        <v>19724</v>
      </c>
      <c r="D33" s="436">
        <f ca="1">C34</f>
        <v>0.20580000000000001</v>
      </c>
      <c r="E33" s="438" t="s">
        <v>455</v>
      </c>
      <c r="F33" s="448">
        <f ca="1">IF(B1="",'数据-取费表'!Q16,INDIRECT("'数据-取费表'!q"&amp;$K$1))</f>
        <v>0.2</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1385</v>
      </c>
      <c r="B34" s="2168" t="s">
        <v>461</v>
      </c>
      <c r="C34" s="441">
        <f ca="1">ROUND((1+C25)*F33,4)</f>
        <v>0.20580000000000001</v>
      </c>
      <c r="D34" s="441"/>
      <c r="E34" s="442"/>
      <c r="F34" s="449"/>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19724</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58206</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430</v>
      </c>
      <c r="B7" s="405" t="s">
        <v>431</v>
      </c>
      <c r="C7" s="2815"/>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8" t="s">
        <v>439</v>
      </c>
      <c r="C13" s="419">
        <f ca="1">IF(B1="",'数据-取费表'!M16,INDIRECT("'数据-取费表'!M"&amp;$K$1)+INDIRECT("'数据-取费表'!t"&amp;$K$1))</f>
        <v>80222</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2407</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4541</v>
      </c>
      <c r="D16" s="420">
        <f ca="1">IF(B1="",'数据-汇总表'!E3,INDIRECT("'数据-取费表'!K"&amp;$K$1)+INDIRECT("'数据-取费表'!S"&amp;$K$1))</f>
        <v>302725.5</v>
      </c>
      <c r="E16" s="49">
        <f>'数据-取费表'!B35</f>
        <v>150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1203</v>
      </c>
      <c r="D17" s="424"/>
      <c r="E17" s="423"/>
      <c r="F17" s="425">
        <f>'数据-取费表'!B36</f>
        <v>1.4999999999999999E-2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88373</v>
      </c>
      <c r="D18" s="430"/>
      <c r="E18" s="431"/>
      <c r="F18" s="431"/>
      <c r="G18" s="1129"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8" t="s">
        <v>453</v>
      </c>
      <c r="C19" s="429">
        <f ca="1">ROUND(C18*F19,0)</f>
        <v>1326</v>
      </c>
      <c r="D19" s="430"/>
      <c r="E19" s="431"/>
      <c r="F19" s="435">
        <f>'数据-取费表'!B37</f>
        <v>1.4999999999999999E-2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30" t="s">
        <v>454</v>
      </c>
      <c r="C20" s="439">
        <f ca="1">ROUND(IF('数据-取费表'!B22&lt;=1,(C18+C19)*F20*'数据-取费表'!B20/2,(C18+C19)*(POWER((1+F20),'数据-取费表'!B20/2)-1)),0)</f>
        <v>5641</v>
      </c>
      <c r="D20" s="431">
        <f ca="1">ROUND(((1+F20)^'数据-取费表'!B20)-1,4)</f>
        <v>0.12970000000000001</v>
      </c>
      <c r="E20" s="431"/>
      <c r="F20" s="440">
        <f ca="1">'数据-取费表'!B40</f>
        <v>4.1499999999999995E-2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2293</v>
      </c>
      <c r="B21" s="2316" t="s">
        <v>2107</v>
      </c>
      <c r="C21" s="447">
        <f ca="1">ROUND((C18+C19)*F21,0)</f>
        <v>17940</v>
      </c>
      <c r="D21" s="2787"/>
      <c r="E21" s="431"/>
      <c r="F21" s="448">
        <f ca="1">IF(B1="",'数据-取费表'!Q16,INDIRECT("'数据-取费表'!q"&amp;$K$1))</f>
        <v>0.2</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2294</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619" t="s">
        <v>1394</v>
      </c>
      <c r="B24" s="3620"/>
      <c r="C24" s="2797">
        <f>ROUND(C6*F24/(1+'数据-取费表'!B42),0)</f>
        <v>0</v>
      </c>
      <c r="D24" s="2798"/>
      <c r="E24" s="2799"/>
      <c r="F24" s="2800">
        <f>'数据-取费表'!B41</f>
        <v>5.6000000000000001E-2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619" t="s">
        <v>2291</v>
      </c>
      <c r="B25" s="3620"/>
      <c r="C25" s="2797">
        <f>ROUND(C6*F25,0)</f>
        <v>0</v>
      </c>
      <c r="D25" s="2798"/>
      <c r="E25" s="2799"/>
      <c r="F25" s="2803">
        <f>'数据-取费表'!B38</f>
        <v>1.4999999999999999E-2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619" t="s">
        <v>2292</v>
      </c>
      <c r="B26" s="3620"/>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621" t="s">
        <v>2290</v>
      </c>
      <c r="B27" s="3622"/>
      <c r="C27" s="2805">
        <f ca="1">(C6-C23-C24-C25)/((1+F26)*(1+D20+F21))</f>
        <v>0</v>
      </c>
      <c r="D27" s="2806"/>
      <c r="E27" s="2806"/>
      <c r="F27" s="2806"/>
      <c r="G27" s="2807" t="s">
        <v>2226</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470</v>
      </c>
      <c r="B6" s="464"/>
      <c r="C6" s="3602" t="s">
        <v>471</v>
      </c>
      <c r="D6" s="3603"/>
      <c r="E6" s="3628" t="s">
        <v>472</v>
      </c>
      <c r="F6" s="3629"/>
      <c r="G6" s="3602" t="s">
        <v>473</v>
      </c>
      <c r="H6" s="3603"/>
      <c r="I6" s="3602" t="s">
        <v>474</v>
      </c>
      <c r="J6" s="3603"/>
      <c r="K6" s="465" t="s">
        <v>475</v>
      </c>
      <c r="L6" s="1741"/>
      <c r="M6" s="1742"/>
      <c r="N6" s="1742"/>
      <c r="O6" s="1742"/>
      <c r="P6" s="3604" t="s">
        <v>476</v>
      </c>
      <c r="Q6" s="3605"/>
      <c r="R6" s="3588" t="s">
        <v>472</v>
      </c>
      <c r="S6" s="3589"/>
      <c r="T6" s="3588" t="s">
        <v>473</v>
      </c>
      <c r="U6" s="3589"/>
      <c r="V6" s="3610" t="s">
        <v>474</v>
      </c>
      <c r="W6" s="3610"/>
      <c r="X6" s="1302"/>
      <c r="Y6" s="3588" t="s">
        <v>476</v>
      </c>
      <c r="Z6" s="3589"/>
      <c r="AA6" s="3583" t="s">
        <v>472</v>
      </c>
      <c r="AB6" s="3584" t="s">
        <v>473</v>
      </c>
      <c r="AC6" s="3583" t="s">
        <v>474</v>
      </c>
    </row>
    <row r="7" spans="1:29" ht="15">
      <c r="A7" s="466"/>
      <c r="B7" s="467"/>
      <c r="C7" s="3613" t="s">
        <v>2187</v>
      </c>
      <c r="D7" s="3614"/>
      <c r="E7" s="3630" t="s">
        <v>2188</v>
      </c>
      <c r="F7" s="3631"/>
      <c r="G7" s="3613" t="s">
        <v>2189</v>
      </c>
      <c r="H7" s="3614"/>
      <c r="I7" s="3613" t="s">
        <v>2190</v>
      </c>
      <c r="J7" s="3614"/>
      <c r="K7" s="465"/>
      <c r="L7" s="1741"/>
      <c r="M7" s="1742"/>
      <c r="N7" s="1742"/>
      <c r="O7" s="1742"/>
      <c r="P7" s="3606"/>
      <c r="Q7" s="3607"/>
      <c r="R7" s="3590"/>
      <c r="S7" s="3591"/>
      <c r="T7" s="3590"/>
      <c r="U7" s="3591"/>
      <c r="V7" s="3610"/>
      <c r="W7" s="3610"/>
      <c r="X7" s="1302"/>
      <c r="Y7" s="3590"/>
      <c r="Z7" s="3591"/>
      <c r="AA7" s="3584"/>
      <c r="AB7" s="3584"/>
      <c r="AC7" s="3584"/>
    </row>
    <row r="8" spans="1:29" ht="15.75" thickBot="1">
      <c r="A8" s="468"/>
      <c r="B8" s="469"/>
      <c r="C8" s="3611" t="s">
        <v>2191</v>
      </c>
      <c r="D8" s="3612"/>
      <c r="E8" s="3632" t="s">
        <v>2191</v>
      </c>
      <c r="F8" s="3633"/>
      <c r="G8" s="3611" t="s">
        <v>2191</v>
      </c>
      <c r="H8" s="3612"/>
      <c r="I8" s="3611" t="s">
        <v>2191</v>
      </c>
      <c r="J8" s="3612"/>
      <c r="K8" s="465" t="s">
        <v>477</v>
      </c>
      <c r="L8" s="1741"/>
      <c r="M8" s="1742"/>
      <c r="N8" s="1742"/>
      <c r="O8" s="1742"/>
      <c r="P8" s="3608"/>
      <c r="Q8" s="3609"/>
      <c r="R8" s="3590"/>
      <c r="S8" s="3591"/>
      <c r="T8" s="3592"/>
      <c r="U8" s="3593"/>
      <c r="V8" s="3610"/>
      <c r="W8" s="3610"/>
      <c r="X8" s="1302"/>
      <c r="Y8" s="3592"/>
      <c r="Z8" s="3593"/>
      <c r="AA8" s="3585"/>
      <c r="AB8" s="3585"/>
      <c r="AC8" s="3585"/>
    </row>
    <row r="9" spans="1:29" s="1059" customFormat="1" ht="15.75" thickBot="1">
      <c r="A9" s="2209"/>
      <c r="B9" s="2216" t="s">
        <v>478</v>
      </c>
      <c r="C9" s="470">
        <f>'数据-取费表'!B2</f>
        <v>45057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586" t="s">
        <v>479</v>
      </c>
      <c r="Q9" s="3595"/>
      <c r="R9" s="1303" t="s">
        <v>5</v>
      </c>
      <c r="S9" s="1304">
        <f t="shared" ref="S9:S17" si="0">F9</f>
        <v>0</v>
      </c>
      <c r="T9" s="1303" t="s">
        <v>5</v>
      </c>
      <c r="U9" s="1304">
        <f t="shared" ref="U9:U17" si="1">H9</f>
        <v>0</v>
      </c>
      <c r="V9" s="1303" t="s">
        <v>5</v>
      </c>
      <c r="W9" s="1304">
        <f t="shared" ref="W9:W17" si="2">J9</f>
        <v>0</v>
      </c>
      <c r="X9" s="1305"/>
      <c r="Y9" s="3586" t="s">
        <v>479</v>
      </c>
      <c r="Z9" s="3587"/>
      <c r="AA9" s="996" t="e">
        <f>D9/F9</f>
        <v>#DIV/0!</v>
      </c>
      <c r="AB9" s="996" t="e">
        <f>D9/H9</f>
        <v>#DIV/0!</v>
      </c>
      <c r="AC9" s="996" t="e">
        <f>D9/J9</f>
        <v>#DIV/0!</v>
      </c>
    </row>
    <row r="10" spans="1:29" s="1059"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586" t="s">
        <v>482</v>
      </c>
      <c r="Q10" s="3587"/>
      <c r="R10" s="1303" t="s">
        <v>5</v>
      </c>
      <c r="S10" s="1304">
        <f t="shared" si="0"/>
        <v>0</v>
      </c>
      <c r="T10" s="1303" t="s">
        <v>5</v>
      </c>
      <c r="U10" s="1304">
        <f t="shared" si="1"/>
        <v>0</v>
      </c>
      <c r="V10" s="1303" t="s">
        <v>5</v>
      </c>
      <c r="W10" s="1304">
        <f t="shared" si="2"/>
        <v>0</v>
      </c>
      <c r="X10" s="1305"/>
      <c r="Y10" s="3586" t="s">
        <v>482</v>
      </c>
      <c r="Z10" s="3587"/>
      <c r="AA10" s="996" t="e">
        <f t="shared" ref="AA10:AA42" si="3">D10/F10</f>
        <v>#DIV/0!</v>
      </c>
      <c r="AB10" s="996" t="e">
        <f t="shared" ref="AB10:AB42" si="4">D10/H10</f>
        <v>#DIV/0!</v>
      </c>
      <c r="AC10" s="996" t="e">
        <f t="shared" ref="AC10:AC42" si="5">D10/J10</f>
        <v>#DIV/0!</v>
      </c>
    </row>
    <row r="11" spans="1:29" s="1059"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4" t="s">
        <v>484</v>
      </c>
      <c r="Q11" s="818" t="str">
        <f t="shared" ref="Q11:Q17" si="6">B11</f>
        <v>用途</v>
      </c>
      <c r="R11" s="1303" t="s">
        <v>5</v>
      </c>
      <c r="S11" s="1304">
        <f t="shared" si="0"/>
        <v>100</v>
      </c>
      <c r="T11" s="1303" t="s">
        <v>5</v>
      </c>
      <c r="U11" s="1304">
        <f t="shared" si="1"/>
        <v>100</v>
      </c>
      <c r="V11" s="1303" t="s">
        <v>5</v>
      </c>
      <c r="W11" s="1304">
        <f t="shared" si="2"/>
        <v>100</v>
      </c>
      <c r="X11" s="1305"/>
      <c r="Y11" s="3546" t="s">
        <v>485</v>
      </c>
      <c r="Z11" s="996" t="str">
        <f t="shared" ref="Z11:Z17" si="7">Q11</f>
        <v>用途</v>
      </c>
      <c r="AA11" s="996">
        <f t="shared" si="3"/>
        <v>1</v>
      </c>
      <c r="AB11" s="996">
        <f t="shared" si="4"/>
        <v>1</v>
      </c>
      <c r="AC11" s="996">
        <f t="shared" si="5"/>
        <v>1</v>
      </c>
    </row>
    <row r="12" spans="1:29" s="1132" customFormat="1" ht="27">
      <c r="A12" s="2212"/>
      <c r="B12" s="2217" t="s">
        <v>2039</v>
      </c>
      <c r="C12" s="478"/>
      <c r="D12" s="235">
        <v>100</v>
      </c>
      <c r="E12" s="478"/>
      <c r="F12" s="235">
        <f>ROUND(100/'数据-取费表'!G16,0)</f>
        <v>111</v>
      </c>
      <c r="G12" s="478"/>
      <c r="H12" s="235">
        <f>ROUND(100/'数据-取费表'!G16,0)</f>
        <v>111</v>
      </c>
      <c r="I12" s="478"/>
      <c r="J12" s="235">
        <f>ROUND(100/'数据-取费表'!G16,0)</f>
        <v>111</v>
      </c>
      <c r="K12" s="481"/>
      <c r="L12" s="1745"/>
      <c r="M12" s="1778"/>
      <c r="N12" s="1778"/>
      <c r="O12" s="1746"/>
      <c r="P12" s="3594"/>
      <c r="Q12" s="818" t="str">
        <f t="shared" si="6"/>
        <v>土地使用年限（年）</v>
      </c>
      <c r="R12" s="1303" t="s">
        <v>5</v>
      </c>
      <c r="S12" s="1304">
        <f t="shared" si="0"/>
        <v>111</v>
      </c>
      <c r="T12" s="1303" t="s">
        <v>5</v>
      </c>
      <c r="U12" s="1304">
        <f t="shared" si="1"/>
        <v>111</v>
      </c>
      <c r="V12" s="1303" t="s">
        <v>5</v>
      </c>
      <c r="W12" s="1304">
        <f t="shared" si="2"/>
        <v>111</v>
      </c>
      <c r="X12" s="1305"/>
      <c r="Y12" s="3546"/>
      <c r="Z12" s="996" t="str">
        <f t="shared" si="7"/>
        <v>土地使用年限（年）</v>
      </c>
      <c r="AA12" s="996">
        <f t="shared" si="3"/>
        <v>0.90090090090090091</v>
      </c>
      <c r="AB12" s="996">
        <f t="shared" si="4"/>
        <v>0.90090090090090091</v>
      </c>
      <c r="AC12" s="996">
        <f t="shared" si="5"/>
        <v>0.90090090090090091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4"/>
      <c r="Q13" s="818" t="str">
        <f t="shared" si="6"/>
        <v>容积率</v>
      </c>
      <c r="R13" s="1303" t="s">
        <v>5</v>
      </c>
      <c r="S13" s="1304" t="e">
        <f t="shared" si="0"/>
        <v>#N/A</v>
      </c>
      <c r="T13" s="1303" t="s">
        <v>5</v>
      </c>
      <c r="U13" s="1304" t="e">
        <f t="shared" si="1"/>
        <v>#N/A</v>
      </c>
      <c r="V13" s="1303" t="s">
        <v>5</v>
      </c>
      <c r="W13" s="1304" t="e">
        <f t="shared" si="2"/>
        <v>#N/A</v>
      </c>
      <c r="X13" s="1305"/>
      <c r="Y13" s="3546"/>
      <c r="Z13" s="996" t="str">
        <f t="shared" si="7"/>
        <v>容积率</v>
      </c>
      <c r="AA13" s="996" t="e">
        <f t="shared" si="3"/>
        <v>#N/A</v>
      </c>
      <c r="AB13" s="996" t="e">
        <f t="shared" si="4"/>
        <v>#N/A</v>
      </c>
      <c r="AC13" s="996" t="e">
        <f t="shared" si="5"/>
        <v>#N/A</v>
      </c>
    </row>
    <row r="14" spans="1:29" s="1059"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4"/>
      <c r="Q14" s="818">
        <f t="shared" si="6"/>
        <v>111</v>
      </c>
      <c r="R14" s="1303" t="s">
        <v>5</v>
      </c>
      <c r="S14" s="1304">
        <f t="shared" si="0"/>
        <v>100</v>
      </c>
      <c r="T14" s="1303" t="s">
        <v>5</v>
      </c>
      <c r="U14" s="1304">
        <f t="shared" si="1"/>
        <v>100</v>
      </c>
      <c r="V14" s="1303" t="s">
        <v>5</v>
      </c>
      <c r="W14" s="1304">
        <f t="shared" si="2"/>
        <v>100</v>
      </c>
      <c r="X14" s="1305"/>
      <c r="Y14" s="3546"/>
      <c r="Z14" s="996">
        <f t="shared" si="7"/>
        <v>111</v>
      </c>
      <c r="AA14" s="996">
        <f>D14/F14</f>
        <v>1</v>
      </c>
      <c r="AB14" s="996">
        <f>D14/H14</f>
        <v>1</v>
      </c>
      <c r="AC14" s="996">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4"/>
      <c r="Q15" s="818">
        <f t="shared" si="6"/>
        <v>111</v>
      </c>
      <c r="R15" s="1303" t="s">
        <v>5</v>
      </c>
      <c r="S15" s="1304">
        <f t="shared" si="0"/>
        <v>100</v>
      </c>
      <c r="T15" s="1303" t="s">
        <v>5</v>
      </c>
      <c r="U15" s="1304">
        <f t="shared" si="1"/>
        <v>100</v>
      </c>
      <c r="V15" s="1303" t="s">
        <v>5</v>
      </c>
      <c r="W15" s="1304">
        <f t="shared" si="2"/>
        <v>100</v>
      </c>
      <c r="X15" s="1305"/>
      <c r="Y15" s="3546"/>
      <c r="Z15" s="996">
        <f t="shared" si="7"/>
        <v>111</v>
      </c>
      <c r="AA15" s="996">
        <f t="shared" si="3"/>
        <v>1</v>
      </c>
      <c r="AB15" s="996">
        <f t="shared" si="4"/>
        <v>1</v>
      </c>
      <c r="AC15" s="996">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4"/>
      <c r="Q16" s="818">
        <f t="shared" si="6"/>
        <v>111</v>
      </c>
      <c r="R16" s="1303" t="s">
        <v>5</v>
      </c>
      <c r="S16" s="1304">
        <f t="shared" si="0"/>
        <v>100</v>
      </c>
      <c r="T16" s="1303" t="s">
        <v>5</v>
      </c>
      <c r="U16" s="1304">
        <f t="shared" si="1"/>
        <v>100</v>
      </c>
      <c r="V16" s="1303" t="s">
        <v>5</v>
      </c>
      <c r="W16" s="1304">
        <f t="shared" si="2"/>
        <v>100</v>
      </c>
      <c r="X16" s="1305"/>
      <c r="Y16" s="3546"/>
      <c r="Z16" s="996">
        <f t="shared" si="7"/>
        <v>111</v>
      </c>
      <c r="AA16" s="996">
        <f t="shared" si="3"/>
        <v>1</v>
      </c>
      <c r="AB16" s="996">
        <f t="shared" si="4"/>
        <v>1</v>
      </c>
      <c r="AC16" s="996">
        <f t="shared" si="5"/>
        <v>1</v>
      </c>
    </row>
    <row r="17" spans="1:29" ht="57">
      <c r="A17" s="2207" t="s">
        <v>2036</v>
      </c>
      <c r="B17" s="150" t="s">
        <v>546</v>
      </c>
      <c r="C17" s="842"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596" t="s">
        <v>489</v>
      </c>
      <c r="Q17" s="1306" t="str">
        <f t="shared" si="6"/>
        <v>产业集聚程度</v>
      </c>
      <c r="R17" s="1307" t="s">
        <v>5</v>
      </c>
      <c r="S17" s="1308">
        <f t="shared" si="0"/>
        <v>100</v>
      </c>
      <c r="T17" s="1307" t="s">
        <v>5</v>
      </c>
      <c r="U17" s="1308">
        <f t="shared" si="1"/>
        <v>100</v>
      </c>
      <c r="V17" s="1307" t="s">
        <v>5</v>
      </c>
      <c r="W17" s="1308">
        <f t="shared" si="2"/>
        <v>100</v>
      </c>
      <c r="X17" s="1302"/>
      <c r="Y17" s="3596"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597"/>
      <c r="Q18" s="1306"/>
      <c r="R18" s="1307"/>
      <c r="S18" s="1308"/>
      <c r="T18" s="1307"/>
      <c r="U18" s="1308"/>
      <c r="V18" s="1307"/>
      <c r="W18" s="1308"/>
      <c r="X18" s="1302"/>
      <c r="Y18" s="3597"/>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597"/>
      <c r="Q19" s="1306" t="str">
        <f>B19</f>
        <v>交通便捷度</v>
      </c>
      <c r="R19" s="1307" t="s">
        <v>5</v>
      </c>
      <c r="S19" s="1308">
        <f>F19</f>
        <v>100</v>
      </c>
      <c r="T19" s="1307" t="s">
        <v>5</v>
      </c>
      <c r="U19" s="1308">
        <f>H19</f>
        <v>100</v>
      </c>
      <c r="V19" s="1307" t="s">
        <v>5</v>
      </c>
      <c r="W19" s="1308">
        <f>J19</f>
        <v>100</v>
      </c>
      <c r="X19" s="1302"/>
      <c r="Y19" s="3597"/>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597"/>
      <c r="Q20" s="1306"/>
      <c r="R20" s="1307"/>
      <c r="S20" s="1308"/>
      <c r="T20" s="1307"/>
      <c r="U20" s="1308"/>
      <c r="V20" s="1307"/>
      <c r="W20" s="1308"/>
      <c r="X20" s="1302"/>
      <c r="Y20" s="3597"/>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597"/>
      <c r="Q21" s="1306" t="str">
        <f t="shared" ref="Q21:Q35" si="8">B21</f>
        <v>区域土地利用方向</v>
      </c>
      <c r="R21" s="1307" t="s">
        <v>5</v>
      </c>
      <c r="S21" s="1308">
        <f>F21</f>
        <v>100</v>
      </c>
      <c r="T21" s="1307" t="s">
        <v>5</v>
      </c>
      <c r="U21" s="1308">
        <f>H21</f>
        <v>100</v>
      </c>
      <c r="V21" s="1307" t="s">
        <v>5</v>
      </c>
      <c r="W21" s="1308">
        <f>J21</f>
        <v>100</v>
      </c>
      <c r="X21" s="1302"/>
      <c r="Y21" s="3597"/>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597"/>
      <c r="Q22" s="1306"/>
      <c r="R22" s="1307"/>
      <c r="S22" s="1308"/>
      <c r="T22" s="1307"/>
      <c r="U22" s="1308"/>
      <c r="V22" s="1307"/>
      <c r="W22" s="1308"/>
      <c r="X22" s="1302"/>
      <c r="Y22" s="3597"/>
      <c r="Z22" s="1309"/>
      <c r="AA22" s="1309"/>
      <c r="AB22" s="1309"/>
      <c r="AC22" s="1309"/>
    </row>
    <row r="23" spans="1:29" ht="71.25">
      <c r="A23" s="466"/>
      <c r="B23" s="843"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597"/>
      <c r="Q23" s="1306" t="str">
        <f t="shared" si="8"/>
        <v>环境状况</v>
      </c>
      <c r="R23" s="1307" t="s">
        <v>5</v>
      </c>
      <c r="S23" s="1308">
        <f>F23</f>
        <v>100</v>
      </c>
      <c r="T23" s="1307" t="s">
        <v>5</v>
      </c>
      <c r="U23" s="1308">
        <f>H23</f>
        <v>100</v>
      </c>
      <c r="V23" s="1307" t="s">
        <v>5</v>
      </c>
      <c r="W23" s="1308">
        <f>J23</f>
        <v>100</v>
      </c>
      <c r="X23" s="1302"/>
      <c r="Y23" s="3597"/>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597"/>
      <c r="Q24" s="1306"/>
      <c r="R24" s="1307"/>
      <c r="S24" s="1308"/>
      <c r="T24" s="1307"/>
      <c r="U24" s="1308"/>
      <c r="V24" s="1307"/>
      <c r="W24" s="1308"/>
      <c r="X24" s="1302"/>
      <c r="Y24" s="3597"/>
      <c r="Z24" s="1309"/>
      <c r="AA24" s="1309">
        <v>1</v>
      </c>
      <c r="AB24" s="1309">
        <v>1</v>
      </c>
      <c r="AC24" s="1309">
        <v>1</v>
      </c>
    </row>
    <row r="25" spans="1:29" s="1059"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597"/>
      <c r="Q25" s="818" t="str">
        <f t="shared" si="8"/>
        <v>公共配套设施</v>
      </c>
      <c r="R25" s="1303" t="s">
        <v>5</v>
      </c>
      <c r="S25" s="1304">
        <f>F25</f>
        <v>100</v>
      </c>
      <c r="T25" s="1303" t="s">
        <v>5</v>
      </c>
      <c r="U25" s="1304">
        <f>H25</f>
        <v>100</v>
      </c>
      <c r="V25" s="1303" t="s">
        <v>5</v>
      </c>
      <c r="W25" s="1304">
        <f>J25</f>
        <v>100</v>
      </c>
      <c r="X25" s="1305"/>
      <c r="Y25" s="3597"/>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597"/>
      <c r="Q26" s="818"/>
      <c r="R26" s="1303"/>
      <c r="S26" s="1304"/>
      <c r="T26" s="1303"/>
      <c r="U26" s="1304"/>
      <c r="V26" s="1303"/>
      <c r="W26" s="1304"/>
      <c r="X26" s="1305"/>
      <c r="Y26" s="3597"/>
      <c r="Z26" s="996"/>
      <c r="AA26" s="996">
        <v>1</v>
      </c>
      <c r="AB26" s="996">
        <v>1</v>
      </c>
      <c r="AC26" s="996">
        <v>1</v>
      </c>
    </row>
    <row r="27" spans="1:29" s="1059" customFormat="1" ht="28.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597"/>
      <c r="Q27" s="818" t="str">
        <f>B27</f>
        <v>基础设施水平</v>
      </c>
      <c r="R27" s="1303" t="s">
        <v>5</v>
      </c>
      <c r="S27" s="1304">
        <f>F27</f>
        <v>100</v>
      </c>
      <c r="T27" s="1303" t="s">
        <v>5</v>
      </c>
      <c r="U27" s="1304">
        <f>H27</f>
        <v>100</v>
      </c>
      <c r="V27" s="1303" t="s">
        <v>5</v>
      </c>
      <c r="W27" s="1304">
        <f>J27</f>
        <v>100</v>
      </c>
      <c r="X27" s="1305"/>
      <c r="Y27" s="3597"/>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597"/>
      <c r="Q28" s="818"/>
      <c r="R28" s="1303"/>
      <c r="S28" s="1304"/>
      <c r="T28" s="1303"/>
      <c r="U28" s="1304"/>
      <c r="V28" s="1303"/>
      <c r="W28" s="1304"/>
      <c r="X28" s="1305"/>
      <c r="Y28" s="3597"/>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597"/>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597"/>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597"/>
      <c r="Q30" s="1306" t="str">
        <f t="shared" si="8"/>
        <v>毗邻道路的类型与等级</v>
      </c>
      <c r="R30" s="1307" t="s">
        <v>5</v>
      </c>
      <c r="S30" s="1308">
        <f t="shared" si="9"/>
        <v>100</v>
      </c>
      <c r="T30" s="1307" t="s">
        <v>5</v>
      </c>
      <c r="U30" s="1308">
        <f t="shared" si="10"/>
        <v>100</v>
      </c>
      <c r="V30" s="1307" t="s">
        <v>5</v>
      </c>
      <c r="W30" s="1308">
        <f t="shared" si="11"/>
        <v>100</v>
      </c>
      <c r="X30" s="1302"/>
      <c r="Y30" s="3597"/>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597"/>
      <c r="Q31" s="1306"/>
      <c r="R31" s="1307"/>
      <c r="S31" s="1308"/>
      <c r="T31" s="1307"/>
      <c r="U31" s="1308"/>
      <c r="V31" s="1307"/>
      <c r="W31" s="1308"/>
      <c r="X31" s="1302"/>
      <c r="Y31" s="3597"/>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597"/>
      <c r="Q32" s="1306" t="str">
        <f t="shared" si="8"/>
        <v>土地级别</v>
      </c>
      <c r="R32" s="1307" t="s">
        <v>5</v>
      </c>
      <c r="S32" s="1308">
        <f t="shared" si="9"/>
        <v>100</v>
      </c>
      <c r="T32" s="1307" t="s">
        <v>5</v>
      </c>
      <c r="U32" s="1308">
        <f t="shared" si="10"/>
        <v>100</v>
      </c>
      <c r="V32" s="1307" t="s">
        <v>5</v>
      </c>
      <c r="W32" s="1308">
        <f t="shared" si="11"/>
        <v>100</v>
      </c>
      <c r="X32" s="1302"/>
      <c r="Y32" s="3597"/>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597"/>
      <c r="Q33" s="1306">
        <f t="shared" si="8"/>
        <v>111</v>
      </c>
      <c r="R33" s="1307" t="s">
        <v>5</v>
      </c>
      <c r="S33" s="1308">
        <f t="shared" si="9"/>
        <v>100</v>
      </c>
      <c r="T33" s="1307" t="s">
        <v>5</v>
      </c>
      <c r="U33" s="1308">
        <f t="shared" si="10"/>
        <v>100</v>
      </c>
      <c r="V33" s="1307" t="s">
        <v>5</v>
      </c>
      <c r="W33" s="1308">
        <f t="shared" si="11"/>
        <v>100</v>
      </c>
      <c r="X33" s="1302"/>
      <c r="Y33" s="3597"/>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598" t="s">
        <v>499</v>
      </c>
      <c r="Q34" s="1306">
        <f t="shared" si="8"/>
        <v>111</v>
      </c>
      <c r="R34" s="1307" t="s">
        <v>5</v>
      </c>
      <c r="S34" s="1308">
        <f t="shared" si="9"/>
        <v>100</v>
      </c>
      <c r="T34" s="1307" t="s">
        <v>5</v>
      </c>
      <c r="U34" s="1308">
        <f t="shared" si="10"/>
        <v>100</v>
      </c>
      <c r="V34" s="1307" t="s">
        <v>5</v>
      </c>
      <c r="W34" s="1308">
        <f t="shared" si="11"/>
        <v>100</v>
      </c>
      <c r="X34" s="1302"/>
      <c r="Y34" s="3599"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599"/>
      <c r="Q35" s="1306">
        <f t="shared" si="8"/>
        <v>111</v>
      </c>
      <c r="R35" s="1310" t="s">
        <v>5</v>
      </c>
      <c r="S35" s="1311">
        <f t="shared" si="9"/>
        <v>100</v>
      </c>
      <c r="T35" s="1310" t="s">
        <v>5</v>
      </c>
      <c r="U35" s="1311">
        <f t="shared" si="10"/>
        <v>100</v>
      </c>
      <c r="V35" s="1310" t="s">
        <v>5</v>
      </c>
      <c r="W35" s="1311">
        <f t="shared" si="11"/>
        <v>100</v>
      </c>
      <c r="X35" s="1312"/>
      <c r="Y35" s="3599"/>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599"/>
      <c r="Q36" s="1306" t="str">
        <f>B36</f>
        <v>宗地面积</v>
      </c>
      <c r="R36" s="1307" t="s">
        <v>5</v>
      </c>
      <c r="S36" s="1308" t="e">
        <f t="shared" si="9"/>
        <v>#N/A</v>
      </c>
      <c r="T36" s="1307" t="s">
        <v>5</v>
      </c>
      <c r="U36" s="1308" t="e">
        <f t="shared" si="10"/>
        <v>#N/A</v>
      </c>
      <c r="V36" s="1307" t="s">
        <v>5</v>
      </c>
      <c r="W36" s="1308" t="e">
        <f t="shared" si="11"/>
        <v>#N/A</v>
      </c>
      <c r="X36" s="1302"/>
      <c r="Y36" s="3599"/>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599"/>
      <c r="Q37" s="1306" t="str">
        <f t="shared" ref="Q37:Q42" si="13">B37</f>
        <v>宗地形状</v>
      </c>
      <c r="R37" s="1307" t="s">
        <v>5</v>
      </c>
      <c r="S37" s="1308">
        <f t="shared" si="9"/>
        <v>100</v>
      </c>
      <c r="T37" s="1307" t="s">
        <v>5</v>
      </c>
      <c r="U37" s="1308">
        <f t="shared" si="10"/>
        <v>100</v>
      </c>
      <c r="V37" s="1307" t="s">
        <v>5</v>
      </c>
      <c r="W37" s="1308">
        <f t="shared" si="11"/>
        <v>100</v>
      </c>
      <c r="X37" s="1302"/>
      <c r="Y37" s="3599"/>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599"/>
      <c r="Q38" s="1306" t="str">
        <f t="shared" si="13"/>
        <v>宗地开发程度</v>
      </c>
      <c r="R38" s="1303" t="s">
        <v>5</v>
      </c>
      <c r="S38" s="1304">
        <f t="shared" si="9"/>
        <v>100</v>
      </c>
      <c r="T38" s="1303" t="s">
        <v>5</v>
      </c>
      <c r="U38" s="1304">
        <f t="shared" si="10"/>
        <v>100</v>
      </c>
      <c r="V38" s="1303" t="s">
        <v>5</v>
      </c>
      <c r="W38" s="1304">
        <f t="shared" si="11"/>
        <v>100</v>
      </c>
      <c r="X38" s="1305"/>
      <c r="Y38" s="3599"/>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599" t="s">
        <v>549</v>
      </c>
      <c r="Q39" s="1306" t="str">
        <f t="shared" si="13"/>
        <v>工程地质条件</v>
      </c>
      <c r="R39" s="1307" t="s">
        <v>5</v>
      </c>
      <c r="S39" s="1308">
        <f t="shared" si="9"/>
        <v>100</v>
      </c>
      <c r="T39" s="1307" t="s">
        <v>5</v>
      </c>
      <c r="U39" s="1308">
        <f t="shared" si="10"/>
        <v>100</v>
      </c>
      <c r="V39" s="1307" t="s">
        <v>5</v>
      </c>
      <c r="W39" s="1308">
        <f t="shared" si="11"/>
        <v>100</v>
      </c>
      <c r="X39" s="1302"/>
      <c r="Y39" s="3599"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599"/>
      <c r="Q40" s="1306">
        <f t="shared" si="13"/>
        <v>111</v>
      </c>
      <c r="R40" s="1307" t="s">
        <v>5</v>
      </c>
      <c r="S40" s="1308">
        <f t="shared" si="9"/>
        <v>100</v>
      </c>
      <c r="T40" s="1307" t="s">
        <v>5</v>
      </c>
      <c r="U40" s="1308">
        <f t="shared" si="10"/>
        <v>100</v>
      </c>
      <c r="V40" s="1307" t="s">
        <v>5</v>
      </c>
      <c r="W40" s="1308">
        <f t="shared" si="11"/>
        <v>100</v>
      </c>
      <c r="X40" s="1302"/>
      <c r="Y40" s="3599"/>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599"/>
      <c r="Q41" s="1306">
        <f t="shared" si="13"/>
        <v>111</v>
      </c>
      <c r="R41" s="1307" t="s">
        <v>5</v>
      </c>
      <c r="S41" s="1308">
        <f t="shared" si="9"/>
        <v>100</v>
      </c>
      <c r="T41" s="1307" t="s">
        <v>5</v>
      </c>
      <c r="U41" s="1308">
        <f t="shared" si="10"/>
        <v>100</v>
      </c>
      <c r="V41" s="1307" t="s">
        <v>5</v>
      </c>
      <c r="W41" s="1308">
        <f t="shared" si="11"/>
        <v>100</v>
      </c>
      <c r="X41" s="1302"/>
      <c r="Y41" s="3599"/>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599"/>
      <c r="Q42" s="1306">
        <f t="shared" si="13"/>
        <v>111</v>
      </c>
      <c r="R42" s="1310" t="s">
        <v>5</v>
      </c>
      <c r="S42" s="1311">
        <f t="shared" si="9"/>
        <v>100</v>
      </c>
      <c r="T42" s="1310" t="s">
        <v>5</v>
      </c>
      <c r="U42" s="1311">
        <f t="shared" si="10"/>
        <v>100</v>
      </c>
      <c r="V42" s="1310" t="s">
        <v>5</v>
      </c>
      <c r="W42" s="1311">
        <f t="shared" si="11"/>
        <v>100</v>
      </c>
      <c r="X42" s="1312"/>
      <c r="Y42" s="3599"/>
      <c r="Z42" s="1313">
        <f t="shared" si="12"/>
        <v>111</v>
      </c>
      <c r="AA42" s="1309">
        <f t="shared" si="3"/>
        <v>1</v>
      </c>
      <c r="AB42" s="1309">
        <f t="shared" si="4"/>
        <v>1</v>
      </c>
      <c r="AC42" s="1309">
        <f t="shared" si="5"/>
        <v>1</v>
      </c>
    </row>
    <row r="43" spans="1:29" ht="15">
      <c r="A43" s="556" t="s">
        <v>505</v>
      </c>
      <c r="B43" s="557" t="s">
        <v>2192</v>
      </c>
      <c r="C43" s="558" t="s">
        <v>0</v>
      </c>
      <c r="D43" s="559"/>
      <c r="E43" s="560"/>
      <c r="F43" s="561"/>
      <c r="G43" s="562"/>
      <c r="H43" s="563"/>
      <c r="I43" s="560"/>
      <c r="J43" s="563"/>
      <c r="K43" s="1134"/>
      <c r="L43" s="1751"/>
      <c r="M43" s="1742"/>
      <c r="N43" s="1742"/>
      <c r="O43" s="1742"/>
      <c r="P43" s="3594" t="str">
        <f>A43</f>
        <v>成交单价</v>
      </c>
      <c r="Q43" s="3594"/>
      <c r="R43" s="3610">
        <f>E43</f>
        <v>0</v>
      </c>
      <c r="S43" s="3610"/>
      <c r="T43" s="3610">
        <f>G43</f>
        <v>0</v>
      </c>
      <c r="U43" s="3610"/>
      <c r="V43" s="3610">
        <f>I43</f>
        <v>0</v>
      </c>
      <c r="W43" s="3610"/>
      <c r="X43" s="799"/>
      <c r="Y43" s="1314"/>
      <c r="Z43" s="799"/>
      <c r="AA43" s="799"/>
      <c r="AB43" s="799"/>
      <c r="AC43" s="799"/>
    </row>
    <row r="44" spans="1:29" ht="15.75" thickBot="1">
      <c r="A44" s="564" t="s">
        <v>1975</v>
      </c>
      <c r="B44" s="565"/>
      <c r="C44" s="566" t="e">
        <f>R45</f>
        <v>#DIV/0!</v>
      </c>
      <c r="D44" s="2550" t="s">
        <v>2256</v>
      </c>
      <c r="E44" s="566" t="e">
        <f>R44</f>
        <v>#DIV/0!</v>
      </c>
      <c r="F44" s="2551"/>
      <c r="G44" s="567" t="e">
        <f>T44</f>
        <v>#DIV/0!</v>
      </c>
      <c r="H44" s="2551"/>
      <c r="I44" s="566" t="e">
        <f>V44</f>
        <v>#DIV/0!</v>
      </c>
      <c r="J44" s="2551"/>
      <c r="K44" s="2552">
        <f>F44+H44+J44</f>
        <v>0</v>
      </c>
      <c r="L44" s="1751"/>
      <c r="M44" s="1742"/>
      <c r="N44" s="1742"/>
      <c r="O44" s="1742"/>
      <c r="P44" s="3594" t="str">
        <f>A44</f>
        <v>比较价格（元/平方米）</v>
      </c>
      <c r="Q44" s="3594"/>
      <c r="R44" s="3618" t="e">
        <f>ROUND(PRODUCT(R43,AA9:AA42),0)</f>
        <v>#DIV/0!</v>
      </c>
      <c r="S44" s="3618"/>
      <c r="T44" s="3618" t="e">
        <f>ROUND(PRODUCT(T43,AB9:AB42),0)</f>
        <v>#DIV/0!</v>
      </c>
      <c r="U44" s="3618"/>
      <c r="V44" s="3618" t="e">
        <f>ROUND(PRODUCT(V43,AC9:AC42),0)</f>
        <v>#DIV/0!</v>
      </c>
      <c r="W44" s="3618"/>
      <c r="X44" s="799"/>
      <c r="Y44" s="799"/>
      <c r="Z44" s="799"/>
      <c r="AA44" s="799"/>
      <c r="AB44" s="799"/>
      <c r="AC44" s="799"/>
    </row>
    <row r="45" spans="1:29" ht="15.75" thickBot="1">
      <c r="A45" s="568" t="s">
        <v>2193</v>
      </c>
      <c r="B45" s="569"/>
      <c r="C45" s="570" t="e">
        <f>R45</f>
        <v>#DIV/0!</v>
      </c>
      <c r="D45" s="570"/>
      <c r="E45" s="570"/>
      <c r="F45" s="570"/>
      <c r="G45" s="570"/>
      <c r="H45" s="570"/>
      <c r="I45" s="570"/>
      <c r="J45" s="570"/>
      <c r="K45" s="1135"/>
      <c r="L45" s="1751"/>
      <c r="M45" s="1742"/>
      <c r="N45" s="1742"/>
      <c r="O45" s="1742"/>
      <c r="P45" s="3600" t="str">
        <f>A45</f>
        <v>估价对象XX用房的比较价格（楼面单价，元/平方米）</v>
      </c>
      <c r="Q45" s="3601"/>
      <c r="R45" s="3627" t="e">
        <f>ROUND(IF(D44="简单平均",AVERAGE(R44:W44),R44*F44+T44*H44+V44*J44),0)</f>
        <v>#DIV/0!</v>
      </c>
      <c r="S45" s="3627"/>
      <c r="T45" s="3627"/>
      <c r="U45" s="3627"/>
      <c r="V45" s="3627"/>
      <c r="W45" s="3627"/>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23" t="s">
        <v>1642</v>
      </c>
      <c r="H52" s="3624"/>
      <c r="I52" s="1611" t="s">
        <v>1465</v>
      </c>
      <c r="J52" s="1297" t="str">
        <f>项目基本情况!F41</f>
        <v>江苏省</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302725.5</v>
      </c>
      <c r="F53" s="1609" t="e">
        <f t="shared" ref="F53:F61" si="14">ROUND(B53*E53/10000,0)</f>
        <v>#DIV/0!</v>
      </c>
      <c r="G53" s="3625"/>
      <c r="H53" s="3626"/>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30" t="s">
        <v>1643</v>
      </c>
      <c r="H54" s="1613">
        <f>项目基本情况!B43</f>
        <v>0</v>
      </c>
      <c r="I54" s="1612">
        <f>SUMIF(修正!$A$57:$A$68,H54,修正!B57:B68)</f>
        <v>0</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1"/>
      <c r="H55" s="1614">
        <f>项目基本情况!B43</f>
        <v>0</v>
      </c>
      <c r="I55" s="1612">
        <f>SUMIF(修正!$A$57:$A$68,H55,修正!C57:C68)</f>
        <v>0</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1"/>
      <c r="H56" s="1614">
        <f>项目基本情况!B43</f>
        <v>0</v>
      </c>
      <c r="I56" s="1612">
        <f>SUMIF(修正!$A$57:$A$68,H56,修正!D57:D68)</f>
        <v>0</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86493.04</v>
      </c>
      <c r="F62" s="591"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2023-5-1</v>
      </c>
      <c r="D64" s="2111">
        <f>EDATE(C64,-3)</f>
        <v>44958</v>
      </c>
      <c r="E64" s="2111">
        <f t="shared" ref="E64:N64" si="17">EDATE(D64,-3)</f>
        <v>44866</v>
      </c>
      <c r="F64" s="2111">
        <f t="shared" si="17"/>
        <v>44774</v>
      </c>
      <c r="G64" s="2111">
        <f t="shared" si="17"/>
        <v>44682</v>
      </c>
      <c r="H64" s="2111">
        <f t="shared" si="17"/>
        <v>44593</v>
      </c>
      <c r="I64" s="2111">
        <f t="shared" si="17"/>
        <v>44501</v>
      </c>
      <c r="J64" s="2111">
        <f t="shared" si="17"/>
        <v>44409</v>
      </c>
      <c r="K64" s="2111">
        <f t="shared" si="17"/>
        <v>44317</v>
      </c>
      <c r="L64" s="2111">
        <f t="shared" si="17"/>
        <v>44228</v>
      </c>
      <c r="M64" s="2111">
        <f t="shared" si="17"/>
        <v>44136</v>
      </c>
      <c r="N64" s="2111">
        <f t="shared" si="17"/>
        <v>44044</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2023-2</v>
      </c>
      <c r="D66" s="155" t="str">
        <f t="shared" ref="D66:N66" si="18">YEAR(D64)&amp;"-"&amp;ROUNDUP(MONTH(D64)/3,0)</f>
        <v>2023-1</v>
      </c>
      <c r="E66" s="155" t="str">
        <f t="shared" si="18"/>
        <v>2022-4</v>
      </c>
      <c r="F66" s="155" t="str">
        <f t="shared" si="18"/>
        <v>2022-3</v>
      </c>
      <c r="G66" s="155" t="str">
        <f t="shared" si="18"/>
        <v>2022-2</v>
      </c>
      <c r="H66" s="155" t="str">
        <f t="shared" si="18"/>
        <v>2022-1</v>
      </c>
      <c r="I66" s="155" t="str">
        <f t="shared" si="18"/>
        <v>2021-4</v>
      </c>
      <c r="J66" s="155" t="str">
        <f t="shared" si="18"/>
        <v>2021-3</v>
      </c>
      <c r="K66" s="155" t="str">
        <f t="shared" si="18"/>
        <v>2021-2</v>
      </c>
      <c r="L66" s="155" t="str">
        <f t="shared" si="18"/>
        <v>2021-1</v>
      </c>
      <c r="M66" s="155" t="str">
        <f t="shared" si="18"/>
        <v>2020-4</v>
      </c>
      <c r="N66" s="155" t="str">
        <f t="shared" si="18"/>
        <v>2020-3</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SUMPRODUCT((区片价!B10:B28=I2)*(区片价!C3:G3=E2)*(区片价!C10:G28))</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8" t="e">
        <f>ROUND(C6*C17+C20,0)</f>
        <v>#DIV/0!</v>
      </c>
      <c r="E5" s="2358"/>
      <c r="F5" s="1198"/>
      <c r="G5" s="1199"/>
      <c r="H5" s="1199"/>
      <c r="I5" s="1199"/>
      <c r="J5" s="1200"/>
      <c r="K5" s="2740"/>
      <c r="L5" s="1544" t="s">
        <v>1601</v>
      </c>
      <c r="M5" s="1545">
        <f>SUMPRODUCT((区片价!B76:B109=I2)*(区片价!C3:G3=E2)*(区片价!C76:G109))</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1" t="s">
        <v>1395</v>
      </c>
      <c r="B6" s="1204" t="s">
        <v>859</v>
      </c>
      <c r="C6" s="3252">
        <f>SUMIF(L1:L12,G2,M1:M12)</f>
        <v>0</v>
      </c>
      <c r="D6" s="3253" t="s">
        <v>1228</v>
      </c>
      <c r="E6" s="1204"/>
      <c r="F6" s="1204"/>
      <c r="G6" s="3254"/>
      <c r="H6" s="3254"/>
      <c r="I6" s="3254"/>
      <c r="J6" s="3255"/>
      <c r="K6" s="1789"/>
      <c r="L6" s="1544" t="s">
        <v>1602</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6" t="s">
        <v>3195</v>
      </c>
      <c r="B7" s="1205" t="s">
        <v>860</v>
      </c>
      <c r="C7" s="3257" t="e">
        <f>IF(C8="不临65条商业街",1,ROUND(1+(1.6*E8+1.2*E9+0.8*E10+0.4*E11)*C9,4))</f>
        <v>#DIV/0!</v>
      </c>
      <c r="D7" s="3258" t="s">
        <v>861</v>
      </c>
      <c r="E7" s="3259"/>
      <c r="F7" s="3260"/>
      <c r="G7" s="3260"/>
      <c r="H7" s="3260"/>
      <c r="I7" s="3260"/>
      <c r="J7" s="3261"/>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2046</v>
      </c>
      <c r="X7" s="2224">
        <f>G2</f>
        <v>0</v>
      </c>
      <c r="Y7" s="2224" t="s">
        <v>2047</v>
      </c>
      <c r="Z7" s="2225">
        <f>G3</f>
        <v>0</v>
      </c>
      <c r="AA7" s="1792"/>
      <c r="AB7" s="1792"/>
      <c r="AC7" s="1793"/>
      <c r="AD7" s="2226"/>
      <c r="AE7" s="2226"/>
      <c r="AF7" s="2226"/>
      <c r="AG7" s="2226"/>
      <c r="AH7" s="2226"/>
      <c r="AI7" s="2226"/>
      <c r="AJ7" s="2227"/>
    </row>
    <row r="8" spans="1:39" ht="15">
      <c r="A8" s="3262"/>
      <c r="B8" s="1192" t="s">
        <v>862</v>
      </c>
      <c r="C8" s="3263"/>
      <c r="D8" s="3264" t="s">
        <v>863</v>
      </c>
      <c r="E8" s="3265" t="e">
        <f>ROUND(C11/E7,4)</f>
        <v>#DIV/0!</v>
      </c>
      <c r="F8" s="3266" t="s">
        <v>864</v>
      </c>
      <c r="G8" s="3267"/>
      <c r="H8" s="3267"/>
      <c r="I8" s="3267"/>
      <c r="J8" s="3268"/>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42" t="s">
        <v>2060</v>
      </c>
      <c r="X8" s="3643"/>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2"/>
      <c r="B9" s="1192" t="s">
        <v>865</v>
      </c>
      <c r="C9" s="3269">
        <f>SUMIF(修正!C71:C139,C8,修正!E71:E139)</f>
        <v>0</v>
      </c>
      <c r="D9" s="3270" t="s">
        <v>866</v>
      </c>
      <c r="E9" s="3270" t="e">
        <f>ROUND(C11/E7,4)</f>
        <v>#DIV/0!</v>
      </c>
      <c r="F9" s="3266" t="s">
        <v>867</v>
      </c>
      <c r="G9" s="3267"/>
      <c r="H9" s="3267"/>
      <c r="I9" s="3267"/>
      <c r="J9" s="3268"/>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1"/>
      <c r="X9" s="2228" t="s">
        <v>3219</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2" t="s">
        <v>868</v>
      </c>
      <c r="C10" s="3270">
        <f>SUMIF(修正!C71:C139,C8,修正!F71:F139)</f>
        <v>0</v>
      </c>
      <c r="D10" s="3270" t="s">
        <v>869</v>
      </c>
      <c r="E10" s="3270" t="e">
        <f>ROUND(C11/E7,4)</f>
        <v>#DIV/0!</v>
      </c>
      <c r="F10" s="3266" t="s">
        <v>870</v>
      </c>
      <c r="G10" s="3267"/>
      <c r="H10" s="3267"/>
      <c r="I10" s="3267"/>
      <c r="J10" s="3268"/>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1"/>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09" t="s">
        <v>871</v>
      </c>
      <c r="C11" s="3271">
        <f>C10/4</f>
        <v>0</v>
      </c>
      <c r="D11" s="3271" t="s">
        <v>872</v>
      </c>
      <c r="E11" s="3271" t="e">
        <f>ROUND(C11/E7,4)</f>
        <v>#DIV/0!</v>
      </c>
      <c r="F11" s="3272" t="s">
        <v>873</v>
      </c>
      <c r="G11" s="3273"/>
      <c r="H11" s="3273"/>
      <c r="I11" s="3273"/>
      <c r="J11" s="3274"/>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6" t="s">
        <v>3196</v>
      </c>
      <c r="B12" s="3238" t="s">
        <v>3197</v>
      </c>
      <c r="C12" s="3244">
        <v>1.02</v>
      </c>
      <c r="D12" s="3239" t="s">
        <v>3198</v>
      </c>
      <c r="E12" s="3240" t="s">
        <v>3199</v>
      </c>
      <c r="F12" s="3241"/>
      <c r="G12" s="3242"/>
      <c r="H12" s="3242"/>
      <c r="I12" s="3242"/>
      <c r="J12" s="3243"/>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6" t="s">
        <v>3200</v>
      </c>
      <c r="B13" s="1210" t="s">
        <v>874</v>
      </c>
      <c r="C13" s="3257">
        <f>ROUND(C16*D16*E16*F16*G16*H16*I16*J16,4)</f>
        <v>0</v>
      </c>
      <c r="D13" s="3275" t="s">
        <v>3201</v>
      </c>
      <c r="E13" s="3276"/>
      <c r="F13" s="3276"/>
      <c r="G13" s="3276"/>
      <c r="H13" s="3276"/>
      <c r="I13" s="3276"/>
      <c r="J13" s="3277"/>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8"/>
      <c r="B14" s="1214" t="s">
        <v>1229</v>
      </c>
      <c r="C14" s="3194" t="s">
        <v>1230</v>
      </c>
      <c r="D14" s="1216" t="s">
        <v>1231</v>
      </c>
      <c r="E14" s="750" t="s">
        <v>3202</v>
      </c>
      <c r="F14" s="3279" t="s">
        <v>1178</v>
      </c>
      <c r="G14" s="3279" t="s">
        <v>1178</v>
      </c>
      <c r="H14" s="3280" t="s">
        <v>1178</v>
      </c>
      <c r="I14" s="3280" t="s">
        <v>1178</v>
      </c>
      <c r="J14" s="3280" t="s">
        <v>1178</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8"/>
      <c r="B15" s="1216"/>
      <c r="C15" s="3281"/>
      <c r="D15" s="3282"/>
      <c r="E15" s="3283"/>
      <c r="F15" s="3283"/>
      <c r="G15" s="1037" t="s">
        <v>3203</v>
      </c>
      <c r="H15" s="3247"/>
      <c r="I15" s="3248"/>
      <c r="J15" s="3249"/>
      <c r="K15" s="3250"/>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8"/>
      <c r="B16" s="2406" t="s">
        <v>1232</v>
      </c>
      <c r="C16" s="3245"/>
      <c r="D16" s="3245"/>
      <c r="E16" s="3245"/>
      <c r="F16" s="3245"/>
      <c r="G16" s="3245">
        <v>1</v>
      </c>
      <c r="H16" s="3245">
        <v>1</v>
      </c>
      <c r="I16" s="3245">
        <v>1</v>
      </c>
      <c r="J16" s="3246">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5" t="s">
        <v>3204</v>
      </c>
      <c r="B17" s="3286" t="s">
        <v>3205</v>
      </c>
      <c r="C17" s="3294">
        <f>ROUND(IF(OR(E2="工业",E2="公共服务"),1,IF(AND(E18=0,E19=0),1,IF(AND(E18=J24,E19=G19),0.8,IF(E19=0,1+E17*(-0.2),1+E17*G17*(-0.2))))),4)</f>
        <v>1</v>
      </c>
      <c r="D17" s="3287" t="s">
        <v>3206</v>
      </c>
      <c r="E17" s="3294" t="e">
        <f>ROUND(G18/I18,2)</f>
        <v>#DIV/0!</v>
      </c>
      <c r="F17" s="3287" t="s">
        <v>3209</v>
      </c>
      <c r="G17" s="3294" t="e">
        <f>ROUND(E19/G19,2)</f>
        <v>#DIV/0!</v>
      </c>
      <c r="H17" s="3294"/>
      <c r="I17" s="3294"/>
      <c r="J17" s="3373"/>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8"/>
      <c r="B18" s="3158"/>
      <c r="C18" s="3292"/>
      <c r="D18" s="3288" t="s">
        <v>3207</v>
      </c>
      <c r="E18" s="3293"/>
      <c r="F18" s="3290" t="s">
        <v>3210</v>
      </c>
      <c r="G18" s="3292">
        <f>ROUND(1-(1/(POWER(1+G24,E18))),4)</f>
        <v>0</v>
      </c>
      <c r="H18" s="3290" t="s">
        <v>3212</v>
      </c>
      <c r="I18" s="3292">
        <f>ROUND(1-(1/(POWER(1+G24,J24))),4)</f>
        <v>0</v>
      </c>
      <c r="J18" s="3374"/>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4"/>
      <c r="B19" s="3161"/>
      <c r="C19" s="3289"/>
      <c r="D19" s="3289" t="s">
        <v>3208</v>
      </c>
      <c r="E19" s="3295"/>
      <c r="F19" s="3291" t="s">
        <v>3211</v>
      </c>
      <c r="G19" s="3295"/>
      <c r="H19" s="3289"/>
      <c r="I19" s="3289"/>
      <c r="J19" s="3375"/>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35" t="s">
        <v>1370</v>
      </c>
      <c r="B20" s="1205" t="s">
        <v>875</v>
      </c>
      <c r="C20" s="947" t="e">
        <f>ROUND(IF(F21="与级别开发程度一致",0,(G21-E21)/C21),0)</f>
        <v>#DIV/0!</v>
      </c>
      <c r="D20" s="3647" t="s">
        <v>879</v>
      </c>
      <c r="E20" s="3648"/>
      <c r="F20" s="3647" t="s">
        <v>876</v>
      </c>
      <c r="G20" s="3648"/>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36"/>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0</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23" t="s">
        <v>882</v>
      </c>
      <c r="E23" s="949">
        <v>44197</v>
      </c>
      <c r="F23" s="1223" t="s">
        <v>883</v>
      </c>
      <c r="G23" s="950">
        <f>'数据-取费表'!B2</f>
        <v>45057</v>
      </c>
      <c r="H23" s="1224" t="s">
        <v>2242</v>
      </c>
      <c r="I23" s="2101" t="str">
        <f>IF(H23="季度增幅（自定义）",SUMIF(N25:N28,E2,O25:O28),"")</f>
        <v/>
      </c>
      <c r="J23" s="3296"/>
      <c r="K23" s="2740"/>
      <c r="L23" s="2323" t="s">
        <v>2116</v>
      </c>
      <c r="M23" s="2324">
        <f>ROUND(SUMIF(地价!B2:F2,E2,地价!B41:F41),0)</f>
        <v>0</v>
      </c>
      <c r="N23" s="2103" t="s">
        <v>1211</v>
      </c>
      <c r="O23" s="2102">
        <f>ROUNDDOWN(DATEDIF(E23,G23,"M")/3,0)</f>
        <v>9</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t="e">
        <f>ROUND(POWER(1+G24,J24-I24)*(POWER(1+G24,I24)-1)/(POWER(1+G24,J24)-1),4)</f>
        <v>#DIV/0!</v>
      </c>
      <c r="D24" s="2098" t="s">
        <v>897</v>
      </c>
      <c r="E24" s="2350">
        <f>存贷款利率!E22/100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2274</v>
      </c>
      <c r="C25" s="1003">
        <f>IF(B25="容积率修正",IF(G3&lt;10,D26,J26),C27)</f>
        <v>0</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7" t="s">
        <v>3213</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3214</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3241</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8" t="s">
        <v>3216</v>
      </c>
      <c r="G33" s="1253"/>
      <c r="H33" s="1253"/>
      <c r="I33" s="1253"/>
      <c r="J33" s="1254"/>
      <c r="K33" s="2744"/>
      <c r="L33" s="3366" t="s">
        <v>3242</v>
      </c>
      <c r="M33" s="3367">
        <v>5.5E-2</v>
      </c>
      <c r="N33" s="3367">
        <v>5.5E-2</v>
      </c>
      <c r="O33" s="3367">
        <v>0.05</v>
      </c>
      <c r="P33" s="3367">
        <v>0.05</v>
      </c>
      <c r="Q33" s="3367">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9" t="s">
        <v>3217</v>
      </c>
      <c r="G34" s="1258"/>
      <c r="H34" s="1258"/>
      <c r="I34" s="1258"/>
      <c r="J34" s="1259"/>
      <c r="K34" s="1789"/>
      <c r="L34" s="3366" t="s">
        <v>3243</v>
      </c>
      <c r="M34" s="3367">
        <v>6.5000000000000002E-2</v>
      </c>
      <c r="N34" s="3367">
        <v>6.5000000000000002E-2</v>
      </c>
      <c r="O34" s="3367">
        <v>0.06</v>
      </c>
      <c r="P34" s="3367">
        <v>0.06</v>
      </c>
      <c r="Q34" s="3367">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8" t="s">
        <v>3244</v>
      </c>
      <c r="L36" s="3370">
        <v>3.6999999999999998E-2</v>
      </c>
      <c r="M36" s="3371">
        <f>ROUND($L$36*(1+M31),3)</f>
        <v>4.5999999999999999E-2</v>
      </c>
      <c r="N36" s="3371">
        <f>ROUND($L$36*(1+N31),3)</f>
        <v>4.3999999999999997E-2</v>
      </c>
      <c r="O36" s="3371">
        <f>ROUND($L$36*(1+O31),3)</f>
        <v>4.2999999999999997E-2</v>
      </c>
      <c r="P36" s="3371">
        <f>ROUND($L$36*(1+P31),3)</f>
        <v>4.1000000000000002E-2</v>
      </c>
      <c r="Q36" s="3371">
        <f>ROUND($L$36*(1+Q31),3)</f>
        <v>4.2999999999999997E-2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39"/>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39"/>
      <c r="K37" s="3369" t="s">
        <v>3245</v>
      </c>
      <c r="L37" s="3370">
        <f>L36+K38</f>
        <v>4.1999999999999996E-2</v>
      </c>
      <c r="M37" s="3371">
        <f>ROUND($L$37*(1+M31),3)</f>
        <v>5.2999999999999999E-2</v>
      </c>
      <c r="N37" s="3371">
        <f t="shared" ref="N37:Q37" si="3">ROUND($L$37*(1+N31),3)</f>
        <v>0.05</v>
      </c>
      <c r="O37" s="3371">
        <f t="shared" si="3"/>
        <v>4.8000000000000001E-2</v>
      </c>
      <c r="P37" s="3371">
        <f t="shared" si="3"/>
        <v>4.5999999999999999E-2</v>
      </c>
      <c r="Q37" s="3371">
        <f t="shared" si="3"/>
        <v>4.8000000000000001E-2</v>
      </c>
      <c r="R37" s="1790"/>
      <c r="S37" s="1790"/>
      <c r="T37" s="1790"/>
      <c r="U37" s="1790"/>
      <c r="V37" s="1790"/>
      <c r="W37" s="1789"/>
      <c r="X37" s="1789"/>
      <c r="Y37" s="1789"/>
      <c r="Z37" s="1789"/>
      <c r="AA37" s="1789"/>
      <c r="AB37" s="1789"/>
      <c r="AC37" s="1790"/>
    </row>
    <row r="38" spans="1:44" ht="12.75">
      <c r="A38" s="3640"/>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40"/>
      <c r="K38" s="3368">
        <v>5.0000000000000001E-3</v>
      </c>
      <c r="L38" s="3368"/>
      <c r="M38" s="3368"/>
      <c r="N38" s="3368"/>
      <c r="O38" s="3368"/>
      <c r="P38" s="3368"/>
      <c r="Q38" s="3368"/>
      <c r="R38" s="1790"/>
      <c r="S38" s="1790"/>
      <c r="T38" s="1790"/>
      <c r="U38" s="1790"/>
      <c r="V38" s="1790"/>
      <c r="W38" s="1789"/>
      <c r="X38" s="1789"/>
      <c r="Y38" s="1789"/>
      <c r="Z38" s="1789"/>
      <c r="AA38" s="1789"/>
      <c r="AB38" s="1789"/>
      <c r="AC38" s="1790"/>
    </row>
    <row r="39" spans="1:44" ht="13.5" thickBot="1">
      <c r="A39" s="3640"/>
      <c r="B39" s="3300" t="s">
        <v>3218</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40"/>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2" t="s">
        <v>3246</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2238</v>
      </c>
      <c r="C44" s="773" t="e">
        <f>ROUND(POWER(1+E44,H44-G44)*(POWER(1+E44,G44)-1)/(POWER(1+E44,H44)-1),4)</f>
        <v>#DIV/0!</v>
      </c>
      <c r="D44" s="348" t="s">
        <v>2236</v>
      </c>
      <c r="E44" s="2395">
        <f>G24</f>
        <v>0</v>
      </c>
      <c r="F44" s="348" t="s">
        <v>2237</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3" customFormat="1" ht="15" thickBot="1">
      <c r="A47" s="3309" t="s">
        <v>928</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929</v>
      </c>
      <c r="B48" s="3376">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8"/>
      <c r="Q49" s="1798"/>
      <c r="R49" s="1798"/>
      <c r="S49" s="1798"/>
      <c r="T49" s="1798"/>
      <c r="U49" s="1798"/>
      <c r="V49" s="1798"/>
      <c r="W49" s="1798"/>
      <c r="X49" s="1798"/>
      <c r="Y49" s="1798"/>
      <c r="Z49" s="1798"/>
      <c r="AA49" s="1798"/>
      <c r="AB49" s="1798"/>
      <c r="AC49" s="1798"/>
      <c r="AD49" s="1798"/>
    </row>
    <row r="50" spans="1:30" s="3313" customFormat="1" ht="36">
      <c r="A50" s="3318" t="s">
        <v>942</v>
      </c>
      <c r="B50" s="3325" t="str">
        <f>估价对象房地状况!C16</f>
        <v>估价对象周边商业氛围成熟度较差，人流量较少，住宅底商为主，商业繁华度较差</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48">
      <c r="A51" s="3318" t="s">
        <v>943</v>
      </c>
      <c r="B51" s="3319" t="str">
        <f>估价对象房地状况!C18</f>
        <v>估价对象周边道路状况一般、公共交通通达情况较差，有5、122路经过、停车便捷程度，综合评价交通便捷度一般</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3220</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945</v>
      </c>
      <c r="B53" s="3334" t="s">
        <v>2195</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946</v>
      </c>
      <c r="B54" s="3319" t="str">
        <f>估价对象房地状况!C24</f>
        <v>次干道-新华大道</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947</v>
      </c>
      <c r="B55" s="3335" t="s">
        <v>2194</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948</v>
      </c>
      <c r="B56" s="3337" t="str">
        <f>估价对象房地状况!C21</f>
        <v>估价对象所在区域公共配套设施齐备情况较差</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949</v>
      </c>
      <c r="B57" s="3319" t="str">
        <f>估价对象房地状况!C22</f>
        <v>六通</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950</v>
      </c>
      <c r="B58" s="3339" t="str">
        <f>估价对象房地状况!C20</f>
        <v>区域自然环境：；人文环境；综合评价环境状况较好</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951</v>
      </c>
      <c r="B59" s="3376">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8"/>
      <c r="Q60" s="1798"/>
      <c r="R60" s="1798"/>
      <c r="S60" s="1798"/>
      <c r="T60" s="1798"/>
      <c r="U60" s="1798"/>
      <c r="V60" s="1798"/>
      <c r="W60" s="1798"/>
      <c r="X60" s="1798"/>
      <c r="Y60" s="1798"/>
      <c r="Z60" s="1798"/>
      <c r="AA60" s="1798"/>
      <c r="AB60" s="1798"/>
      <c r="AC60" s="1798"/>
      <c r="AD60" s="1798"/>
    </row>
    <row r="61" spans="1:30" s="3313" customFormat="1" ht="24">
      <c r="A61" s="3318" t="s">
        <v>952</v>
      </c>
      <c r="B61" s="3325">
        <f>估价对象房地状况!C17</f>
        <v>0</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48">
      <c r="A62" s="3318" t="s">
        <v>943</v>
      </c>
      <c r="B62" s="3319" t="str">
        <f>估价对象房地状况!C18</f>
        <v>估价对象周边道路状况一般、公共交通通达情况较差，有5、122路经过、停车便捷程度，综合评价交通便捷度一般</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3220</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945</v>
      </c>
      <c r="B64" s="3334" t="s">
        <v>2196</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946</v>
      </c>
      <c r="B65" s="3319" t="str">
        <f>估价对象房地状况!C24</f>
        <v>次干道-新华大道</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947</v>
      </c>
      <c r="B66" s="3335" t="s">
        <v>2194</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948</v>
      </c>
      <c r="B67" s="3337" t="str">
        <f>估价对象房地状况!C21</f>
        <v>估价对象所在区域公共配套设施齐备情况较差</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949</v>
      </c>
      <c r="B68" s="3337" t="str">
        <f>估价对象房地状况!C22</f>
        <v>六通</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950</v>
      </c>
      <c r="B69" s="3342" t="str">
        <f>估价对象房地状况!C20</f>
        <v>区域自然环境：；人文环境；综合评价环境状况较好</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953</v>
      </c>
      <c r="B70" s="3376">
        <f>1+E72</f>
        <v>1</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8"/>
      <c r="Q71" s="1798"/>
      <c r="R71" s="1798"/>
      <c r="S71" s="1798"/>
      <c r="T71" s="1798"/>
      <c r="U71" s="1798"/>
      <c r="V71" s="1798"/>
      <c r="W71" s="1798"/>
      <c r="X71" s="1798"/>
      <c r="Y71" s="1798"/>
      <c r="Z71" s="1798"/>
      <c r="AA71" s="1798"/>
      <c r="AB71" s="1798"/>
      <c r="AC71" s="1798"/>
      <c r="AD71" s="1798"/>
    </row>
    <row r="72" spans="1:36" s="3313" customFormat="1" ht="24">
      <c r="A72" s="3318" t="s">
        <v>954</v>
      </c>
      <c r="B72" s="3319">
        <f>估价对象房地状况!C15</f>
        <v>0</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8"/>
      <c r="Q72" s="1798"/>
      <c r="R72" s="1798"/>
      <c r="S72" s="1798"/>
      <c r="T72" s="1798"/>
      <c r="U72" s="1798"/>
      <c r="V72" s="1798"/>
      <c r="W72" s="1798"/>
      <c r="X72" s="1798"/>
      <c r="Y72" s="1798"/>
      <c r="Z72" s="1798"/>
      <c r="AA72" s="1798"/>
      <c r="AB72" s="1798"/>
      <c r="AC72" s="1798"/>
      <c r="AD72" s="1798"/>
    </row>
    <row r="73" spans="1:36" s="3313" customFormat="1" ht="48">
      <c r="A73" s="3318" t="s">
        <v>955</v>
      </c>
      <c r="B73" s="3319" t="str">
        <f>估价对象房地状况!C18</f>
        <v>估价对象周边道路状况一般、公共交通通达情况较差，有5、122路经过、停车便捷程度，综合评价交通便捷度一般</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8"/>
      <c r="Q73" s="1798"/>
      <c r="R73" s="1798"/>
      <c r="S73" s="1798"/>
      <c r="T73" s="1798"/>
      <c r="U73" s="1798"/>
      <c r="V73" s="1798"/>
      <c r="W73" s="1798"/>
      <c r="X73" s="1798"/>
      <c r="Y73" s="1798"/>
      <c r="Z73" s="1798"/>
      <c r="AA73" s="1798"/>
      <c r="AB73" s="1798"/>
      <c r="AC73" s="1798"/>
      <c r="AD73" s="1798"/>
    </row>
    <row r="74" spans="1:36" s="3313" customFormat="1" ht="36">
      <c r="A74" s="3301" t="s">
        <v>3220</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8" t="s">
        <v>956</v>
      </c>
      <c r="B75" s="3319" t="str">
        <f>估价对象房地状况!C24</f>
        <v>次干道-新华大道</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8"/>
      <c r="Q75" s="1798"/>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4" customFormat="1" ht="24">
      <c r="A76" s="3318" t="s">
        <v>948</v>
      </c>
      <c r="B76" s="3337" t="str">
        <f>估价对象房地状况!C21</f>
        <v>估价对象所在区域公共配套设施齐备情况较差</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8"/>
      <c r="Q76" s="1798"/>
      <c r="AE76" s="3313"/>
      <c r="AF76" s="3313"/>
      <c r="AG76" s="3313"/>
      <c r="AH76" s="3313"/>
      <c r="AI76" s="3313"/>
      <c r="AJ76" s="3313"/>
    </row>
    <row r="77" spans="1:36" s="1274" customFormat="1" ht="24">
      <c r="A77" s="3318" t="s">
        <v>949</v>
      </c>
      <c r="B77" s="3337" t="str">
        <f>估价对象房地状况!C22</f>
        <v>六通</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8"/>
      <c r="Q77" s="1798"/>
      <c r="AE77" s="3313"/>
      <c r="AF77" s="3313"/>
      <c r="AG77" s="3313"/>
      <c r="AH77" s="3313"/>
      <c r="AI77" s="3313"/>
      <c r="AJ77" s="3313"/>
    </row>
    <row r="78" spans="1:36" s="1274" customFormat="1" ht="24">
      <c r="A78" s="3318" t="s">
        <v>947</v>
      </c>
      <c r="B78" s="3335" t="s">
        <v>2194</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8"/>
      <c r="Q78" s="1798"/>
      <c r="AE78" s="3313"/>
      <c r="AF78" s="3313"/>
      <c r="AG78" s="3313"/>
      <c r="AH78" s="3313"/>
      <c r="AI78" s="3313"/>
      <c r="AJ78" s="3313"/>
    </row>
    <row r="79" spans="1:36" s="1274" customFormat="1" ht="24">
      <c r="A79" s="3318" t="s">
        <v>950</v>
      </c>
      <c r="B79" s="3325" t="str">
        <f>估价对象房地状况!C20</f>
        <v>区域自然环境：；人文环境；综合评价环境状况较好</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4"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4"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4"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4" customFormat="1" ht="24">
      <c r="A83" s="3318" t="s">
        <v>959</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4" customFormat="1" ht="36">
      <c r="A84" s="3318" t="s">
        <v>955</v>
      </c>
      <c r="B84" s="3319" t="str">
        <f>估价对象房地状况!G16</f>
        <v>估价对象周边道路状况、公共交通通达情况、停车便捷程度，综合评价交通便捷度较好</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4"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4"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4" customFormat="1" ht="24">
      <c r="A87" s="3318" t="s">
        <v>948</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4" customFormat="1" ht="24">
      <c r="A88" s="3318" t="s">
        <v>949</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4" customFormat="1" ht="24">
      <c r="A89" s="3318" t="s">
        <v>947</v>
      </c>
      <c r="B89" s="3335" t="s">
        <v>2194</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4" customFormat="1" ht="36.75" thickBot="1">
      <c r="A90" s="3338" t="s">
        <v>960</v>
      </c>
      <c r="B90" s="3348" t="str">
        <f>估价对象房地状况!G18</f>
        <v>该园区内是否有污染型企业，绿化情况，卫生条件，整体环境状况判断</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4" customFormat="1" ht="15">
      <c r="A91" s="3302" t="s">
        <v>3229</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4" customFormat="1" ht="24">
      <c r="A92" s="3303" t="s">
        <v>3230</v>
      </c>
      <c r="B92" s="3303"/>
      <c r="C92" s="3303" t="s">
        <v>3235</v>
      </c>
      <c r="D92" s="3303" t="s">
        <v>3222</v>
      </c>
      <c r="E92" s="346" t="s">
        <v>3223</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4" customFormat="1" ht="24">
      <c r="A93" s="3357" t="s">
        <v>3231</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4" customFormat="1" ht="36">
      <c r="A94" s="3303" t="s">
        <v>3232</v>
      </c>
      <c r="B94" s="3319" t="str">
        <f>估价对象房地状况!G16</f>
        <v>估价对象周边道路状况、公共交通通达情况、停车便捷程度，综合评价交通便捷度较好</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4" customFormat="1" ht="36">
      <c r="A95" s="3357" t="s">
        <v>3220</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4" customFormat="1" ht="36.75">
      <c r="A96" s="3303" t="s">
        <v>3224</v>
      </c>
      <c r="B96" s="3307" t="s">
        <v>3225</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4" customFormat="1" ht="24">
      <c r="A97" s="3303" t="s">
        <v>3226</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4" customFormat="1" ht="24">
      <c r="A98" s="3303" t="s">
        <v>3233</v>
      </c>
      <c r="B98" s="3334" t="s">
        <v>2194</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4" customFormat="1" ht="24">
      <c r="A99" s="3303" t="s">
        <v>3234</v>
      </c>
      <c r="B99" s="3319" t="str">
        <f>估价对象房地状况!C21</f>
        <v>估价对象所在区域公共配套设施齐备情况较差</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4" customFormat="1" ht="24">
      <c r="A100" s="3303" t="s">
        <v>3227</v>
      </c>
      <c r="B100" s="3319" t="str">
        <f>估价对象房地状况!C22</f>
        <v>六通</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4" customFormat="1" ht="24.75" thickBot="1">
      <c r="A101" s="3303" t="s">
        <v>3228</v>
      </c>
      <c r="B101" s="3325" t="str">
        <f>估价对象房地状况!C20</f>
        <v>区域自然环境：；人文环境；综合评价环境状况较好</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4"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4" customFormat="1">
      <c r="K103" s="3313"/>
      <c r="AD103" s="3313"/>
      <c r="AE103" s="3313"/>
      <c r="AF103" s="3313"/>
      <c r="AG103" s="3313"/>
      <c r="AH103" s="3313"/>
      <c r="AI103" s="3313"/>
    </row>
    <row r="104" spans="1:36">
      <c r="A104" s="3637" t="s">
        <v>1172</v>
      </c>
      <c r="B104" s="3637"/>
      <c r="C104" s="3637"/>
      <c r="D104" s="3637"/>
      <c r="E104" s="3637"/>
      <c r="F104" s="3637"/>
      <c r="G104" s="3637"/>
      <c r="H104" s="3637"/>
      <c r="I104" s="3637"/>
      <c r="J104" s="3637"/>
      <c r="K104" s="1000"/>
      <c r="L104" s="1000"/>
      <c r="M104" s="1000"/>
      <c r="N104" s="1000"/>
    </row>
    <row r="105" spans="1:36">
      <c r="A105" s="3638" t="s">
        <v>1161</v>
      </c>
      <c r="B105" s="3638" t="s">
        <v>1173</v>
      </c>
      <c r="C105" s="988" t="s">
        <v>1174</v>
      </c>
      <c r="D105" s="989"/>
      <c r="E105" s="989"/>
      <c r="F105" s="989"/>
      <c r="G105" s="989"/>
      <c r="H105" s="989"/>
      <c r="I105" s="989"/>
      <c r="J105" s="990"/>
      <c r="K105" s="983"/>
      <c r="L105" s="983"/>
      <c r="M105" s="983"/>
      <c r="N105" s="983"/>
    </row>
    <row r="106" spans="1:36">
      <c r="A106" s="3638"/>
      <c r="B106" s="3638"/>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44"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45"/>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45"/>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45"/>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45"/>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45"/>
      <c r="B112" s="991" t="s">
        <v>3236</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46"/>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34" t="s">
        <v>1175</v>
      </c>
      <c r="B114" s="3634"/>
      <c r="C114" s="3634"/>
      <c r="D114" s="3634"/>
      <c r="E114" s="3634"/>
      <c r="F114" s="3634"/>
      <c r="G114" s="3634"/>
      <c r="H114" s="3634"/>
      <c r="I114" s="3634"/>
      <c r="J114" s="3634"/>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60" t="s">
        <v>3237</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3238</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3239</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3240</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3221</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2759</v>
      </c>
      <c r="B1" s="962" t="s">
        <v>990</v>
      </c>
      <c r="C1" s="962" t="s">
        <v>1031</v>
      </c>
      <c r="D1" s="962" t="s">
        <v>1145</v>
      </c>
      <c r="E1" s="962" t="s">
        <v>853</v>
      </c>
      <c r="F1" s="962" t="s">
        <v>1152</v>
      </c>
      <c r="G1" s="962" t="s">
        <v>1153</v>
      </c>
      <c r="H1" s="962" t="s">
        <v>1154</v>
      </c>
      <c r="I1" s="962" t="s">
        <v>1155</v>
      </c>
      <c r="J1" s="962" t="s">
        <v>1156</v>
      </c>
      <c r="K1" s="962" t="s">
        <v>1157</v>
      </c>
      <c r="L1" s="962" t="s">
        <v>2760</v>
      </c>
      <c r="M1" s="963" t="s">
        <v>2761</v>
      </c>
    </row>
    <row r="2" spans="1:13">
      <c r="A2" s="2985" t="s">
        <v>2736</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2762</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2734</v>
      </c>
      <c r="B7" s="2999">
        <v>2.5</v>
      </c>
      <c r="C7" s="2999">
        <v>2.5</v>
      </c>
      <c r="D7" s="2999">
        <v>2</v>
      </c>
      <c r="E7" s="2999">
        <v>2</v>
      </c>
      <c r="F7" s="2999">
        <v>2</v>
      </c>
      <c r="G7" s="2999">
        <v>2</v>
      </c>
      <c r="H7" s="2999">
        <v>2</v>
      </c>
      <c r="I7" s="3000">
        <v>1.5</v>
      </c>
      <c r="J7" s="3000">
        <v>1.5</v>
      </c>
      <c r="K7" s="3000">
        <v>1.5</v>
      </c>
      <c r="L7" s="3000">
        <v>1.5</v>
      </c>
      <c r="M7" s="3001">
        <v>1.5</v>
      </c>
    </row>
    <row r="8" spans="1:13">
      <c r="A8" s="975" t="s">
        <v>2763</v>
      </c>
      <c r="B8" s="3002">
        <v>80</v>
      </c>
      <c r="C8" s="3002">
        <v>80</v>
      </c>
      <c r="D8" s="3002">
        <v>70</v>
      </c>
      <c r="E8" s="3002">
        <v>70</v>
      </c>
      <c r="F8" s="3002">
        <v>70</v>
      </c>
      <c r="G8" s="3002">
        <v>70</v>
      </c>
      <c r="H8" s="3002">
        <v>70</v>
      </c>
      <c r="I8" s="3002">
        <v>60</v>
      </c>
      <c r="J8" s="3002">
        <v>60</v>
      </c>
      <c r="K8" s="3002">
        <v>60</v>
      </c>
      <c r="L8" s="3002">
        <v>60</v>
      </c>
      <c r="M8" s="3003">
        <v>60</v>
      </c>
    </row>
    <row r="9" spans="1:13">
      <c r="A9" s="958" t="s">
        <v>2764</v>
      </c>
      <c r="B9" s="3004">
        <v>70</v>
      </c>
      <c r="C9" s="3004">
        <v>70</v>
      </c>
      <c r="D9" s="3004">
        <v>60</v>
      </c>
      <c r="E9" s="3004">
        <v>60</v>
      </c>
      <c r="F9" s="3004">
        <v>60</v>
      </c>
      <c r="G9" s="3004">
        <v>60</v>
      </c>
      <c r="H9" s="3004">
        <v>60</v>
      </c>
      <c r="I9" s="3004">
        <v>50</v>
      </c>
      <c r="J9" s="3004">
        <v>50</v>
      </c>
      <c r="K9" s="3004">
        <v>50</v>
      </c>
      <c r="L9" s="3004">
        <v>50</v>
      </c>
      <c r="M9" s="3005">
        <v>50</v>
      </c>
    </row>
    <row r="10" spans="1:13">
      <c r="A10" s="958" t="s">
        <v>2765</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2766</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2767</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2768</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2769</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2770</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2771</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2453</v>
      </c>
      <c r="B19" s="3008" t="s">
        <v>2454</v>
      </c>
      <c r="C19" s="3009" t="s">
        <v>2455</v>
      </c>
      <c r="D19" s="3010"/>
      <c r="E19" s="3004" t="s">
        <v>2456</v>
      </c>
      <c r="F19" s="981"/>
      <c r="G19" s="981"/>
    </row>
    <row r="20" spans="1:13">
      <c r="A20" s="3653" t="s">
        <v>2447</v>
      </c>
      <c r="B20" s="3656" t="s">
        <v>2457</v>
      </c>
      <c r="C20" s="3011" t="s">
        <v>2458</v>
      </c>
      <c r="D20" s="3012"/>
      <c r="E20" s="3013">
        <v>1</v>
      </c>
      <c r="F20" s="3014" t="s">
        <v>2459</v>
      </c>
      <c r="G20" s="983"/>
    </row>
    <row r="21" spans="1:13">
      <c r="A21" s="3654"/>
      <c r="B21" s="3652"/>
      <c r="C21" s="3015" t="s">
        <v>2460</v>
      </c>
      <c r="D21" s="3016"/>
      <c r="E21" s="3017">
        <v>1</v>
      </c>
      <c r="F21" s="3014" t="s">
        <v>2461</v>
      </c>
      <c r="G21" s="983"/>
    </row>
    <row r="22" spans="1:13">
      <c r="A22" s="3654"/>
      <c r="B22" s="3652"/>
      <c r="C22" s="3015" t="s">
        <v>2462</v>
      </c>
      <c r="D22" s="3016"/>
      <c r="E22" s="3017">
        <v>0.9</v>
      </c>
      <c r="F22" s="3014" t="s">
        <v>2463</v>
      </c>
      <c r="G22" s="983"/>
    </row>
    <row r="23" spans="1:13">
      <c r="A23" s="3654"/>
      <c r="B23" s="3652"/>
      <c r="C23" s="3015" t="s">
        <v>2464</v>
      </c>
      <c r="D23" s="3016"/>
      <c r="E23" s="3017">
        <v>0.9</v>
      </c>
      <c r="F23" s="3014" t="s">
        <v>2465</v>
      </c>
      <c r="G23" s="983"/>
    </row>
    <row r="24" spans="1:13">
      <c r="A24" s="3654"/>
      <c r="B24" s="3652"/>
      <c r="C24" s="3015" t="s">
        <v>2466</v>
      </c>
      <c r="D24" s="3016"/>
      <c r="E24" s="3017">
        <v>0.8</v>
      </c>
      <c r="F24" s="3014" t="s">
        <v>2467</v>
      </c>
      <c r="G24" s="983"/>
    </row>
    <row r="25" spans="1:13" ht="14.25" thickBot="1">
      <c r="A25" s="3655"/>
      <c r="B25" s="3657"/>
      <c r="C25" s="3018" t="s">
        <v>2468</v>
      </c>
      <c r="D25" s="3019"/>
      <c r="E25" s="3020">
        <v>0.8</v>
      </c>
      <c r="F25" s="3014" t="s">
        <v>2469</v>
      </c>
      <c r="G25" s="983"/>
    </row>
    <row r="26" spans="1:13" ht="14.25" thickBot="1">
      <c r="A26" s="3021" t="s">
        <v>2448</v>
      </c>
      <c r="B26" s="3022" t="s">
        <v>2457</v>
      </c>
      <c r="C26" s="3023" t="s">
        <v>2470</v>
      </c>
      <c r="D26" s="3024"/>
      <c r="E26" s="3025">
        <v>1</v>
      </c>
      <c r="F26" s="3014" t="s">
        <v>2471</v>
      </c>
      <c r="G26" s="983"/>
    </row>
    <row r="27" spans="1:13">
      <c r="A27" s="3658" t="s">
        <v>2452</v>
      </c>
      <c r="B27" s="3656" t="s">
        <v>2452</v>
      </c>
      <c r="C27" s="3011" t="s">
        <v>2472</v>
      </c>
      <c r="D27" s="3012"/>
      <c r="E27" s="3013">
        <v>1</v>
      </c>
      <c r="F27" s="3014" t="s">
        <v>2473</v>
      </c>
      <c r="G27" s="983"/>
    </row>
    <row r="28" spans="1:13">
      <c r="A28" s="3659"/>
      <c r="B28" s="3652"/>
      <c r="C28" s="3015" t="s">
        <v>2474</v>
      </c>
      <c r="D28" s="3016"/>
      <c r="E28" s="3017">
        <v>1</v>
      </c>
      <c r="F28" s="3014" t="s">
        <v>2475</v>
      </c>
      <c r="G28" s="983"/>
    </row>
    <row r="29" spans="1:13">
      <c r="A29" s="3659"/>
      <c r="B29" s="3652"/>
      <c r="C29" s="3015" t="s">
        <v>2476</v>
      </c>
      <c r="D29" s="3016"/>
      <c r="E29" s="3017">
        <v>0.8</v>
      </c>
      <c r="F29" s="3014" t="s">
        <v>2477</v>
      </c>
      <c r="G29" s="983"/>
    </row>
    <row r="30" spans="1:13">
      <c r="A30" s="3659"/>
      <c r="B30" s="3652"/>
      <c r="C30" s="3015" t="s">
        <v>2478</v>
      </c>
      <c r="D30" s="3016"/>
      <c r="E30" s="3017">
        <v>0.8</v>
      </c>
      <c r="F30" s="3014" t="s">
        <v>2479</v>
      </c>
      <c r="G30" s="983"/>
    </row>
    <row r="31" spans="1:13">
      <c r="A31" s="3659"/>
      <c r="B31" s="3652"/>
      <c r="C31" s="3015" t="s">
        <v>2480</v>
      </c>
      <c r="D31" s="3016"/>
      <c r="E31" s="3017">
        <v>0.8</v>
      </c>
      <c r="F31" s="3014" t="s">
        <v>2481</v>
      </c>
      <c r="G31" s="983"/>
    </row>
    <row r="32" spans="1:13">
      <c r="A32" s="3659"/>
      <c r="B32" s="3652"/>
      <c r="C32" s="3015" t="s">
        <v>2482</v>
      </c>
      <c r="D32" s="3016"/>
      <c r="E32" s="3017">
        <v>0.7</v>
      </c>
      <c r="F32" s="3014" t="s">
        <v>2483</v>
      </c>
      <c r="G32" s="983"/>
    </row>
    <row r="33" spans="1:7">
      <c r="A33" s="3659"/>
      <c r="B33" s="3652"/>
      <c r="C33" s="3015" t="s">
        <v>2484</v>
      </c>
      <c r="D33" s="3016"/>
      <c r="E33" s="3017">
        <v>0.8</v>
      </c>
      <c r="F33" s="3014" t="s">
        <v>2485</v>
      </c>
      <c r="G33" s="983"/>
    </row>
    <row r="34" spans="1:7">
      <c r="A34" s="3659"/>
      <c r="B34" s="3652"/>
      <c r="C34" s="3015" t="s">
        <v>2486</v>
      </c>
      <c r="D34" s="3016"/>
      <c r="E34" s="3017">
        <v>0.6</v>
      </c>
      <c r="F34" s="3014" t="s">
        <v>2487</v>
      </c>
      <c r="G34" s="983"/>
    </row>
    <row r="35" spans="1:7">
      <c r="A35" s="3659"/>
      <c r="B35" s="3652"/>
      <c r="C35" s="3015" t="s">
        <v>2488</v>
      </c>
      <c r="D35" s="3016"/>
      <c r="E35" s="3017">
        <v>0.2</v>
      </c>
      <c r="F35" s="3014" t="s">
        <v>2489</v>
      </c>
      <c r="G35" s="983"/>
    </row>
    <row r="36" spans="1:7">
      <c r="A36" s="3659"/>
      <c r="B36" s="3652"/>
      <c r="C36" s="3015" t="s">
        <v>2490</v>
      </c>
      <c r="D36" s="3016"/>
      <c r="E36" s="3017">
        <v>0.2</v>
      </c>
      <c r="F36" s="3014" t="s">
        <v>2491</v>
      </c>
      <c r="G36" s="983"/>
    </row>
    <row r="37" spans="1:7">
      <c r="A37" s="3659"/>
      <c r="B37" s="3650" t="s">
        <v>2492</v>
      </c>
      <c r="C37" s="3015" t="s">
        <v>2493</v>
      </c>
      <c r="D37" s="3016"/>
      <c r="E37" s="3017">
        <v>0.6</v>
      </c>
      <c r="F37" s="3014" t="s">
        <v>2494</v>
      </c>
      <c r="G37" s="983"/>
    </row>
    <row r="38" spans="1:7">
      <c r="A38" s="3659"/>
      <c r="B38" s="3652"/>
      <c r="C38" s="3015" t="s">
        <v>2495</v>
      </c>
      <c r="D38" s="3016"/>
      <c r="E38" s="3017">
        <v>0.6</v>
      </c>
      <c r="F38" s="3014" t="s">
        <v>2496</v>
      </c>
      <c r="G38" s="983"/>
    </row>
    <row r="39" spans="1:7" ht="14.25" thickBot="1">
      <c r="A39" s="3660"/>
      <c r="B39" s="3657"/>
      <c r="C39" s="3018" t="s">
        <v>2497</v>
      </c>
      <c r="D39" s="3019"/>
      <c r="E39" s="3020">
        <v>0.6</v>
      </c>
      <c r="F39" s="3014" t="s">
        <v>2498</v>
      </c>
      <c r="G39" s="983"/>
    </row>
    <row r="40" spans="1:7" ht="14.25" thickBot="1">
      <c r="A40" s="3021" t="s">
        <v>2449</v>
      </c>
      <c r="B40" s="3022" t="s">
        <v>2449</v>
      </c>
      <c r="C40" s="3023" t="s">
        <v>2499</v>
      </c>
      <c r="D40" s="3024"/>
      <c r="E40" s="3025">
        <v>1</v>
      </c>
      <c r="F40" s="3014" t="s">
        <v>2500</v>
      </c>
      <c r="G40" s="983"/>
    </row>
    <row r="41" spans="1:7">
      <c r="A41" s="3653" t="s">
        <v>2450</v>
      </c>
      <c r="B41" s="3656" t="s">
        <v>2501</v>
      </c>
      <c r="C41" s="3011" t="s">
        <v>2502</v>
      </c>
      <c r="D41" s="3012"/>
      <c r="E41" s="3013">
        <v>1</v>
      </c>
      <c r="F41" s="3014" t="s">
        <v>2503</v>
      </c>
      <c r="G41" s="983"/>
    </row>
    <row r="42" spans="1:7">
      <c r="A42" s="3654"/>
      <c r="B42" s="3652"/>
      <c r="C42" s="3015" t="s">
        <v>2504</v>
      </c>
      <c r="D42" s="3016"/>
      <c r="E42" s="3017">
        <v>1</v>
      </c>
      <c r="F42" s="3014" t="s">
        <v>2505</v>
      </c>
      <c r="G42" s="983"/>
    </row>
    <row r="43" spans="1:7">
      <c r="A43" s="3654"/>
      <c r="B43" s="3651"/>
      <c r="C43" s="3015" t="s">
        <v>2506</v>
      </c>
      <c r="D43" s="3016"/>
      <c r="E43" s="3017">
        <v>1.5</v>
      </c>
      <c r="F43" s="3014" t="s">
        <v>2507</v>
      </c>
      <c r="G43" s="983"/>
    </row>
    <row r="44" spans="1:7">
      <c r="A44" s="3654"/>
      <c r="B44" s="3026" t="s">
        <v>2452</v>
      </c>
      <c r="C44" s="3015" t="s">
        <v>2451</v>
      </c>
      <c r="D44" s="3016"/>
      <c r="E44" s="3017">
        <v>2</v>
      </c>
      <c r="F44" s="3014" t="s">
        <v>2508</v>
      </c>
      <c r="G44" s="983"/>
    </row>
    <row r="45" spans="1:7">
      <c r="A45" s="3654"/>
      <c r="B45" s="3650" t="s">
        <v>2509</v>
      </c>
      <c r="C45" s="3015" t="s">
        <v>2510</v>
      </c>
      <c r="D45" s="3016"/>
      <c r="E45" s="3017">
        <v>1</v>
      </c>
      <c r="F45" s="3014" t="s">
        <v>2511</v>
      </c>
      <c r="G45" s="983"/>
    </row>
    <row r="46" spans="1:7">
      <c r="A46" s="3654"/>
      <c r="B46" s="3652"/>
      <c r="C46" s="3015" t="s">
        <v>2512</v>
      </c>
      <c r="D46" s="3016"/>
      <c r="E46" s="3017">
        <v>1</v>
      </c>
      <c r="F46" s="3014" t="s">
        <v>2513</v>
      </c>
      <c r="G46" s="983"/>
    </row>
    <row r="47" spans="1:7">
      <c r="A47" s="3654"/>
      <c r="B47" s="3652"/>
      <c r="C47" s="3015" t="s">
        <v>2514</v>
      </c>
      <c r="D47" s="3016"/>
      <c r="E47" s="3017">
        <v>1</v>
      </c>
      <c r="F47" s="3014" t="s">
        <v>2515</v>
      </c>
      <c r="G47" s="983"/>
    </row>
    <row r="48" spans="1:7">
      <c r="A48" s="3654"/>
      <c r="B48" s="3652"/>
      <c r="C48" s="3015" t="s">
        <v>2516</v>
      </c>
      <c r="D48" s="3016"/>
      <c r="E48" s="3017">
        <v>1</v>
      </c>
      <c r="F48" s="3014" t="s">
        <v>2517</v>
      </c>
      <c r="G48" s="983"/>
    </row>
    <row r="49" spans="1:9">
      <c r="A49" s="3654"/>
      <c r="B49" s="3652"/>
      <c r="C49" s="3015" t="s">
        <v>2518</v>
      </c>
      <c r="D49" s="3016"/>
      <c r="E49" s="3017">
        <v>1</v>
      </c>
      <c r="F49" s="3014" t="s">
        <v>2519</v>
      </c>
      <c r="G49" s="983"/>
    </row>
    <row r="50" spans="1:9">
      <c r="A50" s="3654"/>
      <c r="B50" s="3652"/>
      <c r="C50" s="3015" t="s">
        <v>2520</v>
      </c>
      <c r="D50" s="3016"/>
      <c r="E50" s="3017">
        <v>1</v>
      </c>
      <c r="F50" s="3014" t="s">
        <v>2521</v>
      </c>
      <c r="G50" s="983"/>
    </row>
    <row r="51" spans="1:9" ht="14.25" thickBot="1">
      <c r="A51" s="3655"/>
      <c r="B51" s="3657"/>
      <c r="C51" s="3018" t="s">
        <v>2522</v>
      </c>
      <c r="D51" s="3019"/>
      <c r="E51" s="3020">
        <v>1</v>
      </c>
      <c r="F51" s="3014" t="s">
        <v>2523</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2772</v>
      </c>
      <c r="F56" s="980" t="s">
        <v>2772</v>
      </c>
      <c r="G56" s="980" t="s">
        <v>2772</v>
      </c>
      <c r="I56" s="957"/>
    </row>
    <row r="57" spans="1:9">
      <c r="A57" s="997" t="s">
        <v>836</v>
      </c>
      <c r="B57" s="3004">
        <v>0.7</v>
      </c>
      <c r="C57" s="3004">
        <v>0.4</v>
      </c>
      <c r="D57" s="3004">
        <v>0.3</v>
      </c>
      <c r="E57" s="3010">
        <v>0.3</v>
      </c>
      <c r="F57" s="3004">
        <v>0.3</v>
      </c>
      <c r="G57" s="3004">
        <v>0.2</v>
      </c>
      <c r="I57" s="957"/>
    </row>
    <row r="58" spans="1:9">
      <c r="A58" s="997" t="s">
        <v>837</v>
      </c>
      <c r="B58" s="3004">
        <v>0.7</v>
      </c>
      <c r="C58" s="3004">
        <v>0.4</v>
      </c>
      <c r="D58" s="3004">
        <v>0.3</v>
      </c>
      <c r="E58" s="3004">
        <v>0.3</v>
      </c>
      <c r="F58" s="3004">
        <v>0.3</v>
      </c>
      <c r="G58" s="3004">
        <v>0.2</v>
      </c>
      <c r="I58" s="957"/>
    </row>
    <row r="59" spans="1:9">
      <c r="A59" s="997" t="s">
        <v>838</v>
      </c>
      <c r="B59" s="3004">
        <v>0.6</v>
      </c>
      <c r="C59" s="3004">
        <v>0.3</v>
      </c>
      <c r="D59" s="3004">
        <v>0.25</v>
      </c>
      <c r="E59" s="3004">
        <v>0.25</v>
      </c>
      <c r="F59" s="3004">
        <v>0.25</v>
      </c>
      <c r="G59" s="3004">
        <v>0.15</v>
      </c>
      <c r="I59" s="957"/>
    </row>
    <row r="60" spans="1:9">
      <c r="A60" s="997" t="s">
        <v>839</v>
      </c>
      <c r="B60" s="3004">
        <v>0.6</v>
      </c>
      <c r="C60" s="3004">
        <v>0.3</v>
      </c>
      <c r="D60" s="3004">
        <v>0.25</v>
      </c>
      <c r="E60" s="3004">
        <v>0.25</v>
      </c>
      <c r="F60" s="3004">
        <v>0.25</v>
      </c>
      <c r="G60" s="3004">
        <v>0.15</v>
      </c>
      <c r="I60" s="957"/>
    </row>
    <row r="61" spans="1:9" s="973" customFormat="1">
      <c r="A61" s="997" t="s">
        <v>840</v>
      </c>
      <c r="B61" s="3004">
        <v>0.6</v>
      </c>
      <c r="C61" s="3004">
        <v>0.3</v>
      </c>
      <c r="D61" s="3004">
        <v>0.25</v>
      </c>
      <c r="E61" s="3004">
        <v>0.25</v>
      </c>
      <c r="F61" s="3004">
        <v>0.25</v>
      </c>
      <c r="G61" s="3004">
        <v>0.15</v>
      </c>
    </row>
    <row r="62" spans="1:9" s="973" customFormat="1">
      <c r="A62" s="997" t="s">
        <v>841</v>
      </c>
      <c r="B62" s="3004">
        <v>0.6</v>
      </c>
      <c r="C62" s="3004">
        <v>0.3</v>
      </c>
      <c r="D62" s="3004">
        <v>0.25</v>
      </c>
      <c r="E62" s="3004">
        <v>0.25</v>
      </c>
      <c r="F62" s="3004">
        <v>0.25</v>
      </c>
      <c r="G62" s="3004">
        <v>0.15</v>
      </c>
    </row>
    <row r="63" spans="1:9" s="973" customFormat="1">
      <c r="A63" s="997" t="s">
        <v>842</v>
      </c>
      <c r="B63" s="3004">
        <v>0.6</v>
      </c>
      <c r="C63" s="3004">
        <v>0.3</v>
      </c>
      <c r="D63" s="3004">
        <v>0.25</v>
      </c>
      <c r="E63" s="3004">
        <v>0.25</v>
      </c>
      <c r="F63" s="3004">
        <v>0.25</v>
      </c>
      <c r="G63" s="3004">
        <v>0.15</v>
      </c>
    </row>
    <row r="64" spans="1:9" s="973" customFormat="1">
      <c r="A64" s="997" t="s">
        <v>843</v>
      </c>
      <c r="B64" s="3004">
        <v>0.5</v>
      </c>
      <c r="C64" s="3004">
        <v>0.2</v>
      </c>
      <c r="D64" s="3004">
        <v>0.2</v>
      </c>
      <c r="E64" s="3004">
        <v>0.2</v>
      </c>
      <c r="F64" s="3004">
        <v>0.2</v>
      </c>
      <c r="G64" s="3004">
        <v>0.1</v>
      </c>
    </row>
    <row r="65" spans="1:8" s="973" customFormat="1">
      <c r="A65" s="997" t="s">
        <v>844</v>
      </c>
      <c r="B65" s="3004">
        <v>0.5</v>
      </c>
      <c r="C65" s="3004">
        <v>0.2</v>
      </c>
      <c r="D65" s="3004">
        <v>0.2</v>
      </c>
      <c r="E65" s="3004">
        <v>0.2</v>
      </c>
      <c r="F65" s="3004">
        <v>0.2</v>
      </c>
      <c r="G65" s="3004">
        <v>0.1</v>
      </c>
    </row>
    <row r="66" spans="1:8" s="973" customFormat="1">
      <c r="A66" s="997" t="s">
        <v>845</v>
      </c>
      <c r="B66" s="3004">
        <v>0.5</v>
      </c>
      <c r="C66" s="3004">
        <v>0.2</v>
      </c>
      <c r="D66" s="3004">
        <v>0.2</v>
      </c>
      <c r="E66" s="3004">
        <v>0.2</v>
      </c>
      <c r="F66" s="3004">
        <v>0.2</v>
      </c>
      <c r="G66" s="3004">
        <v>0.1</v>
      </c>
    </row>
    <row r="67" spans="1:8" s="973" customFormat="1">
      <c r="A67" s="997" t="s">
        <v>846</v>
      </c>
      <c r="B67" s="3004">
        <v>0.5</v>
      </c>
      <c r="C67" s="3004">
        <v>0.2</v>
      </c>
      <c r="D67" s="3004">
        <v>0.2</v>
      </c>
      <c r="E67" s="3004">
        <v>0.2</v>
      </c>
      <c r="F67" s="3004">
        <v>0.2</v>
      </c>
      <c r="G67" s="3004">
        <v>0.1</v>
      </c>
    </row>
    <row r="68" spans="1:8" s="973" customFormat="1">
      <c r="A68" s="997" t="s">
        <v>847</v>
      </c>
      <c r="B68" s="3004">
        <v>0.5</v>
      </c>
      <c r="C68" s="3004">
        <v>0.2</v>
      </c>
      <c r="D68" s="3004">
        <v>0.2</v>
      </c>
      <c r="E68" s="3004">
        <v>0.2</v>
      </c>
      <c r="F68" s="3004">
        <v>0.2</v>
      </c>
      <c r="G68" s="3004">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2524</v>
      </c>
      <c r="D72" s="999"/>
      <c r="E72" s="987" t="s">
        <v>1159</v>
      </c>
      <c r="F72" s="999" t="s">
        <v>1159</v>
      </c>
    </row>
    <row r="73" spans="1:8" s="973" customFormat="1">
      <c r="A73" s="3026">
        <v>1</v>
      </c>
      <c r="B73" s="3650" t="s">
        <v>2525</v>
      </c>
      <c r="C73" s="3004" t="s">
        <v>2526</v>
      </c>
      <c r="D73" s="3004" t="s">
        <v>2527</v>
      </c>
      <c r="E73" s="3027">
        <v>0.2</v>
      </c>
      <c r="F73" s="3026">
        <v>25</v>
      </c>
      <c r="H73" s="973">
        <f>SUMIF(C71:C139,基准地价!C8,E71:E139)</f>
        <v>0</v>
      </c>
    </row>
    <row r="74" spans="1:8" s="973" customFormat="1" ht="24">
      <c r="A74" s="3026">
        <v>2</v>
      </c>
      <c r="B74" s="3652"/>
      <c r="C74" s="3004" t="s">
        <v>2528</v>
      </c>
      <c r="D74" s="3004" t="s">
        <v>2529</v>
      </c>
      <c r="E74" s="3027">
        <v>0.2</v>
      </c>
      <c r="F74" s="3026">
        <v>25</v>
      </c>
    </row>
    <row r="75" spans="1:8" s="973" customFormat="1" ht="24">
      <c r="A75" s="3026">
        <v>3</v>
      </c>
      <c r="B75" s="3652"/>
      <c r="C75" s="3004" t="s">
        <v>2530</v>
      </c>
      <c r="D75" s="3004" t="s">
        <v>2531</v>
      </c>
      <c r="E75" s="3027">
        <v>0.2</v>
      </c>
      <c r="F75" s="3026">
        <v>25</v>
      </c>
    </row>
    <row r="76" spans="1:8" s="973" customFormat="1">
      <c r="A76" s="3026">
        <v>4</v>
      </c>
      <c r="B76" s="3652"/>
      <c r="C76" s="3004" t="s">
        <v>2532</v>
      </c>
      <c r="D76" s="3004" t="s">
        <v>2533</v>
      </c>
      <c r="E76" s="3027">
        <v>0.15</v>
      </c>
      <c r="F76" s="3026">
        <v>20</v>
      </c>
    </row>
    <row r="77" spans="1:8" s="973" customFormat="1" ht="24">
      <c r="A77" s="3026">
        <v>5</v>
      </c>
      <c r="B77" s="3652"/>
      <c r="C77" s="3004" t="s">
        <v>2534</v>
      </c>
      <c r="D77" s="3004" t="s">
        <v>2535</v>
      </c>
      <c r="E77" s="3027">
        <v>0.15</v>
      </c>
      <c r="F77" s="3026">
        <v>20</v>
      </c>
    </row>
    <row r="78" spans="1:8" s="973" customFormat="1" ht="24">
      <c r="A78" s="3026">
        <v>6</v>
      </c>
      <c r="B78" s="3652"/>
      <c r="C78" s="3004" t="s">
        <v>2536</v>
      </c>
      <c r="D78" s="3004" t="s">
        <v>2537</v>
      </c>
      <c r="E78" s="3027">
        <v>0.15</v>
      </c>
      <c r="F78" s="3026">
        <v>20</v>
      </c>
    </row>
    <row r="79" spans="1:8" s="973" customFormat="1" ht="24">
      <c r="A79" s="3026">
        <v>7</v>
      </c>
      <c r="B79" s="3652"/>
      <c r="C79" s="3004" t="s">
        <v>2538</v>
      </c>
      <c r="D79" s="3004" t="s">
        <v>2539</v>
      </c>
      <c r="E79" s="3027">
        <v>0.15</v>
      </c>
      <c r="F79" s="3026">
        <v>20</v>
      </c>
    </row>
    <row r="80" spans="1:8" s="973" customFormat="1" ht="24">
      <c r="A80" s="3026">
        <v>8</v>
      </c>
      <c r="B80" s="3652"/>
      <c r="C80" s="3004" t="s">
        <v>2540</v>
      </c>
      <c r="D80" s="3004" t="s">
        <v>2541</v>
      </c>
      <c r="E80" s="3027">
        <v>0.1</v>
      </c>
      <c r="F80" s="3026">
        <v>15</v>
      </c>
    </row>
    <row r="81" spans="1:6" s="973" customFormat="1" ht="24">
      <c r="A81" s="3026">
        <v>9</v>
      </c>
      <c r="B81" s="3652"/>
      <c r="C81" s="3004" t="s">
        <v>2542</v>
      </c>
      <c r="D81" s="3004" t="s">
        <v>2543</v>
      </c>
      <c r="E81" s="3027">
        <v>0.1</v>
      </c>
      <c r="F81" s="3026">
        <v>15</v>
      </c>
    </row>
    <row r="82" spans="1:6" s="973" customFormat="1" ht="24">
      <c r="A82" s="3026">
        <v>10</v>
      </c>
      <c r="B82" s="3652"/>
      <c r="C82" s="3004" t="s">
        <v>2544</v>
      </c>
      <c r="D82" s="3004" t="s">
        <v>2545</v>
      </c>
      <c r="E82" s="3027">
        <v>0.1</v>
      </c>
      <c r="F82" s="3026">
        <v>15</v>
      </c>
    </row>
    <row r="83" spans="1:6" s="973" customFormat="1" ht="24">
      <c r="A83" s="3026">
        <v>11</v>
      </c>
      <c r="B83" s="3652"/>
      <c r="C83" s="3004" t="s">
        <v>2546</v>
      </c>
      <c r="D83" s="3004" t="s">
        <v>2547</v>
      </c>
      <c r="E83" s="3027">
        <v>0.1</v>
      </c>
      <c r="F83" s="3026">
        <v>15</v>
      </c>
    </row>
    <row r="84" spans="1:6" s="973" customFormat="1" ht="24">
      <c r="A84" s="3026">
        <v>12</v>
      </c>
      <c r="B84" s="3652"/>
      <c r="C84" s="3004" t="s">
        <v>2548</v>
      </c>
      <c r="D84" s="3004" t="s">
        <v>2549</v>
      </c>
      <c r="E84" s="3027">
        <v>0.1</v>
      </c>
      <c r="F84" s="3026">
        <v>15</v>
      </c>
    </row>
    <row r="85" spans="1:6" s="973" customFormat="1">
      <c r="A85" s="3026">
        <v>13</v>
      </c>
      <c r="B85" s="3652"/>
      <c r="C85" s="3004" t="s">
        <v>2550</v>
      </c>
      <c r="D85" s="3004" t="s">
        <v>2551</v>
      </c>
      <c r="E85" s="3027">
        <v>0.1</v>
      </c>
      <c r="F85" s="3026">
        <v>15</v>
      </c>
    </row>
    <row r="86" spans="1:6" s="973" customFormat="1">
      <c r="A86" s="3026">
        <v>14</v>
      </c>
      <c r="B86" s="3652"/>
      <c r="C86" s="3004" t="s">
        <v>2552</v>
      </c>
      <c r="D86" s="3004" t="s">
        <v>2553</v>
      </c>
      <c r="E86" s="3027">
        <v>0.1</v>
      </c>
      <c r="F86" s="3026">
        <v>15</v>
      </c>
    </row>
    <row r="87" spans="1:6" s="973" customFormat="1">
      <c r="A87" s="3026">
        <v>15</v>
      </c>
      <c r="B87" s="3652"/>
      <c r="C87" s="3004" t="s">
        <v>2554</v>
      </c>
      <c r="D87" s="3004" t="s">
        <v>2555</v>
      </c>
      <c r="E87" s="3027">
        <v>0.1</v>
      </c>
      <c r="F87" s="3026">
        <v>15</v>
      </c>
    </row>
    <row r="88" spans="1:6" s="973" customFormat="1" ht="24">
      <c r="A88" s="3026">
        <v>16</v>
      </c>
      <c r="B88" s="3652"/>
      <c r="C88" s="3004" t="s">
        <v>2556</v>
      </c>
      <c r="D88" s="3004" t="s">
        <v>2557</v>
      </c>
      <c r="E88" s="3027">
        <v>0.1</v>
      </c>
      <c r="F88" s="3026">
        <v>15</v>
      </c>
    </row>
    <row r="89" spans="1:6" s="973" customFormat="1" ht="24">
      <c r="A89" s="3026">
        <v>17</v>
      </c>
      <c r="B89" s="3651"/>
      <c r="C89" s="3004" t="s">
        <v>2558</v>
      </c>
      <c r="D89" s="3004" t="s">
        <v>2559</v>
      </c>
      <c r="E89" s="3027">
        <v>0.1</v>
      </c>
      <c r="F89" s="3026">
        <v>15</v>
      </c>
    </row>
    <row r="90" spans="1:6" s="973" customFormat="1">
      <c r="A90" s="3026">
        <v>18</v>
      </c>
      <c r="B90" s="3650" t="s">
        <v>2560</v>
      </c>
      <c r="C90" s="3004" t="s">
        <v>2561</v>
      </c>
      <c r="D90" s="3004" t="s">
        <v>2562</v>
      </c>
      <c r="E90" s="3027">
        <v>0.2</v>
      </c>
      <c r="F90" s="3026">
        <v>25</v>
      </c>
    </row>
    <row r="91" spans="1:6" s="973" customFormat="1" ht="24">
      <c r="A91" s="3026">
        <v>19</v>
      </c>
      <c r="B91" s="3652"/>
      <c r="C91" s="3004" t="s">
        <v>2563</v>
      </c>
      <c r="D91" s="3004" t="s">
        <v>2564</v>
      </c>
      <c r="E91" s="3027">
        <v>0.2</v>
      </c>
      <c r="F91" s="3026">
        <v>25</v>
      </c>
    </row>
    <row r="92" spans="1:6" s="973" customFormat="1">
      <c r="A92" s="3026">
        <v>20</v>
      </c>
      <c r="B92" s="3652"/>
      <c r="C92" s="3004" t="s">
        <v>2565</v>
      </c>
      <c r="D92" s="3004" t="s">
        <v>2566</v>
      </c>
      <c r="E92" s="3027">
        <v>0.15</v>
      </c>
      <c r="F92" s="3026">
        <v>20</v>
      </c>
    </row>
    <row r="93" spans="1:6" s="973" customFormat="1" ht="24">
      <c r="A93" s="3026">
        <v>21</v>
      </c>
      <c r="B93" s="3652"/>
      <c r="C93" s="3004" t="s">
        <v>2567</v>
      </c>
      <c r="D93" s="3004" t="s">
        <v>2568</v>
      </c>
      <c r="E93" s="3027">
        <v>0.15</v>
      </c>
      <c r="F93" s="3026">
        <v>20</v>
      </c>
    </row>
    <row r="94" spans="1:6" s="973" customFormat="1" ht="24">
      <c r="A94" s="3026">
        <v>22</v>
      </c>
      <c r="B94" s="3652"/>
      <c r="C94" s="3004" t="s">
        <v>2569</v>
      </c>
      <c r="D94" s="3004" t="s">
        <v>2570</v>
      </c>
      <c r="E94" s="3027">
        <v>0.15</v>
      </c>
      <c r="F94" s="3026">
        <v>20</v>
      </c>
    </row>
    <row r="95" spans="1:6" s="973" customFormat="1" ht="36">
      <c r="A95" s="3026">
        <v>23</v>
      </c>
      <c r="B95" s="3652"/>
      <c r="C95" s="3004" t="s">
        <v>2571</v>
      </c>
      <c r="D95" s="3004" t="s">
        <v>2572</v>
      </c>
      <c r="E95" s="3027">
        <v>0.15</v>
      </c>
      <c r="F95" s="3026">
        <v>20</v>
      </c>
    </row>
    <row r="96" spans="1:6" s="973" customFormat="1">
      <c r="A96" s="3026">
        <v>24</v>
      </c>
      <c r="B96" s="3652"/>
      <c r="C96" s="3004" t="s">
        <v>2573</v>
      </c>
      <c r="D96" s="3004" t="s">
        <v>2574</v>
      </c>
      <c r="E96" s="3027">
        <v>0.1</v>
      </c>
      <c r="F96" s="3026">
        <v>15</v>
      </c>
    </row>
    <row r="97" spans="1:6" s="973" customFormat="1" ht="24">
      <c r="A97" s="3026">
        <v>25</v>
      </c>
      <c r="B97" s="3652"/>
      <c r="C97" s="3004" t="s">
        <v>2575</v>
      </c>
      <c r="D97" s="3004" t="s">
        <v>2576</v>
      </c>
      <c r="E97" s="3027">
        <v>0.1</v>
      </c>
      <c r="F97" s="3026">
        <v>15</v>
      </c>
    </row>
    <row r="98" spans="1:6" s="973" customFormat="1" ht="24">
      <c r="A98" s="3026">
        <v>26</v>
      </c>
      <c r="B98" s="3652"/>
      <c r="C98" s="3004" t="s">
        <v>2577</v>
      </c>
      <c r="D98" s="3004" t="s">
        <v>2578</v>
      </c>
      <c r="E98" s="3027">
        <v>0.1</v>
      </c>
      <c r="F98" s="3026">
        <v>15</v>
      </c>
    </row>
    <row r="99" spans="1:6" s="973" customFormat="1" ht="24">
      <c r="A99" s="3026">
        <v>27</v>
      </c>
      <c r="B99" s="3652"/>
      <c r="C99" s="3004" t="s">
        <v>2579</v>
      </c>
      <c r="D99" s="3004" t="s">
        <v>2580</v>
      </c>
      <c r="E99" s="3027">
        <v>0.1</v>
      </c>
      <c r="F99" s="3026">
        <v>15</v>
      </c>
    </row>
    <row r="100" spans="1:6" s="973" customFormat="1" ht="24">
      <c r="A100" s="3026">
        <v>28</v>
      </c>
      <c r="B100" s="3652"/>
      <c r="C100" s="3004" t="s">
        <v>2581</v>
      </c>
      <c r="D100" s="3004" t="s">
        <v>2582</v>
      </c>
      <c r="E100" s="3027">
        <v>0.1</v>
      </c>
      <c r="F100" s="3026">
        <v>15</v>
      </c>
    </row>
    <row r="101" spans="1:6" s="973" customFormat="1" ht="24">
      <c r="A101" s="3026">
        <v>29</v>
      </c>
      <c r="B101" s="3652"/>
      <c r="C101" s="3004" t="s">
        <v>2583</v>
      </c>
      <c r="D101" s="3004" t="s">
        <v>2584</v>
      </c>
      <c r="E101" s="3027">
        <v>0.1</v>
      </c>
      <c r="F101" s="3026">
        <v>15</v>
      </c>
    </row>
    <row r="102" spans="1:6" s="973" customFormat="1" ht="24">
      <c r="A102" s="3026">
        <v>30</v>
      </c>
      <c r="B102" s="3652"/>
      <c r="C102" s="3004" t="s">
        <v>2585</v>
      </c>
      <c r="D102" s="3004" t="s">
        <v>2586</v>
      </c>
      <c r="E102" s="3027">
        <v>0.1</v>
      </c>
      <c r="F102" s="3026">
        <v>15</v>
      </c>
    </row>
    <row r="103" spans="1:6" s="973" customFormat="1" ht="24">
      <c r="A103" s="3026">
        <v>31</v>
      </c>
      <c r="B103" s="3652"/>
      <c r="C103" s="3004" t="s">
        <v>2587</v>
      </c>
      <c r="D103" s="3004" t="s">
        <v>2588</v>
      </c>
      <c r="E103" s="3027">
        <v>0.1</v>
      </c>
      <c r="F103" s="3026">
        <v>15</v>
      </c>
    </row>
    <row r="104" spans="1:6" s="973" customFormat="1" ht="24">
      <c r="A104" s="3026">
        <v>32</v>
      </c>
      <c r="B104" s="3652"/>
      <c r="C104" s="3004" t="s">
        <v>2589</v>
      </c>
      <c r="D104" s="3004" t="s">
        <v>2590</v>
      </c>
      <c r="E104" s="3027">
        <v>0.1</v>
      </c>
      <c r="F104" s="3026">
        <v>15</v>
      </c>
    </row>
    <row r="105" spans="1:6" s="973" customFormat="1" ht="24">
      <c r="A105" s="3026">
        <v>33</v>
      </c>
      <c r="B105" s="3652"/>
      <c r="C105" s="3004" t="s">
        <v>2591</v>
      </c>
      <c r="D105" s="3004" t="s">
        <v>2592</v>
      </c>
      <c r="E105" s="3027">
        <v>0.1</v>
      </c>
      <c r="F105" s="3026">
        <v>15</v>
      </c>
    </row>
    <row r="106" spans="1:6" s="973" customFormat="1" ht="24">
      <c r="A106" s="3026">
        <v>34</v>
      </c>
      <c r="B106" s="3651"/>
      <c r="C106" s="3004" t="s">
        <v>2593</v>
      </c>
      <c r="D106" s="3004" t="s">
        <v>2594</v>
      </c>
      <c r="E106" s="3027">
        <v>0.1</v>
      </c>
      <c r="F106" s="3026">
        <v>15</v>
      </c>
    </row>
    <row r="107" spans="1:6" s="973" customFormat="1" ht="24">
      <c r="A107" s="3026">
        <v>35</v>
      </c>
      <c r="B107" s="3650" t="s">
        <v>2595</v>
      </c>
      <c r="C107" s="3026" t="s">
        <v>2596</v>
      </c>
      <c r="D107" s="3004" t="s">
        <v>2597</v>
      </c>
      <c r="E107" s="3027">
        <v>0.15</v>
      </c>
      <c r="F107" s="3026">
        <v>20</v>
      </c>
    </row>
    <row r="108" spans="1:6" s="973" customFormat="1" ht="24">
      <c r="A108" s="3026">
        <v>36</v>
      </c>
      <c r="B108" s="3652"/>
      <c r="C108" s="3026" t="s">
        <v>2598</v>
      </c>
      <c r="D108" s="3004" t="s">
        <v>2599</v>
      </c>
      <c r="E108" s="3027">
        <v>0.15</v>
      </c>
      <c r="F108" s="3026">
        <v>20</v>
      </c>
    </row>
    <row r="109" spans="1:6" s="973" customFormat="1" ht="24">
      <c r="A109" s="3026">
        <v>37</v>
      </c>
      <c r="B109" s="3652"/>
      <c r="C109" s="3026" t="s">
        <v>2600</v>
      </c>
      <c r="D109" s="3004" t="s">
        <v>2601</v>
      </c>
      <c r="E109" s="3027">
        <v>0.15</v>
      </c>
      <c r="F109" s="3026">
        <v>20</v>
      </c>
    </row>
    <row r="110" spans="1:6" s="973" customFormat="1">
      <c r="A110" s="3026">
        <v>38</v>
      </c>
      <c r="B110" s="3652"/>
      <c r="C110" s="3026" t="s">
        <v>2602</v>
      </c>
      <c r="D110" s="3004" t="s">
        <v>2603</v>
      </c>
      <c r="E110" s="3027">
        <v>0.1</v>
      </c>
      <c r="F110" s="3026">
        <v>15</v>
      </c>
    </row>
    <row r="111" spans="1:6" s="973" customFormat="1" ht="24">
      <c r="A111" s="3026">
        <v>39</v>
      </c>
      <c r="B111" s="3652"/>
      <c r="C111" s="3026" t="s">
        <v>2604</v>
      </c>
      <c r="D111" s="3004" t="s">
        <v>2605</v>
      </c>
      <c r="E111" s="3027">
        <v>0.1</v>
      </c>
      <c r="F111" s="3026">
        <v>15</v>
      </c>
    </row>
    <row r="112" spans="1:6" s="973" customFormat="1" ht="24">
      <c r="A112" s="3026">
        <v>40</v>
      </c>
      <c r="B112" s="3651"/>
      <c r="C112" s="3026" t="s">
        <v>2606</v>
      </c>
      <c r="D112" s="3004" t="s">
        <v>2607</v>
      </c>
      <c r="E112" s="3027">
        <v>0.1</v>
      </c>
      <c r="F112" s="3026">
        <v>15</v>
      </c>
    </row>
    <row r="113" spans="1:6" s="973" customFormat="1" ht="24">
      <c r="A113" s="3026">
        <v>41</v>
      </c>
      <c r="B113" s="3649" t="s">
        <v>2608</v>
      </c>
      <c r="C113" s="3026" t="s">
        <v>2609</v>
      </c>
      <c r="D113" s="3004" t="s">
        <v>2610</v>
      </c>
      <c r="E113" s="3027">
        <v>0.1</v>
      </c>
      <c r="F113" s="3026">
        <v>15</v>
      </c>
    </row>
    <row r="114" spans="1:6" s="973" customFormat="1">
      <c r="A114" s="3026">
        <v>42</v>
      </c>
      <c r="B114" s="3649"/>
      <c r="C114" s="3026" t="s">
        <v>2611</v>
      </c>
      <c r="D114" s="3004" t="s">
        <v>2612</v>
      </c>
      <c r="E114" s="3027">
        <v>0.1</v>
      </c>
      <c r="F114" s="3026">
        <v>15</v>
      </c>
    </row>
    <row r="115" spans="1:6" s="973" customFormat="1" ht="24">
      <c r="A115" s="3026">
        <v>43</v>
      </c>
      <c r="B115" s="3649"/>
      <c r="C115" s="3026" t="s">
        <v>2613</v>
      </c>
      <c r="D115" s="3004" t="s">
        <v>2614</v>
      </c>
      <c r="E115" s="3027">
        <v>0.1</v>
      </c>
      <c r="F115" s="3026">
        <v>15</v>
      </c>
    </row>
    <row r="116" spans="1:6" s="973" customFormat="1" ht="24">
      <c r="A116" s="3026">
        <v>44</v>
      </c>
      <c r="B116" s="3650" t="s">
        <v>2615</v>
      </c>
      <c r="C116" s="3026" t="s">
        <v>2616</v>
      </c>
      <c r="D116" s="3004" t="s">
        <v>2617</v>
      </c>
      <c r="E116" s="3027">
        <v>0.1</v>
      </c>
      <c r="F116" s="3026">
        <v>15</v>
      </c>
    </row>
    <row r="117" spans="1:6" s="973" customFormat="1" ht="24">
      <c r="A117" s="3026">
        <v>45</v>
      </c>
      <c r="B117" s="3651"/>
      <c r="C117" s="3004" t="s">
        <v>2618</v>
      </c>
      <c r="D117" s="3004" t="s">
        <v>2619</v>
      </c>
      <c r="E117" s="3027">
        <v>0.1</v>
      </c>
      <c r="F117" s="3026">
        <v>15</v>
      </c>
    </row>
    <row r="118" spans="1:6" s="973" customFormat="1" ht="24">
      <c r="A118" s="3026">
        <v>46</v>
      </c>
      <c r="B118" s="3650" t="s">
        <v>2620</v>
      </c>
      <c r="C118" s="3026" t="s">
        <v>2621</v>
      </c>
      <c r="D118" s="3004" t="s">
        <v>2622</v>
      </c>
      <c r="E118" s="3027">
        <v>0.1</v>
      </c>
      <c r="F118" s="3026">
        <v>15</v>
      </c>
    </row>
    <row r="119" spans="1:6" s="973" customFormat="1" ht="24">
      <c r="A119" s="3026">
        <v>47</v>
      </c>
      <c r="B119" s="3651"/>
      <c r="C119" s="3026" t="s">
        <v>2623</v>
      </c>
      <c r="D119" s="3004" t="s">
        <v>2624</v>
      </c>
      <c r="E119" s="3027">
        <v>0.1</v>
      </c>
      <c r="F119" s="3026">
        <v>15</v>
      </c>
    </row>
    <row r="120" spans="1:6" s="973" customFormat="1" ht="24">
      <c r="A120" s="3026">
        <v>48</v>
      </c>
      <c r="B120" s="3650" t="s">
        <v>2625</v>
      </c>
      <c r="C120" s="3026" t="s">
        <v>2626</v>
      </c>
      <c r="D120" s="3004" t="s">
        <v>2627</v>
      </c>
      <c r="E120" s="3027">
        <v>0.1</v>
      </c>
      <c r="F120" s="3026">
        <v>15</v>
      </c>
    </row>
    <row r="121" spans="1:6" s="973" customFormat="1">
      <c r="A121" s="3026">
        <v>49</v>
      </c>
      <c r="B121" s="3651"/>
      <c r="C121" s="3026" t="s">
        <v>2628</v>
      </c>
      <c r="D121" s="3004" t="s">
        <v>2629</v>
      </c>
      <c r="E121" s="3027">
        <v>0.1</v>
      </c>
      <c r="F121" s="3026">
        <v>15</v>
      </c>
    </row>
    <row r="122" spans="1:6" s="973" customFormat="1" ht="24">
      <c r="A122" s="3026">
        <v>50</v>
      </c>
      <c r="B122" s="3649" t="s">
        <v>2630</v>
      </c>
      <c r="C122" s="3026" t="s">
        <v>2631</v>
      </c>
      <c r="D122" s="3004" t="s">
        <v>2632</v>
      </c>
      <c r="E122" s="3027">
        <v>0.1</v>
      </c>
      <c r="F122" s="3026">
        <v>15</v>
      </c>
    </row>
    <row r="123" spans="1:6" s="973" customFormat="1" ht="24">
      <c r="A123" s="3026">
        <v>51</v>
      </c>
      <c r="B123" s="3649"/>
      <c r="C123" s="3026" t="s">
        <v>2633</v>
      </c>
      <c r="D123" s="3004" t="s">
        <v>2634</v>
      </c>
      <c r="E123" s="3027">
        <v>0.1</v>
      </c>
      <c r="F123" s="3026">
        <v>15</v>
      </c>
    </row>
    <row r="124" spans="1:6" s="973" customFormat="1" ht="24">
      <c r="A124" s="3026">
        <v>52</v>
      </c>
      <c r="B124" s="3649" t="s">
        <v>2635</v>
      </c>
      <c r="C124" s="3026" t="s">
        <v>2636</v>
      </c>
      <c r="D124" s="3004" t="s">
        <v>2637</v>
      </c>
      <c r="E124" s="3027">
        <v>0.1</v>
      </c>
      <c r="F124" s="3026">
        <v>15</v>
      </c>
    </row>
    <row r="125" spans="1:6" s="973" customFormat="1" ht="24">
      <c r="A125" s="3026">
        <v>53</v>
      </c>
      <c r="B125" s="3649"/>
      <c r="C125" s="3026" t="s">
        <v>2638</v>
      </c>
      <c r="D125" s="3004" t="s">
        <v>2639</v>
      </c>
      <c r="E125" s="3027">
        <v>0.1</v>
      </c>
      <c r="F125" s="3026">
        <v>15</v>
      </c>
    </row>
    <row r="126" spans="1:6" ht="24">
      <c r="A126" s="3026">
        <v>54</v>
      </c>
      <c r="B126" s="3026" t="s">
        <v>2640</v>
      </c>
      <c r="C126" s="3026" t="s">
        <v>2641</v>
      </c>
      <c r="D126" s="3004" t="s">
        <v>2642</v>
      </c>
      <c r="E126" s="3027">
        <v>0.1</v>
      </c>
      <c r="F126" s="3026">
        <v>15</v>
      </c>
    </row>
    <row r="127" spans="1:6">
      <c r="A127" s="3026">
        <v>55</v>
      </c>
      <c r="B127" s="3649" t="s">
        <v>2643</v>
      </c>
      <c r="C127" s="3026" t="s">
        <v>2644</v>
      </c>
      <c r="D127" s="3004" t="s">
        <v>2645</v>
      </c>
      <c r="E127" s="3027">
        <v>0.1</v>
      </c>
      <c r="F127" s="3026">
        <v>15</v>
      </c>
    </row>
    <row r="128" spans="1:6">
      <c r="A128" s="3026">
        <v>56</v>
      </c>
      <c r="B128" s="3649"/>
      <c r="C128" s="3026" t="s">
        <v>2646</v>
      </c>
      <c r="D128" s="3004" t="s">
        <v>2647</v>
      </c>
      <c r="E128" s="3027">
        <v>0.1</v>
      </c>
      <c r="F128" s="3026">
        <v>15</v>
      </c>
    </row>
    <row r="129" spans="1:14" ht="24">
      <c r="A129" s="3026">
        <v>57</v>
      </c>
      <c r="B129" s="3649"/>
      <c r="C129" s="3026" t="s">
        <v>2648</v>
      </c>
      <c r="D129" s="3004" t="s">
        <v>2649</v>
      </c>
      <c r="E129" s="3027">
        <v>0.1</v>
      </c>
      <c r="F129" s="3026">
        <v>15</v>
      </c>
    </row>
    <row r="130" spans="1:14" ht="24">
      <c r="A130" s="3026">
        <v>58</v>
      </c>
      <c r="B130" s="3649" t="s">
        <v>2650</v>
      </c>
      <c r="C130" s="3026" t="s">
        <v>2651</v>
      </c>
      <c r="D130" s="3004" t="s">
        <v>2652</v>
      </c>
      <c r="E130" s="3027">
        <v>0.1</v>
      </c>
      <c r="F130" s="3026">
        <v>15</v>
      </c>
    </row>
    <row r="131" spans="1:14" ht="24">
      <c r="A131" s="3026">
        <v>59</v>
      </c>
      <c r="B131" s="3649"/>
      <c r="C131" s="3026" t="s">
        <v>2653</v>
      </c>
      <c r="D131" s="3004" t="s">
        <v>2654</v>
      </c>
      <c r="E131" s="3027">
        <v>0.1</v>
      </c>
      <c r="F131" s="3026">
        <v>15</v>
      </c>
    </row>
    <row r="132" spans="1:14" ht="24">
      <c r="A132" s="3026">
        <v>60</v>
      </c>
      <c r="B132" s="3650" t="s">
        <v>2655</v>
      </c>
      <c r="C132" s="3026" t="s">
        <v>2656</v>
      </c>
      <c r="D132" s="3004" t="s">
        <v>2657</v>
      </c>
      <c r="E132" s="3027">
        <v>0.1</v>
      </c>
      <c r="F132" s="3026">
        <v>15</v>
      </c>
    </row>
    <row r="133" spans="1:14" ht="24">
      <c r="A133" s="3026">
        <v>61</v>
      </c>
      <c r="B133" s="3651"/>
      <c r="C133" s="3026" t="s">
        <v>2658</v>
      </c>
      <c r="D133" s="3004" t="s">
        <v>2659</v>
      </c>
      <c r="E133" s="3027">
        <v>0.1</v>
      </c>
      <c r="F133" s="3026">
        <v>15</v>
      </c>
    </row>
    <row r="134" spans="1:14" ht="24">
      <c r="A134" s="3026">
        <v>62</v>
      </c>
      <c r="B134" s="3026" t="s">
        <v>2660</v>
      </c>
      <c r="C134" s="3026" t="s">
        <v>2661</v>
      </c>
      <c r="D134" s="3004" t="s">
        <v>2662</v>
      </c>
      <c r="E134" s="3027">
        <v>0.1</v>
      </c>
      <c r="F134" s="3026">
        <v>15</v>
      </c>
    </row>
    <row r="135" spans="1:14" ht="24">
      <c r="A135" s="3026">
        <v>63</v>
      </c>
      <c r="B135" s="3649" t="s">
        <v>2663</v>
      </c>
      <c r="C135" s="3026" t="s">
        <v>2664</v>
      </c>
      <c r="D135" s="3004" t="s">
        <v>2665</v>
      </c>
      <c r="E135" s="3027">
        <v>0.1</v>
      </c>
      <c r="F135" s="3026">
        <v>15</v>
      </c>
    </row>
    <row r="136" spans="1:14">
      <c r="A136" s="3026">
        <v>64</v>
      </c>
      <c r="B136" s="3649"/>
      <c r="C136" s="3026" t="s">
        <v>2666</v>
      </c>
      <c r="D136" s="3004" t="s">
        <v>2667</v>
      </c>
      <c r="E136" s="3027">
        <v>0.1</v>
      </c>
      <c r="F136" s="3026">
        <v>15</v>
      </c>
    </row>
    <row r="137" spans="1:14" ht="24">
      <c r="A137" s="3026">
        <v>65</v>
      </c>
      <c r="B137" s="3026" t="s">
        <v>2668</v>
      </c>
      <c r="C137" s="3026" t="s">
        <v>2669</v>
      </c>
      <c r="D137" s="3004" t="s">
        <v>2670</v>
      </c>
      <c r="E137" s="3027">
        <v>0.1</v>
      </c>
      <c r="F137" s="3026">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168" customWidth="1"/>
    <col min="2" max="2" width="15" style="3168" customWidth="1"/>
    <col min="3" max="6" width="10.25" style="3168" customWidth="1"/>
    <col min="7" max="7" width="9" style="3168"/>
    <col min="8" max="8" width="9" style="960"/>
    <col min="9" max="9" width="9" style="957"/>
    <col min="10" max="10" width="17.375" style="3193" customWidth="1"/>
    <col min="11" max="21" width="17.375" style="3168" customWidth="1"/>
    <col min="22" max="16384" width="9" style="957"/>
  </cols>
  <sheetData>
    <row r="1" spans="1:21">
      <c r="A1" s="3661" t="s">
        <v>2815</v>
      </c>
      <c r="B1" s="3661"/>
      <c r="C1" s="3661"/>
      <c r="D1" s="3661"/>
      <c r="E1" s="3661"/>
      <c r="F1" s="3661"/>
      <c r="G1" s="3662"/>
      <c r="I1" s="961"/>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2816</v>
      </c>
      <c r="B2" s="3154"/>
      <c r="C2" s="3154"/>
      <c r="D2" s="3154"/>
      <c r="E2" s="3154"/>
      <c r="F2" s="3154"/>
      <c r="G2" s="3149" t="s">
        <v>2817</v>
      </c>
      <c r="J2" s="3178" t="s">
        <v>2823</v>
      </c>
      <c r="K2" s="3158" t="s">
        <v>2825</v>
      </c>
      <c r="L2" s="3158" t="s">
        <v>2827</v>
      </c>
      <c r="M2" s="3158" t="s">
        <v>2833</v>
      </c>
      <c r="N2" s="3158" t="s">
        <v>2843</v>
      </c>
      <c r="O2" s="3158" t="s">
        <v>2858</v>
      </c>
      <c r="P2" s="3158" t="s">
        <v>2895</v>
      </c>
      <c r="Q2" s="3158" t="s">
        <v>2926</v>
      </c>
      <c r="R2" s="3158" t="s">
        <v>2954</v>
      </c>
      <c r="S2" s="3158" t="s">
        <v>2989</v>
      </c>
      <c r="T2" s="3158" t="s">
        <v>3009</v>
      </c>
      <c r="U2" s="3158" t="s">
        <v>3021</v>
      </c>
    </row>
    <row r="3" spans="1:21" s="961" customFormat="1" ht="19.5" customHeight="1">
      <c r="A3" s="3663" t="s">
        <v>2818</v>
      </c>
      <c r="B3" s="3150"/>
      <c r="C3" s="3151" t="s">
        <v>2795</v>
      </c>
      <c r="D3" s="3151" t="s">
        <v>2819</v>
      </c>
      <c r="E3" s="3151" t="s">
        <v>2797</v>
      </c>
      <c r="F3" s="3151" t="s">
        <v>2820</v>
      </c>
      <c r="G3" s="3151" t="s">
        <v>2735</v>
      </c>
      <c r="H3" s="964"/>
      <c r="J3" s="3178" t="s">
        <v>2824</v>
      </c>
      <c r="K3" s="3158" t="s">
        <v>973</v>
      </c>
      <c r="L3" s="3158" t="s">
        <v>974</v>
      </c>
      <c r="M3" s="3158" t="s">
        <v>975</v>
      </c>
      <c r="N3" s="3158" t="s">
        <v>976</v>
      </c>
      <c r="O3" s="3158" t="s">
        <v>977</v>
      </c>
      <c r="P3" s="3158" t="s">
        <v>978</v>
      </c>
      <c r="Q3" s="3158" t="s">
        <v>979</v>
      </c>
      <c r="R3" s="3158" t="s">
        <v>980</v>
      </c>
      <c r="S3" s="3158" t="s">
        <v>981</v>
      </c>
      <c r="T3" s="3158" t="s">
        <v>3010</v>
      </c>
      <c r="U3" s="3158" t="s">
        <v>3022</v>
      </c>
    </row>
    <row r="4" spans="1:21" s="961" customFormat="1" ht="19.5" customHeight="1" thickBot="1">
      <c r="A4" s="3664"/>
      <c r="B4" s="3152" t="s">
        <v>2821</v>
      </c>
      <c r="C4" s="3152" t="s">
        <v>2822</v>
      </c>
      <c r="D4" s="3152" t="s">
        <v>2822</v>
      </c>
      <c r="E4" s="3152" t="s">
        <v>2822</v>
      </c>
      <c r="F4" s="3153" t="s">
        <v>2822</v>
      </c>
      <c r="G4" s="3153" t="s">
        <v>2822</v>
      </c>
      <c r="H4" s="964"/>
      <c r="J4" s="3178" t="s">
        <v>982</v>
      </c>
      <c r="K4" s="3158" t="s">
        <v>983</v>
      </c>
      <c r="L4" s="3158" t="s">
        <v>984</v>
      </c>
      <c r="M4" s="3158" t="s">
        <v>985</v>
      </c>
      <c r="N4" s="3158" t="s">
        <v>986</v>
      </c>
      <c r="O4" s="3158" t="s">
        <v>987</v>
      </c>
      <c r="P4" s="3158" t="s">
        <v>988</v>
      </c>
      <c r="Q4" s="3158" t="s">
        <v>989</v>
      </c>
      <c r="R4" s="3158" t="s">
        <v>2955</v>
      </c>
      <c r="S4" s="3158" t="s">
        <v>2990</v>
      </c>
      <c r="T4" s="3158" t="s">
        <v>3011</v>
      </c>
      <c r="U4" s="3158" t="s">
        <v>3023</v>
      </c>
    </row>
    <row r="5" spans="1:21" ht="14.25" customHeight="1">
      <c r="A5" s="3155" t="s">
        <v>990</v>
      </c>
      <c r="B5" s="3156" t="s">
        <v>2823</v>
      </c>
      <c r="C5" s="3156">
        <v>34550</v>
      </c>
      <c r="D5" s="3156">
        <v>34470</v>
      </c>
      <c r="E5" s="3156">
        <v>34330</v>
      </c>
      <c r="F5" s="3157">
        <v>13400</v>
      </c>
      <c r="G5" s="3157">
        <v>25450</v>
      </c>
      <c r="H5" s="965" t="s">
        <v>961</v>
      </c>
      <c r="I5" s="966">
        <f>SUMPRODUCT((B5:B9=基准地价!I2)*(C3:G3=基准地价!E2)*(C5:G9))</f>
        <v>0</v>
      </c>
      <c r="J5" s="3178" t="s">
        <v>991</v>
      </c>
      <c r="K5" s="3158" t="s">
        <v>992</v>
      </c>
      <c r="L5" s="3158" t="s">
        <v>993</v>
      </c>
      <c r="M5" s="3158" t="s">
        <v>994</v>
      </c>
      <c r="N5" s="3158" t="s">
        <v>995</v>
      </c>
      <c r="O5" s="3158" t="s">
        <v>996</v>
      </c>
      <c r="P5" s="3158" t="s">
        <v>997</v>
      </c>
      <c r="Q5" s="3158" t="s">
        <v>998</v>
      </c>
      <c r="R5" s="3158" t="s">
        <v>2956</v>
      </c>
      <c r="S5" s="3158" t="s">
        <v>2991</v>
      </c>
      <c r="T5" s="3158" t="s">
        <v>999</v>
      </c>
      <c r="U5" s="3158" t="s">
        <v>3024</v>
      </c>
    </row>
    <row r="6" spans="1:21" ht="14.25" customHeight="1">
      <c r="A6" s="3158" t="s">
        <v>990</v>
      </c>
      <c r="B6" s="3158" t="s">
        <v>2824</v>
      </c>
      <c r="C6" s="3158">
        <v>36990</v>
      </c>
      <c r="D6" s="3158">
        <v>36850</v>
      </c>
      <c r="E6" s="3158">
        <v>36700</v>
      </c>
      <c r="F6" s="3159">
        <v>14590</v>
      </c>
      <c r="G6" s="3159">
        <v>27450</v>
      </c>
      <c r="H6" s="967" t="s">
        <v>1000</v>
      </c>
      <c r="I6" s="968">
        <f>SUMPRODUCT((B10:B29=基准地价!I2)*(C3:G3=基准地价!E2)*(C10:G29))</f>
        <v>0</v>
      </c>
      <c r="J6" s="3178" t="s">
        <v>1001</v>
      </c>
      <c r="K6" s="3158" t="s">
        <v>1002</v>
      </c>
      <c r="L6" s="3158" t="s">
        <v>1003</v>
      </c>
      <c r="M6" s="3158" t="s">
        <v>1004</v>
      </c>
      <c r="N6" s="3158" t="s">
        <v>1005</v>
      </c>
      <c r="O6" s="3158" t="s">
        <v>1006</v>
      </c>
      <c r="P6" s="3158" t="s">
        <v>1007</v>
      </c>
      <c r="Q6" s="3158" t="s">
        <v>2927</v>
      </c>
      <c r="R6" s="3158" t="s">
        <v>2957</v>
      </c>
      <c r="S6" s="3158" t="s">
        <v>1008</v>
      </c>
      <c r="T6" s="3158" t="s">
        <v>3012</v>
      </c>
      <c r="U6" s="3158" t="s">
        <v>3025</v>
      </c>
    </row>
    <row r="7" spans="1:21" ht="14.25" customHeight="1">
      <c r="A7" s="3158" t="s">
        <v>990</v>
      </c>
      <c r="B7" s="1216" t="s">
        <v>982</v>
      </c>
      <c r="C7" s="3158">
        <v>34850</v>
      </c>
      <c r="D7" s="3158">
        <v>34690</v>
      </c>
      <c r="E7" s="3158">
        <v>34550</v>
      </c>
      <c r="F7" s="3159">
        <v>14360</v>
      </c>
      <c r="G7" s="3159">
        <v>25620</v>
      </c>
      <c r="H7" s="967" t="s">
        <v>838</v>
      </c>
      <c r="I7" s="968">
        <f>SUMPRODUCT((B30:B54=基准地价!I2)*(C3:G3=基准地价!E2)*(C30:G54))</f>
        <v>0</v>
      </c>
      <c r="K7" s="3158" t="s">
        <v>1009</v>
      </c>
      <c r="L7" s="3158" t="s">
        <v>1010</v>
      </c>
      <c r="M7" s="3158" t="s">
        <v>1011</v>
      </c>
      <c r="N7" s="3158" t="s">
        <v>1012</v>
      </c>
      <c r="O7" s="3158" t="s">
        <v>1013</v>
      </c>
      <c r="P7" s="3158" t="s">
        <v>1014</v>
      </c>
      <c r="Q7" s="3158" t="s">
        <v>2928</v>
      </c>
      <c r="R7" s="3158" t="s">
        <v>2958</v>
      </c>
      <c r="S7" s="3158" t="s">
        <v>2992</v>
      </c>
      <c r="T7" s="3158" t="s">
        <v>3013</v>
      </c>
      <c r="U7" s="1216" t="s">
        <v>3026</v>
      </c>
    </row>
    <row r="8" spans="1:21" ht="14.25" customHeight="1">
      <c r="A8" s="3158" t="s">
        <v>990</v>
      </c>
      <c r="B8" s="3158" t="s">
        <v>991</v>
      </c>
      <c r="C8" s="3158">
        <v>32630</v>
      </c>
      <c r="D8" s="3158">
        <v>32510</v>
      </c>
      <c r="E8" s="3158">
        <v>32420</v>
      </c>
      <c r="F8" s="3159">
        <v>13300</v>
      </c>
      <c r="G8" s="3159">
        <v>24010</v>
      </c>
      <c r="H8" s="967" t="s">
        <v>839</v>
      </c>
      <c r="I8" s="968">
        <f>SUMPRODUCT((B55:B86=基准地价!I2)*(C3:G3=基准地价!E2)*(C55:G86))</f>
        <v>0</v>
      </c>
      <c r="K8" s="3158" t="s">
        <v>1015</v>
      </c>
      <c r="L8" s="3158" t="s">
        <v>1016</v>
      </c>
      <c r="M8" s="3158" t="s">
        <v>1017</v>
      </c>
      <c r="N8" s="3158" t="s">
        <v>1018</v>
      </c>
      <c r="O8" s="3158" t="s">
        <v>1019</v>
      </c>
      <c r="P8" s="3158" t="s">
        <v>1020</v>
      </c>
      <c r="Q8" s="3158" t="s">
        <v>2929</v>
      </c>
      <c r="R8" s="3158" t="s">
        <v>1021</v>
      </c>
      <c r="S8" s="3158" t="s">
        <v>2993</v>
      </c>
      <c r="T8" s="3158" t="s">
        <v>3014</v>
      </c>
      <c r="U8" s="3158" t="s">
        <v>3027</v>
      </c>
    </row>
    <row r="9" spans="1:21" ht="14.25" customHeight="1" thickBot="1">
      <c r="A9" s="3172" t="s">
        <v>990</v>
      </c>
      <c r="B9" s="3160" t="s">
        <v>1001</v>
      </c>
      <c r="C9" s="3161">
        <v>36370</v>
      </c>
      <c r="D9" s="3161">
        <v>36210</v>
      </c>
      <c r="E9" s="3161">
        <v>36050</v>
      </c>
      <c r="F9" s="3162"/>
      <c r="G9" s="3163">
        <v>26740</v>
      </c>
      <c r="H9" s="967" t="s">
        <v>840</v>
      </c>
      <c r="I9" s="968">
        <f>SUMPRODUCT((B87:B126=基准地价!I2)*(C3:G3=基准地价!E2)*(C87:G126))</f>
        <v>0</v>
      </c>
      <c r="K9" s="3158" t="s">
        <v>1022</v>
      </c>
      <c r="L9" s="3158" t="s">
        <v>1023</v>
      </c>
      <c r="M9" s="3158" t="s">
        <v>1024</v>
      </c>
      <c r="N9" s="3158" t="s">
        <v>1025</v>
      </c>
      <c r="O9" s="3158" t="s">
        <v>1026</v>
      </c>
      <c r="P9" s="3158" t="s">
        <v>1027</v>
      </c>
      <c r="Q9" s="3158" t="s">
        <v>2930</v>
      </c>
      <c r="R9" s="3158" t="s">
        <v>1029</v>
      </c>
      <c r="S9" s="3158" t="s">
        <v>1030</v>
      </c>
      <c r="T9" s="3158" t="s">
        <v>1047</v>
      </c>
    </row>
    <row r="10" spans="1:21" ht="14.25" customHeight="1">
      <c r="A10" s="3155" t="s">
        <v>1031</v>
      </c>
      <c r="B10" s="3156" t="s">
        <v>2825</v>
      </c>
      <c r="C10" s="3156">
        <v>32350</v>
      </c>
      <c r="D10" s="3156">
        <v>31430</v>
      </c>
      <c r="E10" s="3156">
        <v>31320</v>
      </c>
      <c r="F10" s="3157">
        <v>10850</v>
      </c>
      <c r="G10" s="3157">
        <v>22860</v>
      </c>
      <c r="H10" s="967" t="s">
        <v>841</v>
      </c>
      <c r="I10" s="968">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3015</v>
      </c>
    </row>
    <row r="11" spans="1:21" ht="14.25" customHeight="1">
      <c r="A11" s="3158" t="s">
        <v>1031</v>
      </c>
      <c r="B11" s="1216" t="s">
        <v>973</v>
      </c>
      <c r="C11" s="3158">
        <v>31590</v>
      </c>
      <c r="D11" s="3158">
        <v>29490</v>
      </c>
      <c r="E11" s="3158">
        <v>28700</v>
      </c>
      <c r="F11" s="3164">
        <v>10410</v>
      </c>
      <c r="G11" s="3164">
        <v>21460</v>
      </c>
      <c r="H11" s="967" t="s">
        <v>842</v>
      </c>
      <c r="I11" s="968">
        <f>SUMPRODUCT((B190:B233=基准地价!I2)*(C3:G3=基准地价!E2)*(C190:G233))</f>
        <v>0</v>
      </c>
      <c r="K11" s="3158" t="s">
        <v>1041</v>
      </c>
      <c r="L11" s="3158" t="s">
        <v>1042</v>
      </c>
      <c r="M11" s="3158" t="s">
        <v>1043</v>
      </c>
      <c r="N11" s="3158" t="s">
        <v>1044</v>
      </c>
      <c r="O11" s="3158" t="s">
        <v>1045</v>
      </c>
      <c r="P11" s="3158" t="s">
        <v>2896</v>
      </c>
      <c r="Q11" s="3158" t="s">
        <v>1038</v>
      </c>
      <c r="R11" s="3158" t="s">
        <v>1046</v>
      </c>
      <c r="S11" s="3158" t="s">
        <v>2994</v>
      </c>
      <c r="T11" s="3158" t="s">
        <v>3016</v>
      </c>
    </row>
    <row r="12" spans="1:21" ht="14.25" customHeight="1">
      <c r="A12" s="3158" t="s">
        <v>1031</v>
      </c>
      <c r="B12" s="1216" t="s">
        <v>983</v>
      </c>
      <c r="C12" s="3158">
        <v>29640</v>
      </c>
      <c r="D12" s="3158">
        <v>27550</v>
      </c>
      <c r="E12" s="3158">
        <v>28010</v>
      </c>
      <c r="F12" s="3164">
        <v>8730</v>
      </c>
      <c r="G12" s="3164">
        <v>20050</v>
      </c>
      <c r="H12" s="967" t="s">
        <v>843</v>
      </c>
      <c r="I12" s="968">
        <f>SUMPRODUCT((B234:B276=基准地价!I2)*(C3:G3=基准地价!E2)*(C234:G276))</f>
        <v>0</v>
      </c>
      <c r="K12" s="3158" t="s">
        <v>1048</v>
      </c>
      <c r="L12" s="3158" t="s">
        <v>1049</v>
      </c>
      <c r="M12" s="3158" t="s">
        <v>1050</v>
      </c>
      <c r="N12" s="3158" t="s">
        <v>1051</v>
      </c>
      <c r="O12" s="3158" t="s">
        <v>1052</v>
      </c>
      <c r="P12" s="3158" t="s">
        <v>2897</v>
      </c>
      <c r="Q12" s="3158" t="s">
        <v>2931</v>
      </c>
      <c r="R12" s="3158" t="s">
        <v>2959</v>
      </c>
      <c r="S12" s="3158" t="s">
        <v>2995</v>
      </c>
      <c r="T12" s="3158" t="s">
        <v>3017</v>
      </c>
    </row>
    <row r="13" spans="1:21" ht="14.25" customHeight="1">
      <c r="A13" s="3158" t="s">
        <v>1031</v>
      </c>
      <c r="B13" s="1216" t="s">
        <v>992</v>
      </c>
      <c r="C13" s="3158">
        <v>29680</v>
      </c>
      <c r="D13" s="3158">
        <v>27660</v>
      </c>
      <c r="E13" s="3158">
        <v>28210</v>
      </c>
      <c r="F13" s="3164">
        <v>9590</v>
      </c>
      <c r="G13" s="3164">
        <v>20120</v>
      </c>
      <c r="H13" s="967" t="s">
        <v>844</v>
      </c>
      <c r="I13" s="968">
        <f>SUMPRODUCT((B277:B326=基准地价!I2)*(C3:G3=基准地价!E2)*(C277:G326))</f>
        <v>0</v>
      </c>
      <c r="K13" s="3158" t="s">
        <v>1055</v>
      </c>
      <c r="L13" s="3158" t="s">
        <v>1056</v>
      </c>
      <c r="M13" s="3158" t="s">
        <v>1057</v>
      </c>
      <c r="N13" s="3158" t="s">
        <v>1058</v>
      </c>
      <c r="O13" s="3158" t="s">
        <v>1059</v>
      </c>
      <c r="P13" s="3158" t="s">
        <v>2898</v>
      </c>
      <c r="Q13" s="3158" t="s">
        <v>1053</v>
      </c>
      <c r="R13" s="3158" t="s">
        <v>1067</v>
      </c>
      <c r="S13" s="3158" t="s">
        <v>1068</v>
      </c>
      <c r="T13" s="3158" t="s">
        <v>1061</v>
      </c>
    </row>
    <row r="14" spans="1:21" ht="14.25" customHeight="1">
      <c r="A14" s="3158" t="s">
        <v>1031</v>
      </c>
      <c r="B14" s="1216" t="s">
        <v>1002</v>
      </c>
      <c r="C14" s="3158">
        <v>30520</v>
      </c>
      <c r="D14" s="3158">
        <v>29510</v>
      </c>
      <c r="E14" s="3158">
        <v>29400</v>
      </c>
      <c r="F14" s="3164">
        <v>9630</v>
      </c>
      <c r="G14" s="3164">
        <v>21480</v>
      </c>
      <c r="H14" s="967" t="s">
        <v>845</v>
      </c>
      <c r="I14" s="968">
        <f>SUMPRODUCT((B327:B357=基准地价!I2)*(C3:G3=基准地价!E2)*(C327:G357))</f>
        <v>0</v>
      </c>
      <c r="K14" s="3158" t="s">
        <v>1062</v>
      </c>
      <c r="L14" s="3158" t="s">
        <v>1063</v>
      </c>
      <c r="M14" s="3158" t="s">
        <v>1064</v>
      </c>
      <c r="N14" s="3158" t="s">
        <v>1065</v>
      </c>
      <c r="O14" s="3158" t="s">
        <v>1066</v>
      </c>
      <c r="P14" s="3158" t="s">
        <v>1088</v>
      </c>
      <c r="Q14" s="3158" t="s">
        <v>1060</v>
      </c>
      <c r="R14" s="3158" t="s">
        <v>2960</v>
      </c>
      <c r="S14" s="3158" t="s">
        <v>1076</v>
      </c>
      <c r="T14" s="3158" t="s">
        <v>1069</v>
      </c>
    </row>
    <row r="15" spans="1:21" ht="14.25" customHeight="1">
      <c r="A15" s="3158" t="s">
        <v>1031</v>
      </c>
      <c r="B15" s="1216" t="s">
        <v>1009</v>
      </c>
      <c r="C15" s="3158">
        <v>29090</v>
      </c>
      <c r="D15" s="3158">
        <v>27590</v>
      </c>
      <c r="E15" s="3158">
        <v>28120</v>
      </c>
      <c r="F15" s="3164">
        <v>9110</v>
      </c>
      <c r="G15" s="3164">
        <v>20070</v>
      </c>
      <c r="H15" s="967" t="s">
        <v>846</v>
      </c>
      <c r="I15" s="968">
        <f>SUMPRODUCT((B358:B377=基准地价!I2)*(C3:G3=基准地价!E2)*(C358:G377))</f>
        <v>0</v>
      </c>
      <c r="K15" s="3158" t="s">
        <v>1070</v>
      </c>
      <c r="L15" s="3158" t="s">
        <v>1071</v>
      </c>
      <c r="M15" s="3158" t="s">
        <v>1072</v>
      </c>
      <c r="N15" s="3158" t="s">
        <v>1073</v>
      </c>
      <c r="O15" s="3158" t="s">
        <v>1074</v>
      </c>
      <c r="P15" s="3158" t="s">
        <v>2899</v>
      </c>
      <c r="Q15" s="3158" t="s">
        <v>2932</v>
      </c>
      <c r="R15" s="3158" t="s">
        <v>1090</v>
      </c>
      <c r="S15" s="3158" t="s">
        <v>2996</v>
      </c>
      <c r="T15" s="3158" t="s">
        <v>1077</v>
      </c>
    </row>
    <row r="16" spans="1:21" ht="14.25" customHeight="1" thickBot="1">
      <c r="A16" s="3158" t="s">
        <v>1031</v>
      </c>
      <c r="B16" s="1216" t="s">
        <v>1015</v>
      </c>
      <c r="C16" s="3158">
        <v>26790</v>
      </c>
      <c r="D16" s="3158">
        <v>30370</v>
      </c>
      <c r="E16" s="3158">
        <v>30240</v>
      </c>
      <c r="F16" s="3164">
        <v>11590</v>
      </c>
      <c r="G16" s="3164">
        <v>22090</v>
      </c>
      <c r="H16" s="969" t="s">
        <v>847</v>
      </c>
      <c r="I16" s="970">
        <f>SUMPRODUCT((B378:B384=基准地价!I2)*(C3:G3=基准地价!E2)*(C378:G384))</f>
        <v>0</v>
      </c>
      <c r="K16" s="3158" t="s">
        <v>1078</v>
      </c>
      <c r="L16" s="3158" t="s">
        <v>1079</v>
      </c>
      <c r="M16" s="3158" t="s">
        <v>1080</v>
      </c>
      <c r="N16" s="3158" t="s">
        <v>1081</v>
      </c>
      <c r="O16" s="3158" t="s">
        <v>1082</v>
      </c>
      <c r="P16" s="3158" t="s">
        <v>2900</v>
      </c>
      <c r="Q16" s="3158" t="s">
        <v>1075</v>
      </c>
      <c r="R16" s="3158" t="s">
        <v>1098</v>
      </c>
      <c r="S16" s="3158" t="s">
        <v>1054</v>
      </c>
      <c r="T16" s="3158" t="s">
        <v>3018</v>
      </c>
    </row>
    <row r="17" spans="1:20" ht="14.25" customHeight="1">
      <c r="A17" s="3158" t="s">
        <v>1031</v>
      </c>
      <c r="B17" s="1216" t="s">
        <v>1022</v>
      </c>
      <c r="C17" s="3158">
        <v>29180</v>
      </c>
      <c r="D17" s="3158">
        <v>27620</v>
      </c>
      <c r="E17" s="3158">
        <v>28180</v>
      </c>
      <c r="F17" s="3164">
        <v>10790</v>
      </c>
      <c r="G17" s="3165">
        <v>20090</v>
      </c>
      <c r="I17" s="971"/>
      <c r="K17" s="3158" t="s">
        <v>1083</v>
      </c>
      <c r="L17" s="3158" t="s">
        <v>1084</v>
      </c>
      <c r="M17" s="3158" t="s">
        <v>1085</v>
      </c>
      <c r="N17" s="3158" t="s">
        <v>1086</v>
      </c>
      <c r="O17" s="3158" t="s">
        <v>1087</v>
      </c>
      <c r="P17" s="3158" t="s">
        <v>2901</v>
      </c>
      <c r="Q17" s="3158" t="s">
        <v>2933</v>
      </c>
      <c r="R17" s="3158" t="s">
        <v>1104</v>
      </c>
      <c r="S17" s="3158" t="s">
        <v>2997</v>
      </c>
      <c r="T17" s="3158" t="s">
        <v>1106</v>
      </c>
    </row>
    <row r="18" spans="1:20" ht="14.25" customHeight="1">
      <c r="A18" s="3158" t="s">
        <v>1031</v>
      </c>
      <c r="B18" s="1216" t="s">
        <v>1032</v>
      </c>
      <c r="C18" s="3158">
        <v>26840</v>
      </c>
      <c r="D18" s="3158">
        <v>28930</v>
      </c>
      <c r="E18" s="3158">
        <v>28820</v>
      </c>
      <c r="F18" s="3164"/>
      <c r="G18" s="3165">
        <v>21050</v>
      </c>
      <c r="I18" s="971"/>
      <c r="K18" s="3158" t="s">
        <v>1092</v>
      </c>
      <c r="L18" s="3158" t="s">
        <v>1093</v>
      </c>
      <c r="M18" s="3158" t="s">
        <v>1094</v>
      </c>
      <c r="N18" s="3158" t="s">
        <v>1095</v>
      </c>
      <c r="O18" s="3158" t="s">
        <v>1096</v>
      </c>
      <c r="P18" s="3158" t="s">
        <v>2902</v>
      </c>
      <c r="Q18" s="3158" t="s">
        <v>1089</v>
      </c>
      <c r="R18" s="3158" t="s">
        <v>2961</v>
      </c>
      <c r="S18" s="3158" t="s">
        <v>1105</v>
      </c>
      <c r="T18" s="3158" t="s">
        <v>1114</v>
      </c>
    </row>
    <row r="19" spans="1:20" ht="14.25" customHeight="1">
      <c r="A19" s="3158" t="s">
        <v>1031</v>
      </c>
      <c r="B19" s="1216" t="s">
        <v>1041</v>
      </c>
      <c r="C19" s="3158">
        <v>27750</v>
      </c>
      <c r="D19" s="3158">
        <v>26680</v>
      </c>
      <c r="E19" s="3158">
        <v>26590</v>
      </c>
      <c r="F19" s="3164"/>
      <c r="G19" s="3165">
        <v>19420</v>
      </c>
      <c r="I19" s="971"/>
      <c r="K19" s="3158" t="s">
        <v>1099</v>
      </c>
      <c r="L19" s="3158" t="s">
        <v>1100</v>
      </c>
      <c r="M19" s="3158" t="s">
        <v>1101</v>
      </c>
      <c r="N19" s="3158" t="s">
        <v>1102</v>
      </c>
      <c r="O19" s="3158" t="s">
        <v>1103</v>
      </c>
      <c r="P19" s="3158" t="s">
        <v>2903</v>
      </c>
      <c r="Q19" s="3158" t="s">
        <v>1097</v>
      </c>
      <c r="R19" s="3158" t="s">
        <v>2962</v>
      </c>
      <c r="S19" s="3158" t="s">
        <v>1113</v>
      </c>
      <c r="T19" s="3158" t="s">
        <v>3019</v>
      </c>
    </row>
    <row r="20" spans="1:20" ht="14.25" customHeight="1">
      <c r="A20" s="3158" t="s">
        <v>1031</v>
      </c>
      <c r="B20" s="1216" t="s">
        <v>1048</v>
      </c>
      <c r="C20" s="3158">
        <v>27050</v>
      </c>
      <c r="D20" s="3158">
        <v>29010</v>
      </c>
      <c r="E20" s="3158">
        <v>28910</v>
      </c>
      <c r="F20" s="3164"/>
      <c r="G20" s="3165">
        <v>21110</v>
      </c>
      <c r="K20" s="3158" t="s">
        <v>1107</v>
      </c>
      <c r="L20" s="3158" t="s">
        <v>1108</v>
      </c>
      <c r="M20" s="3158" t="s">
        <v>1109</v>
      </c>
      <c r="N20" s="3158" t="s">
        <v>1110</v>
      </c>
      <c r="O20" s="3158" t="s">
        <v>1111</v>
      </c>
      <c r="P20" s="3158" t="s">
        <v>2904</v>
      </c>
      <c r="Q20" s="3158" t="s">
        <v>2934</v>
      </c>
      <c r="R20" s="3158" t="s">
        <v>1139</v>
      </c>
      <c r="S20" s="3158" t="s">
        <v>2998</v>
      </c>
      <c r="T20" s="3158" t="s">
        <v>1126</v>
      </c>
    </row>
    <row r="21" spans="1:20" ht="14.25" customHeight="1">
      <c r="A21" s="3158" t="s">
        <v>1031</v>
      </c>
      <c r="B21" s="1216" t="s">
        <v>1055</v>
      </c>
      <c r="C21" s="3158">
        <v>32370</v>
      </c>
      <c r="D21" s="3158">
        <v>26730</v>
      </c>
      <c r="E21" s="3158">
        <v>26640</v>
      </c>
      <c r="F21" s="3164"/>
      <c r="G21" s="3165">
        <v>19440</v>
      </c>
      <c r="K21" s="3167" t="s">
        <v>2826</v>
      </c>
      <c r="L21" s="3158" t="s">
        <v>1115</v>
      </c>
      <c r="M21" s="3158" t="s">
        <v>1116</v>
      </c>
      <c r="N21" s="3158" t="s">
        <v>1117</v>
      </c>
      <c r="O21" s="3158" t="s">
        <v>1118</v>
      </c>
      <c r="P21" s="3158" t="s">
        <v>1112</v>
      </c>
      <c r="Q21" s="3158" t="s">
        <v>1132</v>
      </c>
      <c r="R21" s="3158" t="s">
        <v>1142</v>
      </c>
      <c r="S21" s="3158" t="s">
        <v>2999</v>
      </c>
      <c r="T21" s="3158" t="s">
        <v>3020</v>
      </c>
    </row>
    <row r="22" spans="1:20" ht="14.25" customHeight="1">
      <c r="A22" s="3158" t="s">
        <v>1031</v>
      </c>
      <c r="B22" s="1216" t="s">
        <v>1062</v>
      </c>
      <c r="C22" s="3158">
        <v>29830</v>
      </c>
      <c r="D22" s="3158">
        <v>27600</v>
      </c>
      <c r="E22" s="3158">
        <v>28150</v>
      </c>
      <c r="F22" s="3164"/>
      <c r="G22" s="3165">
        <v>20080</v>
      </c>
      <c r="L22" s="3167" t="s">
        <v>2828</v>
      </c>
      <c r="M22" s="3158" t="s">
        <v>1120</v>
      </c>
      <c r="N22" s="3158" t="s">
        <v>1121</v>
      </c>
      <c r="O22" s="3158" t="s">
        <v>1122</v>
      </c>
      <c r="P22" s="3158" t="s">
        <v>2905</v>
      </c>
      <c r="Q22" s="3158" t="s">
        <v>1135</v>
      </c>
      <c r="R22" s="3158" t="s">
        <v>1144</v>
      </c>
      <c r="S22" s="3158" t="s">
        <v>1091</v>
      </c>
      <c r="T22" s="1216"/>
    </row>
    <row r="23" spans="1:20" ht="14.25" customHeight="1">
      <c r="A23" s="3158" t="s">
        <v>1031</v>
      </c>
      <c r="B23" s="1216" t="s">
        <v>1070</v>
      </c>
      <c r="C23" s="3158">
        <v>27800</v>
      </c>
      <c r="D23" s="3158">
        <v>26900</v>
      </c>
      <c r="E23" s="3158">
        <v>27170</v>
      </c>
      <c r="F23" s="3164"/>
      <c r="G23" s="3165">
        <v>19570</v>
      </c>
      <c r="L23" s="3167" t="s">
        <v>2829</v>
      </c>
      <c r="M23" s="3158" t="s">
        <v>1127</v>
      </c>
      <c r="N23" s="3158" t="s">
        <v>1128</v>
      </c>
      <c r="O23" s="3158" t="s">
        <v>2859</v>
      </c>
      <c r="P23" s="3158" t="s">
        <v>2906</v>
      </c>
      <c r="Q23" s="3158" t="s">
        <v>1138</v>
      </c>
      <c r="R23" s="3158" t="s">
        <v>1147</v>
      </c>
      <c r="S23" s="3158" t="s">
        <v>3000</v>
      </c>
    </row>
    <row r="24" spans="1:20" ht="14.25" customHeight="1">
      <c r="A24" s="3158" t="s">
        <v>1031</v>
      </c>
      <c r="B24" s="1216" t="s">
        <v>1078</v>
      </c>
      <c r="C24" s="3158">
        <v>27930</v>
      </c>
      <c r="D24" s="3158">
        <v>32260</v>
      </c>
      <c r="E24" s="3158">
        <v>32120</v>
      </c>
      <c r="F24" s="3164"/>
      <c r="G24" s="3165">
        <v>23470</v>
      </c>
      <c r="L24" s="3167" t="s">
        <v>2830</v>
      </c>
      <c r="M24" s="3158" t="s">
        <v>1130</v>
      </c>
      <c r="N24" s="3158" t="s">
        <v>1131</v>
      </c>
      <c r="O24" s="3158" t="s">
        <v>2860</v>
      </c>
      <c r="P24" s="3158" t="s">
        <v>1134</v>
      </c>
      <c r="Q24" s="3158" t="s">
        <v>2935</v>
      </c>
      <c r="R24" s="3158" t="s">
        <v>2963</v>
      </c>
      <c r="S24" s="3158" t="s">
        <v>3001</v>
      </c>
    </row>
    <row r="25" spans="1:20" ht="14.25" customHeight="1">
      <c r="A25" s="3158" t="s">
        <v>1031</v>
      </c>
      <c r="B25" s="1216" t="s">
        <v>1083</v>
      </c>
      <c r="C25" s="3158">
        <v>32230</v>
      </c>
      <c r="D25" s="3158">
        <v>29640</v>
      </c>
      <c r="E25" s="3158">
        <v>29510</v>
      </c>
      <c r="F25" s="3164"/>
      <c r="G25" s="3165">
        <v>21560</v>
      </c>
      <c r="L25" s="3167" t="s">
        <v>2831</v>
      </c>
      <c r="M25" s="3158" t="s">
        <v>2834</v>
      </c>
      <c r="N25" s="3158" t="s">
        <v>1133</v>
      </c>
      <c r="O25" s="3158" t="s">
        <v>1141</v>
      </c>
      <c r="P25" s="3158" t="s">
        <v>1137</v>
      </c>
      <c r="Q25" s="3158" t="s">
        <v>1124</v>
      </c>
      <c r="R25" s="3158" t="s">
        <v>1119</v>
      </c>
      <c r="S25" s="3158" t="s">
        <v>3002</v>
      </c>
    </row>
    <row r="26" spans="1:20" ht="14.25" customHeight="1">
      <c r="A26" s="3158" t="s">
        <v>1031</v>
      </c>
      <c r="B26" s="1216" t="s">
        <v>1092</v>
      </c>
      <c r="C26" s="3158">
        <v>31690</v>
      </c>
      <c r="D26" s="3158">
        <v>27650</v>
      </c>
      <c r="E26" s="3158">
        <v>28200</v>
      </c>
      <c r="F26" s="3164"/>
      <c r="G26" s="3165">
        <v>20110</v>
      </c>
      <c r="L26" s="3167" t="s">
        <v>2832</v>
      </c>
      <c r="M26" s="3158" t="s">
        <v>2835</v>
      </c>
      <c r="N26" s="3158" t="s">
        <v>1136</v>
      </c>
      <c r="O26" s="3158" t="s">
        <v>1143</v>
      </c>
      <c r="P26" s="3158" t="s">
        <v>2907</v>
      </c>
      <c r="Q26" s="3158" t="s">
        <v>2936</v>
      </c>
      <c r="R26" s="3158" t="s">
        <v>1125</v>
      </c>
      <c r="S26" s="3158" t="s">
        <v>3003</v>
      </c>
    </row>
    <row r="27" spans="1:20" ht="14.25" customHeight="1">
      <c r="A27" s="3158" t="s">
        <v>1031</v>
      </c>
      <c r="B27" s="1216" t="s">
        <v>1099</v>
      </c>
      <c r="C27" s="3158">
        <v>29610</v>
      </c>
      <c r="D27" s="3158">
        <v>27770</v>
      </c>
      <c r="E27" s="3158">
        <v>28300</v>
      </c>
      <c r="F27" s="3164"/>
      <c r="G27" s="3165">
        <v>20210</v>
      </c>
      <c r="M27" s="3158" t="s">
        <v>2836</v>
      </c>
      <c r="N27" s="3158" t="s">
        <v>1140</v>
      </c>
      <c r="O27" s="3158" t="s">
        <v>1146</v>
      </c>
      <c r="P27" s="3158" t="s">
        <v>1123</v>
      </c>
      <c r="Q27" s="3158" t="s">
        <v>2937</v>
      </c>
      <c r="R27" s="3158" t="s">
        <v>2964</v>
      </c>
      <c r="S27" s="3158" t="s">
        <v>3004</v>
      </c>
    </row>
    <row r="28" spans="1:20" ht="14.25" customHeight="1">
      <c r="A28" s="3172" t="s">
        <v>1031</v>
      </c>
      <c r="B28" s="2406" t="s">
        <v>1107</v>
      </c>
      <c r="C28" s="1214"/>
      <c r="D28" s="1214">
        <v>31520</v>
      </c>
      <c r="E28" s="1214">
        <v>31410</v>
      </c>
      <c r="F28" s="3169"/>
      <c r="G28" s="3170">
        <v>22940</v>
      </c>
      <c r="M28" s="3158" t="s">
        <v>2837</v>
      </c>
      <c r="N28" s="3158" t="s">
        <v>2844</v>
      </c>
      <c r="O28" s="3158" t="s">
        <v>2861</v>
      </c>
      <c r="P28" s="3158" t="s">
        <v>2908</v>
      </c>
      <c r="Q28" s="3158" t="s">
        <v>2938</v>
      </c>
      <c r="R28" s="3158" t="s">
        <v>2965</v>
      </c>
      <c r="S28" s="3167" t="s">
        <v>3005</v>
      </c>
    </row>
    <row r="29" spans="1:20" ht="14.25" customHeight="1" thickBot="1">
      <c r="A29" s="3173" t="s">
        <v>1031</v>
      </c>
      <c r="B29" s="3161" t="s">
        <v>2826</v>
      </c>
      <c r="C29" s="3161"/>
      <c r="D29" s="3161">
        <v>29460</v>
      </c>
      <c r="E29" s="3161">
        <v>28640</v>
      </c>
      <c r="F29" s="3162"/>
      <c r="G29" s="3174">
        <v>21430</v>
      </c>
      <c r="M29" s="3167" t="s">
        <v>2838</v>
      </c>
      <c r="N29" s="3158" t="s">
        <v>2845</v>
      </c>
      <c r="O29" s="3158" t="s">
        <v>2862</v>
      </c>
      <c r="P29" s="3158" t="s">
        <v>2909</v>
      </c>
      <c r="Q29" s="3158" t="s">
        <v>2939</v>
      </c>
      <c r="R29" s="3158" t="s">
        <v>2966</v>
      </c>
      <c r="S29" s="3167" t="s">
        <v>1129</v>
      </c>
    </row>
    <row r="30" spans="1:20" ht="14.25" customHeight="1">
      <c r="A30" s="3172" t="s">
        <v>1145</v>
      </c>
      <c r="B30" s="1216" t="s">
        <v>2827</v>
      </c>
      <c r="C30" s="1216">
        <v>26890</v>
      </c>
      <c r="D30" s="1216">
        <v>26770</v>
      </c>
      <c r="E30" s="1216">
        <v>25700</v>
      </c>
      <c r="F30" s="3159">
        <v>8180</v>
      </c>
      <c r="G30" s="3159">
        <v>18740</v>
      </c>
      <c r="I30" s="971"/>
      <c r="M30" s="3167" t="s">
        <v>2839</v>
      </c>
      <c r="N30" s="3158" t="s">
        <v>2846</v>
      </c>
      <c r="O30" s="3158" t="s">
        <v>2863</v>
      </c>
      <c r="P30" s="3158" t="s">
        <v>2910</v>
      </c>
      <c r="Q30" s="3158" t="s">
        <v>2940</v>
      </c>
      <c r="R30" s="3158" t="s">
        <v>2967</v>
      </c>
      <c r="S30" s="3167" t="s">
        <v>3006</v>
      </c>
    </row>
    <row r="31" spans="1:20" ht="14.25" customHeight="1">
      <c r="A31" s="3158" t="s">
        <v>1145</v>
      </c>
      <c r="B31" s="1216" t="s">
        <v>974</v>
      </c>
      <c r="C31" s="3158">
        <v>24550</v>
      </c>
      <c r="D31" s="3158">
        <v>23990</v>
      </c>
      <c r="E31" s="3158">
        <v>22930</v>
      </c>
      <c r="F31" s="3164">
        <v>7470</v>
      </c>
      <c r="G31" s="3164">
        <v>16790</v>
      </c>
      <c r="I31" s="971"/>
      <c r="M31" s="3167" t="s">
        <v>2840</v>
      </c>
      <c r="N31" s="3158" t="s">
        <v>2847</v>
      </c>
      <c r="O31" s="3158" t="s">
        <v>2864</v>
      </c>
      <c r="P31" s="3158" t="s">
        <v>2911</v>
      </c>
      <c r="Q31" s="3158" t="s">
        <v>2941</v>
      </c>
      <c r="R31" s="3158" t="s">
        <v>2968</v>
      </c>
      <c r="S31" s="3167" t="s">
        <v>3007</v>
      </c>
    </row>
    <row r="32" spans="1:20" ht="14.25" customHeight="1">
      <c r="A32" s="3158" t="s">
        <v>1145</v>
      </c>
      <c r="B32" s="1216" t="s">
        <v>984</v>
      </c>
      <c r="C32" s="3158">
        <v>27210</v>
      </c>
      <c r="D32" s="3158">
        <v>23240</v>
      </c>
      <c r="E32" s="3158">
        <v>23260</v>
      </c>
      <c r="F32" s="3164">
        <v>7130</v>
      </c>
      <c r="G32" s="3164">
        <v>16270</v>
      </c>
      <c r="I32" s="971"/>
      <c r="M32" s="3167" t="s">
        <v>2841</v>
      </c>
      <c r="N32" s="3158" t="s">
        <v>2848</v>
      </c>
      <c r="O32" s="3158" t="s">
        <v>1149</v>
      </c>
      <c r="P32" s="3158" t="s">
        <v>2912</v>
      </c>
      <c r="Q32" s="3158" t="s">
        <v>1148</v>
      </c>
      <c r="R32" s="3158" t="s">
        <v>2969</v>
      </c>
      <c r="S32" s="3167" t="s">
        <v>3008</v>
      </c>
    </row>
    <row r="33" spans="1:18" ht="14.25" customHeight="1">
      <c r="A33" s="3158" t="s">
        <v>1145</v>
      </c>
      <c r="B33" s="1216" t="s">
        <v>993</v>
      </c>
      <c r="C33" s="3158">
        <v>27300</v>
      </c>
      <c r="D33" s="3158">
        <v>22980</v>
      </c>
      <c r="E33" s="3158">
        <v>24260</v>
      </c>
      <c r="F33" s="3164">
        <v>5860</v>
      </c>
      <c r="G33" s="3164">
        <v>16090</v>
      </c>
      <c r="I33" s="971"/>
      <c r="M33" s="3167" t="s">
        <v>2842</v>
      </c>
      <c r="N33" s="3158" t="s">
        <v>2849</v>
      </c>
      <c r="O33" s="3158" t="s">
        <v>1150</v>
      </c>
      <c r="P33" s="3158" t="s">
        <v>2913</v>
      </c>
      <c r="Q33" s="3158" t="s">
        <v>2942</v>
      </c>
      <c r="R33" s="3158" t="s">
        <v>2970</v>
      </c>
    </row>
    <row r="34" spans="1:18" ht="14.25" customHeight="1">
      <c r="A34" s="3158" t="s">
        <v>1145</v>
      </c>
      <c r="B34" s="1216" t="s">
        <v>1003</v>
      </c>
      <c r="C34" s="3158">
        <v>23090</v>
      </c>
      <c r="D34" s="3158">
        <v>23390</v>
      </c>
      <c r="E34" s="3158">
        <v>23510</v>
      </c>
      <c r="F34" s="3164">
        <v>6700</v>
      </c>
      <c r="G34" s="3164">
        <v>16370</v>
      </c>
      <c r="I34" s="971"/>
      <c r="N34" s="3158" t="s">
        <v>2850</v>
      </c>
      <c r="O34" s="3158" t="s">
        <v>1151</v>
      </c>
      <c r="P34" s="3158" t="s">
        <v>2914</v>
      </c>
      <c r="Q34" s="3158" t="s">
        <v>2943</v>
      </c>
      <c r="R34" s="3158" t="s">
        <v>2971</v>
      </c>
    </row>
    <row r="35" spans="1:18" ht="14.25" customHeight="1">
      <c r="A35" s="3158" t="s">
        <v>1145</v>
      </c>
      <c r="B35" s="1216" t="s">
        <v>1010</v>
      </c>
      <c r="C35" s="3158">
        <v>27270</v>
      </c>
      <c r="D35" s="3158">
        <v>24270</v>
      </c>
      <c r="E35" s="3158">
        <v>24950</v>
      </c>
      <c r="F35" s="3164">
        <v>6600</v>
      </c>
      <c r="G35" s="3164">
        <v>16990</v>
      </c>
      <c r="I35" s="971"/>
      <c r="N35" s="3158" t="s">
        <v>2851</v>
      </c>
      <c r="O35" s="3158" t="s">
        <v>2865</v>
      </c>
      <c r="P35" s="3158" t="s">
        <v>2915</v>
      </c>
      <c r="Q35" s="3158" t="s">
        <v>2944</v>
      </c>
      <c r="R35" s="3158" t="s">
        <v>2972</v>
      </c>
    </row>
    <row r="36" spans="1:18" ht="14.25" customHeight="1">
      <c r="A36" s="3158" t="s">
        <v>1145</v>
      </c>
      <c r="B36" s="1216" t="s">
        <v>1016</v>
      </c>
      <c r="C36" s="3158">
        <v>23490</v>
      </c>
      <c r="D36" s="3158">
        <v>23020</v>
      </c>
      <c r="E36" s="3158">
        <v>25230</v>
      </c>
      <c r="F36" s="3164">
        <v>6780</v>
      </c>
      <c r="G36" s="3164">
        <v>16120</v>
      </c>
      <c r="I36" s="971"/>
      <c r="N36" s="3167" t="s">
        <v>2852</v>
      </c>
      <c r="O36" s="3194" t="s">
        <v>2866</v>
      </c>
      <c r="P36" s="3158" t="s">
        <v>2916</v>
      </c>
      <c r="Q36" s="3158" t="s">
        <v>2945</v>
      </c>
      <c r="R36" s="3158" t="s">
        <v>2973</v>
      </c>
    </row>
    <row r="37" spans="1:18" ht="14.25" customHeight="1">
      <c r="A37" s="3158" t="s">
        <v>1145</v>
      </c>
      <c r="B37" s="1216" t="s">
        <v>1023</v>
      </c>
      <c r="C37" s="3158">
        <v>24380</v>
      </c>
      <c r="D37" s="3158">
        <v>22240</v>
      </c>
      <c r="E37" s="3158">
        <v>25980</v>
      </c>
      <c r="F37" s="3164">
        <v>8160</v>
      </c>
      <c r="G37" s="3164">
        <v>15570</v>
      </c>
      <c r="I37" s="972"/>
      <c r="N37" s="3167" t="s">
        <v>2853</v>
      </c>
      <c r="O37" s="3194" t="s">
        <v>2867</v>
      </c>
      <c r="P37" s="3158" t="s">
        <v>2917</v>
      </c>
      <c r="Q37" s="3158" t="s">
        <v>2946</v>
      </c>
      <c r="R37" s="3158" t="s">
        <v>2974</v>
      </c>
    </row>
    <row r="38" spans="1:18" ht="14.25" customHeight="1">
      <c r="A38" s="3158" t="s">
        <v>1145</v>
      </c>
      <c r="B38" s="1216" t="s">
        <v>1033</v>
      </c>
      <c r="C38" s="3158">
        <v>23120</v>
      </c>
      <c r="D38" s="3158">
        <v>24630</v>
      </c>
      <c r="E38" s="3158">
        <v>25030</v>
      </c>
      <c r="F38" s="3164">
        <v>7710</v>
      </c>
      <c r="G38" s="3164">
        <v>17240</v>
      </c>
      <c r="I38" s="971"/>
      <c r="N38" s="3167" t="s">
        <v>2854</v>
      </c>
      <c r="O38" s="3194" t="s">
        <v>2868</v>
      </c>
      <c r="P38" s="3158" t="s">
        <v>2918</v>
      </c>
      <c r="Q38" s="3158" t="s">
        <v>2947</v>
      </c>
      <c r="R38" s="3158" t="s">
        <v>2975</v>
      </c>
    </row>
    <row r="39" spans="1:18" ht="14.25" customHeight="1">
      <c r="A39" s="3158" t="s">
        <v>1145</v>
      </c>
      <c r="B39" s="1216" t="s">
        <v>1042</v>
      </c>
      <c r="C39" s="3158">
        <v>22330</v>
      </c>
      <c r="D39" s="3158">
        <v>21140</v>
      </c>
      <c r="E39" s="3158">
        <v>23970</v>
      </c>
      <c r="F39" s="3164">
        <v>7940</v>
      </c>
      <c r="G39" s="3164">
        <v>14790</v>
      </c>
      <c r="I39" s="971"/>
      <c r="N39" s="3167" t="s">
        <v>2855</v>
      </c>
      <c r="O39" s="3194" t="s">
        <v>2869</v>
      </c>
      <c r="P39" s="3158" t="s">
        <v>2919</v>
      </c>
      <c r="Q39" s="3158" t="s">
        <v>2948</v>
      </c>
      <c r="R39" s="3158" t="s">
        <v>2976</v>
      </c>
    </row>
    <row r="40" spans="1:18" ht="14.25" customHeight="1">
      <c r="A40" s="3158" t="s">
        <v>1145</v>
      </c>
      <c r="B40" s="1216" t="s">
        <v>1049</v>
      </c>
      <c r="C40" s="3158">
        <v>24740</v>
      </c>
      <c r="D40" s="3158">
        <v>24690</v>
      </c>
      <c r="E40" s="3158">
        <v>22610</v>
      </c>
      <c r="F40" s="3164"/>
      <c r="G40" s="3164">
        <v>17280</v>
      </c>
      <c r="I40" s="971"/>
      <c r="N40" s="3167" t="s">
        <v>2856</v>
      </c>
      <c r="O40" s="3194" t="s">
        <v>2870</v>
      </c>
      <c r="P40" s="3158" t="s">
        <v>2920</v>
      </c>
      <c r="Q40" s="3158" t="s">
        <v>2949</v>
      </c>
      <c r="R40" s="3158" t="s">
        <v>2977</v>
      </c>
    </row>
    <row r="41" spans="1:18" ht="14.25" customHeight="1">
      <c r="A41" s="3158" t="s">
        <v>1145</v>
      </c>
      <c r="B41" s="1216" t="s">
        <v>1056</v>
      </c>
      <c r="C41" s="3158">
        <v>21220</v>
      </c>
      <c r="D41" s="3158">
        <v>21120</v>
      </c>
      <c r="E41" s="3158">
        <v>22590</v>
      </c>
      <c r="F41" s="3164"/>
      <c r="G41" s="3164">
        <v>14780</v>
      </c>
      <c r="I41" s="971"/>
      <c r="N41" s="3167" t="s">
        <v>2857</v>
      </c>
      <c r="O41" s="3195" t="s">
        <v>2871</v>
      </c>
      <c r="P41" s="1216" t="s">
        <v>2921</v>
      </c>
      <c r="Q41" s="3167" t="s">
        <v>2950</v>
      </c>
      <c r="R41" s="1216" t="s">
        <v>2978</v>
      </c>
    </row>
    <row r="42" spans="1:18" ht="14.25" customHeight="1">
      <c r="A42" s="3158" t="s">
        <v>1145</v>
      </c>
      <c r="B42" s="1216" t="s">
        <v>1063</v>
      </c>
      <c r="C42" s="3158">
        <v>24800</v>
      </c>
      <c r="D42" s="3158">
        <v>22280</v>
      </c>
      <c r="E42" s="3158">
        <v>24350</v>
      </c>
      <c r="F42" s="3164"/>
      <c r="G42" s="3164">
        <v>15590</v>
      </c>
      <c r="I42" s="971"/>
      <c r="O42" s="3158" t="s">
        <v>2872</v>
      </c>
      <c r="P42" s="3158" t="s">
        <v>2922</v>
      </c>
      <c r="Q42" s="3167" t="s">
        <v>2951</v>
      </c>
      <c r="R42" s="3158" t="s">
        <v>2979</v>
      </c>
    </row>
    <row r="43" spans="1:18" ht="14.25" customHeight="1">
      <c r="A43" s="3158" t="s">
        <v>1145</v>
      </c>
      <c r="B43" s="1216" t="s">
        <v>1071</v>
      </c>
      <c r="C43" s="3158">
        <v>21210</v>
      </c>
      <c r="D43" s="3158">
        <v>21160</v>
      </c>
      <c r="E43" s="3158">
        <v>22650</v>
      </c>
      <c r="F43" s="3164"/>
      <c r="G43" s="3164">
        <v>14800</v>
      </c>
      <c r="I43" s="971"/>
      <c r="O43" s="3158" t="s">
        <v>2873</v>
      </c>
      <c r="P43" s="3158" t="s">
        <v>2923</v>
      </c>
      <c r="Q43" s="3167" t="s">
        <v>2952</v>
      </c>
      <c r="R43" s="3158" t="s">
        <v>2980</v>
      </c>
    </row>
    <row r="44" spans="1:18" ht="14.25" customHeight="1">
      <c r="A44" s="3158" t="s">
        <v>1145</v>
      </c>
      <c r="B44" s="1216" t="s">
        <v>1079</v>
      </c>
      <c r="C44" s="3158">
        <v>22370</v>
      </c>
      <c r="D44" s="3158">
        <v>23140</v>
      </c>
      <c r="E44" s="3158">
        <v>25090</v>
      </c>
      <c r="F44" s="3164"/>
      <c r="G44" s="3164">
        <v>16190</v>
      </c>
      <c r="I44" s="971"/>
      <c r="O44" s="3158" t="s">
        <v>2874</v>
      </c>
      <c r="P44" s="3158" t="s">
        <v>2924</v>
      </c>
      <c r="Q44" s="3167" t="s">
        <v>2953</v>
      </c>
      <c r="R44" s="3158" t="s">
        <v>2981</v>
      </c>
    </row>
    <row r="45" spans="1:18" ht="14.25" customHeight="1">
      <c r="A45" s="3158" t="s">
        <v>1145</v>
      </c>
      <c r="B45" s="1216" t="s">
        <v>1084</v>
      </c>
      <c r="C45" s="3158">
        <v>21240</v>
      </c>
      <c r="D45" s="3158">
        <v>27050</v>
      </c>
      <c r="E45" s="3158">
        <v>28000</v>
      </c>
      <c r="F45" s="3164"/>
      <c r="G45" s="3164">
        <v>18940</v>
      </c>
      <c r="I45" s="971"/>
      <c r="O45" s="3158" t="s">
        <v>2875</v>
      </c>
      <c r="P45" s="3158" t="s">
        <v>2925</v>
      </c>
      <c r="R45" s="3158" t="s">
        <v>2982</v>
      </c>
    </row>
    <row r="46" spans="1:18" ht="14.25" customHeight="1">
      <c r="A46" s="3158" t="s">
        <v>1145</v>
      </c>
      <c r="B46" s="1216" t="s">
        <v>1093</v>
      </c>
      <c r="C46" s="3158">
        <v>23240</v>
      </c>
      <c r="D46" s="3158">
        <v>23000</v>
      </c>
      <c r="E46" s="3158">
        <v>24980</v>
      </c>
      <c r="F46" s="3164"/>
      <c r="G46" s="3164">
        <v>16100</v>
      </c>
      <c r="I46" s="971"/>
      <c r="O46" s="3158" t="s">
        <v>2876</v>
      </c>
      <c r="P46" s="3158"/>
      <c r="R46" s="3158" t="s">
        <v>2983</v>
      </c>
    </row>
    <row r="47" spans="1:18" ht="14.25" customHeight="1">
      <c r="A47" s="3158" t="s">
        <v>1145</v>
      </c>
      <c r="B47" s="2406" t="s">
        <v>1100</v>
      </c>
      <c r="C47" s="1214">
        <v>27150</v>
      </c>
      <c r="D47" s="1214">
        <v>23310</v>
      </c>
      <c r="E47" s="1214">
        <v>25150</v>
      </c>
      <c r="F47" s="3169"/>
      <c r="G47" s="3169">
        <v>16310</v>
      </c>
      <c r="I47" s="971"/>
      <c r="O47" s="3158" t="s">
        <v>2877</v>
      </c>
      <c r="P47" s="3158"/>
      <c r="R47" s="3167" t="s">
        <v>2984</v>
      </c>
    </row>
    <row r="48" spans="1:18" ht="14.25" customHeight="1">
      <c r="A48" s="3158" t="s">
        <v>1145</v>
      </c>
      <c r="B48" s="3158" t="s">
        <v>1108</v>
      </c>
      <c r="C48" s="3158">
        <v>23100</v>
      </c>
      <c r="D48" s="3158">
        <v>21110</v>
      </c>
      <c r="E48" s="3158">
        <v>23080</v>
      </c>
      <c r="F48" s="3164"/>
      <c r="G48" s="3171">
        <v>14780</v>
      </c>
      <c r="I48" s="971"/>
      <c r="O48" s="3158" t="s">
        <v>2878</v>
      </c>
      <c r="P48" s="3158"/>
      <c r="R48" s="3167" t="s">
        <v>2985</v>
      </c>
    </row>
    <row r="49" spans="1:18" ht="14.25" customHeight="1">
      <c r="A49" s="3158" t="s">
        <v>1145</v>
      </c>
      <c r="B49" s="1216" t="s">
        <v>1115</v>
      </c>
      <c r="C49" s="1216">
        <v>23400</v>
      </c>
      <c r="D49" s="1216">
        <v>22920</v>
      </c>
      <c r="E49" s="1216">
        <v>24900</v>
      </c>
      <c r="F49" s="3159"/>
      <c r="G49" s="3159">
        <v>16040</v>
      </c>
      <c r="I49" s="971"/>
      <c r="O49" s="3158" t="s">
        <v>2879</v>
      </c>
      <c r="P49" s="3158"/>
      <c r="R49" s="3167" t="s">
        <v>2986</v>
      </c>
    </row>
    <row r="50" spans="1:18" ht="14.25" customHeight="1">
      <c r="A50" s="3158" t="s">
        <v>1145</v>
      </c>
      <c r="B50" s="3158" t="s">
        <v>2828</v>
      </c>
      <c r="C50" s="3158">
        <v>21200</v>
      </c>
      <c r="D50" s="3158">
        <v>26540</v>
      </c>
      <c r="E50" s="3158">
        <v>23200</v>
      </c>
      <c r="F50" s="3164"/>
      <c r="G50" s="3164">
        <v>18580</v>
      </c>
      <c r="I50" s="971"/>
      <c r="O50" s="3167" t="s">
        <v>2880</v>
      </c>
      <c r="R50" s="3167" t="s">
        <v>2987</v>
      </c>
    </row>
    <row r="51" spans="1:18" ht="14.25" customHeight="1">
      <c r="A51" s="3158" t="s">
        <v>1145</v>
      </c>
      <c r="B51" s="3158" t="s">
        <v>2829</v>
      </c>
      <c r="C51" s="3158">
        <v>23000</v>
      </c>
      <c r="D51" s="3158">
        <v>23460</v>
      </c>
      <c r="E51" s="3158">
        <v>25290</v>
      </c>
      <c r="F51" s="3164"/>
      <c r="G51" s="3164">
        <v>16420</v>
      </c>
      <c r="I51" s="971"/>
      <c r="O51" s="3167" t="s">
        <v>2881</v>
      </c>
      <c r="R51" s="3167" t="s">
        <v>2988</v>
      </c>
    </row>
    <row r="52" spans="1:18" ht="14.25" customHeight="1">
      <c r="A52" s="3158" t="s">
        <v>1145</v>
      </c>
      <c r="B52" s="3158" t="s">
        <v>2830</v>
      </c>
      <c r="C52" s="3158">
        <v>26660</v>
      </c>
      <c r="D52" s="3158">
        <v>22350</v>
      </c>
      <c r="E52" s="3158">
        <v>22920</v>
      </c>
      <c r="F52" s="3164"/>
      <c r="G52" s="3164">
        <v>15640</v>
      </c>
      <c r="I52" s="971"/>
      <c r="O52" s="3167" t="s">
        <v>2882</v>
      </c>
    </row>
    <row r="53" spans="1:18" ht="14.25" customHeight="1">
      <c r="A53" s="3158" t="s">
        <v>1145</v>
      </c>
      <c r="B53" s="3158" t="s">
        <v>2831</v>
      </c>
      <c r="C53" s="3158">
        <v>23580</v>
      </c>
      <c r="D53" s="3158"/>
      <c r="E53" s="3158">
        <v>24280</v>
      </c>
      <c r="F53" s="3164"/>
      <c r="G53" s="3164"/>
      <c r="I53" s="971"/>
      <c r="O53" s="3167" t="s">
        <v>2883</v>
      </c>
    </row>
    <row r="54" spans="1:18" ht="14.25" customHeight="1" thickBot="1">
      <c r="A54" s="3173" t="s">
        <v>1145</v>
      </c>
      <c r="B54" s="3161" t="s">
        <v>2832</v>
      </c>
      <c r="C54" s="3161">
        <v>22460</v>
      </c>
      <c r="D54" s="3161"/>
      <c r="E54" s="3161"/>
      <c r="F54" s="3162"/>
      <c r="G54" s="3174"/>
      <c r="I54" s="971"/>
      <c r="O54" s="3167" t="s">
        <v>2884</v>
      </c>
    </row>
    <row r="55" spans="1:18" ht="14.25" customHeight="1">
      <c r="A55" s="3172" t="s">
        <v>853</v>
      </c>
      <c r="B55" s="1216" t="s">
        <v>2833</v>
      </c>
      <c r="C55" s="1216">
        <v>21970</v>
      </c>
      <c r="D55" s="1216">
        <v>20370</v>
      </c>
      <c r="E55" s="1216">
        <v>20180</v>
      </c>
      <c r="F55" s="3159">
        <v>5730</v>
      </c>
      <c r="G55" s="3159">
        <v>13820</v>
      </c>
      <c r="I55" s="971"/>
      <c r="O55" s="3167" t="s">
        <v>2885</v>
      </c>
    </row>
    <row r="56" spans="1:18" ht="14.25" customHeight="1">
      <c r="A56" s="3158" t="s">
        <v>853</v>
      </c>
      <c r="B56" s="3158" t="s">
        <v>975</v>
      </c>
      <c r="C56" s="3158">
        <v>20470</v>
      </c>
      <c r="D56" s="3158">
        <v>20700</v>
      </c>
      <c r="E56" s="3158">
        <v>20380</v>
      </c>
      <c r="F56" s="3164">
        <v>4760</v>
      </c>
      <c r="G56" s="3164">
        <v>14050</v>
      </c>
      <c r="I56" s="971"/>
      <c r="O56" s="3167" t="s">
        <v>2886</v>
      </c>
    </row>
    <row r="57" spans="1:18" ht="14.25" customHeight="1">
      <c r="A57" s="3158" t="s">
        <v>853</v>
      </c>
      <c r="B57" s="3158" t="s">
        <v>985</v>
      </c>
      <c r="C57" s="3158">
        <v>20790</v>
      </c>
      <c r="D57" s="3158">
        <v>21370</v>
      </c>
      <c r="E57" s="3158">
        <v>20890</v>
      </c>
      <c r="F57" s="3164">
        <v>4910</v>
      </c>
      <c r="G57" s="3164">
        <v>14510</v>
      </c>
      <c r="I57" s="971"/>
      <c r="O57" s="3167" t="s">
        <v>2887</v>
      </c>
    </row>
    <row r="58" spans="1:18" ht="14.25" customHeight="1">
      <c r="A58" s="3158" t="s">
        <v>853</v>
      </c>
      <c r="B58" s="3158" t="s">
        <v>994</v>
      </c>
      <c r="C58" s="3158">
        <v>21460</v>
      </c>
      <c r="D58" s="3158">
        <v>20920</v>
      </c>
      <c r="E58" s="3158">
        <v>23410</v>
      </c>
      <c r="F58" s="3164">
        <v>5100</v>
      </c>
      <c r="G58" s="3164">
        <v>14200</v>
      </c>
      <c r="I58" s="971"/>
      <c r="O58" s="3167" t="s">
        <v>2888</v>
      </c>
    </row>
    <row r="59" spans="1:18" ht="14.25" customHeight="1">
      <c r="A59" s="3158" t="s">
        <v>853</v>
      </c>
      <c r="B59" s="3158" t="s">
        <v>1004</v>
      </c>
      <c r="C59" s="3158">
        <v>21000</v>
      </c>
      <c r="D59" s="3158">
        <v>21550</v>
      </c>
      <c r="E59" s="3158">
        <v>21150</v>
      </c>
      <c r="F59" s="3164">
        <v>5250</v>
      </c>
      <c r="G59" s="3164">
        <v>14630</v>
      </c>
      <c r="I59" s="971"/>
      <c r="O59" s="3167" t="s">
        <v>2889</v>
      </c>
    </row>
    <row r="60" spans="1:18" ht="14.25" customHeight="1">
      <c r="A60" s="3158" t="s">
        <v>853</v>
      </c>
      <c r="B60" s="3158" t="s">
        <v>1011</v>
      </c>
      <c r="C60" s="3158">
        <v>21640</v>
      </c>
      <c r="D60" s="3158">
        <v>21260</v>
      </c>
      <c r="E60" s="3158">
        <v>24040</v>
      </c>
      <c r="F60" s="3164">
        <v>4470</v>
      </c>
      <c r="G60" s="3164">
        <v>14430</v>
      </c>
      <c r="I60" s="971"/>
      <c r="O60" s="3167" t="s">
        <v>2890</v>
      </c>
    </row>
    <row r="61" spans="1:18" ht="14.25" customHeight="1">
      <c r="A61" s="3158" t="s">
        <v>853</v>
      </c>
      <c r="B61" s="3158" t="s">
        <v>1017</v>
      </c>
      <c r="C61" s="3158">
        <v>21330</v>
      </c>
      <c r="D61" s="3158">
        <v>18640</v>
      </c>
      <c r="E61" s="3158">
        <v>21190</v>
      </c>
      <c r="F61" s="3164">
        <v>4180</v>
      </c>
      <c r="G61" s="3166">
        <v>12650</v>
      </c>
      <c r="I61" s="971"/>
      <c r="O61" s="3167" t="s">
        <v>2891</v>
      </c>
    </row>
    <row r="62" spans="1:18" ht="14.25" customHeight="1">
      <c r="A62" s="3158" t="s">
        <v>853</v>
      </c>
      <c r="B62" s="3158" t="s">
        <v>1024</v>
      </c>
      <c r="C62" s="3158">
        <v>18710</v>
      </c>
      <c r="D62" s="3158">
        <v>19400</v>
      </c>
      <c r="E62" s="3158">
        <v>23750</v>
      </c>
      <c r="F62" s="3164">
        <v>4860</v>
      </c>
      <c r="G62" s="3166">
        <v>13170</v>
      </c>
      <c r="I62" s="971"/>
      <c r="O62" s="3167" t="s">
        <v>2892</v>
      </c>
    </row>
    <row r="63" spans="1:18" ht="14.25" customHeight="1">
      <c r="A63" s="3158" t="s">
        <v>853</v>
      </c>
      <c r="B63" s="3158" t="s">
        <v>1034</v>
      </c>
      <c r="C63" s="3158">
        <v>19480</v>
      </c>
      <c r="D63" s="3158">
        <v>16830</v>
      </c>
      <c r="E63" s="3158">
        <v>21590</v>
      </c>
      <c r="F63" s="3164">
        <v>4560</v>
      </c>
      <c r="G63" s="3166">
        <v>11420</v>
      </c>
      <c r="I63" s="971"/>
      <c r="O63" s="3167" t="s">
        <v>2893</v>
      </c>
    </row>
    <row r="64" spans="1:18" ht="14.25" customHeight="1">
      <c r="A64" s="3158" t="s">
        <v>853</v>
      </c>
      <c r="B64" s="3158" t="s">
        <v>1043</v>
      </c>
      <c r="C64" s="3158">
        <v>16920</v>
      </c>
      <c r="D64" s="3158">
        <v>19190</v>
      </c>
      <c r="E64" s="3158">
        <v>22200</v>
      </c>
      <c r="F64" s="3164">
        <v>4390</v>
      </c>
      <c r="G64" s="3166">
        <v>13030</v>
      </c>
      <c r="I64" s="971"/>
      <c r="O64" s="3167" t="s">
        <v>2894</v>
      </c>
    </row>
    <row r="65" spans="1:21" s="960" customFormat="1" ht="14.25" customHeight="1">
      <c r="A65" s="3158" t="s">
        <v>853</v>
      </c>
      <c r="B65" s="3158" t="s">
        <v>1050</v>
      </c>
      <c r="C65" s="3158">
        <v>19290</v>
      </c>
      <c r="D65" s="3158">
        <v>17020</v>
      </c>
      <c r="E65" s="3158">
        <v>19880</v>
      </c>
      <c r="F65" s="3164">
        <v>4070</v>
      </c>
      <c r="G65" s="3164">
        <v>11550</v>
      </c>
      <c r="I65" s="971"/>
      <c r="J65" s="3193"/>
      <c r="K65" s="3193"/>
      <c r="L65" s="3193"/>
      <c r="M65" s="3193"/>
      <c r="N65" s="3193"/>
      <c r="O65" s="3193"/>
      <c r="P65" s="3193"/>
      <c r="Q65" s="3193"/>
      <c r="R65" s="3193"/>
      <c r="S65" s="3193"/>
      <c r="T65" s="3193"/>
      <c r="U65" s="3193"/>
    </row>
    <row r="66" spans="1:21" s="960" customFormat="1" ht="14.25" customHeight="1">
      <c r="A66" s="3158" t="s">
        <v>853</v>
      </c>
      <c r="B66" s="3158" t="s">
        <v>1057</v>
      </c>
      <c r="C66" s="3158">
        <v>17090</v>
      </c>
      <c r="D66" s="3158">
        <v>18340</v>
      </c>
      <c r="E66" s="3158">
        <v>21830</v>
      </c>
      <c r="F66" s="3164">
        <v>4690</v>
      </c>
      <c r="G66" s="3164">
        <v>12450</v>
      </c>
      <c r="I66" s="971"/>
      <c r="J66" s="3193"/>
      <c r="K66" s="3193"/>
      <c r="L66" s="3193"/>
      <c r="M66" s="3193"/>
      <c r="N66" s="3193"/>
      <c r="O66" s="3193"/>
      <c r="P66" s="3193"/>
      <c r="Q66" s="3193"/>
      <c r="R66" s="3193"/>
      <c r="S66" s="3193"/>
      <c r="T66" s="3193"/>
      <c r="U66" s="3193"/>
    </row>
    <row r="67" spans="1:21" s="960" customFormat="1" ht="14.25" customHeight="1">
      <c r="A67" s="3158" t="s">
        <v>853</v>
      </c>
      <c r="B67" s="3158" t="s">
        <v>1064</v>
      </c>
      <c r="C67" s="3158">
        <v>18420</v>
      </c>
      <c r="D67" s="3158">
        <v>16360</v>
      </c>
      <c r="E67" s="3158">
        <v>20020</v>
      </c>
      <c r="F67" s="3164">
        <v>5150</v>
      </c>
      <c r="G67" s="3164">
        <v>11110</v>
      </c>
      <c r="I67" s="971"/>
      <c r="J67" s="3193"/>
      <c r="K67" s="3193"/>
      <c r="L67" s="3193"/>
      <c r="M67" s="3193"/>
      <c r="N67" s="3193"/>
      <c r="O67" s="3193"/>
      <c r="P67" s="3193"/>
      <c r="Q67" s="3193"/>
      <c r="R67" s="3193"/>
      <c r="S67" s="3193"/>
      <c r="T67" s="3193"/>
      <c r="U67" s="3193"/>
    </row>
    <row r="68" spans="1:21" s="960" customFormat="1" ht="14.25" customHeight="1">
      <c r="A68" s="3158" t="s">
        <v>853</v>
      </c>
      <c r="B68" s="3158" t="s">
        <v>1072</v>
      </c>
      <c r="C68" s="3158">
        <v>16450</v>
      </c>
      <c r="D68" s="3158">
        <v>18430</v>
      </c>
      <c r="E68" s="3158">
        <v>21010</v>
      </c>
      <c r="F68" s="3164">
        <v>4720</v>
      </c>
      <c r="G68" s="3164">
        <v>12510</v>
      </c>
      <c r="I68" s="971"/>
      <c r="J68" s="3193"/>
      <c r="K68" s="3193"/>
      <c r="L68" s="3193"/>
      <c r="M68" s="3193"/>
      <c r="N68" s="3193"/>
      <c r="O68" s="3193"/>
      <c r="P68" s="3193"/>
      <c r="Q68" s="3193"/>
      <c r="R68" s="3193"/>
      <c r="S68" s="3193"/>
      <c r="T68" s="3193"/>
      <c r="U68" s="3193"/>
    </row>
    <row r="69" spans="1:21" s="960" customFormat="1" ht="14.25" customHeight="1">
      <c r="A69" s="3158" t="s">
        <v>853</v>
      </c>
      <c r="B69" s="3158" t="s">
        <v>1080</v>
      </c>
      <c r="C69" s="3158">
        <v>18510</v>
      </c>
      <c r="D69" s="3158">
        <v>16300</v>
      </c>
      <c r="E69" s="3158">
        <v>18830</v>
      </c>
      <c r="F69" s="3164">
        <v>5400</v>
      </c>
      <c r="G69" s="3164">
        <v>11070</v>
      </c>
      <c r="I69" s="971"/>
      <c r="J69" s="3193"/>
      <c r="K69" s="3193"/>
      <c r="L69" s="3193"/>
      <c r="M69" s="3193"/>
      <c r="N69" s="3193"/>
      <c r="O69" s="3193"/>
      <c r="P69" s="3193"/>
      <c r="Q69" s="3193"/>
      <c r="R69" s="3193"/>
      <c r="S69" s="3193"/>
      <c r="T69" s="3193"/>
      <c r="U69" s="3193"/>
    </row>
    <row r="70" spans="1:21" s="960" customFormat="1" ht="14.25" customHeight="1">
      <c r="A70" s="3158" t="s">
        <v>853</v>
      </c>
      <c r="B70" s="3158" t="s">
        <v>1085</v>
      </c>
      <c r="C70" s="3158">
        <v>16370</v>
      </c>
      <c r="D70" s="3158">
        <v>18620</v>
      </c>
      <c r="E70" s="3158">
        <v>21100</v>
      </c>
      <c r="F70" s="3164">
        <v>5700</v>
      </c>
      <c r="G70" s="3164">
        <v>12640</v>
      </c>
      <c r="I70" s="971"/>
      <c r="J70" s="3193"/>
      <c r="K70" s="3193"/>
      <c r="L70" s="3193"/>
      <c r="M70" s="3193"/>
      <c r="N70" s="3193"/>
      <c r="O70" s="3193"/>
      <c r="P70" s="3193"/>
      <c r="Q70" s="3193"/>
      <c r="R70" s="3193"/>
      <c r="S70" s="3193"/>
      <c r="T70" s="3193"/>
      <c r="U70" s="3193"/>
    </row>
    <row r="71" spans="1:21" s="960" customFormat="1" ht="14.25" customHeight="1">
      <c r="A71" s="3158" t="s">
        <v>853</v>
      </c>
      <c r="B71" s="3158" t="s">
        <v>1094</v>
      </c>
      <c r="C71" s="3158">
        <v>18700</v>
      </c>
      <c r="D71" s="3158">
        <v>16290</v>
      </c>
      <c r="E71" s="3158">
        <v>18760</v>
      </c>
      <c r="F71" s="3164">
        <v>4780</v>
      </c>
      <c r="G71" s="3164">
        <v>11050</v>
      </c>
      <c r="I71" s="971"/>
      <c r="J71" s="3193"/>
      <c r="K71" s="3193"/>
      <c r="L71" s="3193"/>
      <c r="M71" s="3193"/>
      <c r="N71" s="3193"/>
      <c r="O71" s="3193"/>
      <c r="P71" s="3193"/>
      <c r="Q71" s="3193"/>
      <c r="R71" s="3193"/>
      <c r="S71" s="3193"/>
      <c r="T71" s="3193"/>
      <c r="U71" s="3193"/>
    </row>
    <row r="72" spans="1:21" s="960" customFormat="1" ht="14.25" customHeight="1">
      <c r="A72" s="3158" t="s">
        <v>853</v>
      </c>
      <c r="B72" s="3158" t="s">
        <v>1101</v>
      </c>
      <c r="C72" s="3158">
        <v>16340</v>
      </c>
      <c r="D72" s="3158">
        <v>17520</v>
      </c>
      <c r="E72" s="3158">
        <v>21170</v>
      </c>
      <c r="F72" s="3164"/>
      <c r="G72" s="3164">
        <v>11900</v>
      </c>
      <c r="I72" s="971"/>
      <c r="J72" s="3193"/>
      <c r="K72" s="3193"/>
      <c r="L72" s="3193"/>
      <c r="M72" s="3193"/>
      <c r="N72" s="3193"/>
      <c r="O72" s="3193"/>
      <c r="P72" s="3193"/>
      <c r="Q72" s="3193"/>
      <c r="R72" s="3193"/>
      <c r="S72" s="3193"/>
      <c r="T72" s="3193"/>
      <c r="U72" s="3193"/>
    </row>
    <row r="73" spans="1:21" s="960" customFormat="1" ht="14.25" customHeight="1">
      <c r="A73" s="3158" t="s">
        <v>853</v>
      </c>
      <c r="B73" s="3158" t="s">
        <v>1109</v>
      </c>
      <c r="C73" s="3158">
        <v>17610</v>
      </c>
      <c r="D73" s="3158">
        <v>18520</v>
      </c>
      <c r="E73" s="3158">
        <v>18720</v>
      </c>
      <c r="F73" s="3164"/>
      <c r="G73" s="3164">
        <v>12570</v>
      </c>
      <c r="I73" s="971"/>
      <c r="J73" s="3193"/>
      <c r="K73" s="3193"/>
      <c r="L73" s="3193"/>
      <c r="M73" s="3193"/>
      <c r="N73" s="3193"/>
      <c r="O73" s="3193"/>
      <c r="P73" s="3193"/>
      <c r="Q73" s="3193"/>
      <c r="R73" s="3193"/>
      <c r="S73" s="3193"/>
      <c r="T73" s="3193"/>
      <c r="U73" s="3193"/>
    </row>
    <row r="74" spans="1:21" s="960" customFormat="1" ht="14.25" customHeight="1">
      <c r="A74" s="3158" t="s">
        <v>853</v>
      </c>
      <c r="B74" s="3158" t="s">
        <v>1116</v>
      </c>
      <c r="C74" s="3158">
        <v>18600</v>
      </c>
      <c r="D74" s="3158">
        <v>16480</v>
      </c>
      <c r="E74" s="3158">
        <v>20100</v>
      </c>
      <c r="F74" s="3164"/>
      <c r="G74" s="3164">
        <v>11190</v>
      </c>
      <c r="I74" s="971"/>
      <c r="J74" s="3193"/>
      <c r="K74" s="3193"/>
      <c r="L74" s="3193"/>
      <c r="M74" s="3193"/>
      <c r="N74" s="3193"/>
      <c r="O74" s="3193"/>
      <c r="P74" s="3193"/>
      <c r="Q74" s="3193"/>
      <c r="R74" s="3193"/>
      <c r="S74" s="3193"/>
      <c r="T74" s="3193"/>
      <c r="U74" s="3193"/>
    </row>
    <row r="75" spans="1:21" s="960" customFormat="1" ht="14.25" customHeight="1">
      <c r="A75" s="3158" t="s">
        <v>853</v>
      </c>
      <c r="B75" s="3158" t="s">
        <v>1120</v>
      </c>
      <c r="C75" s="3158">
        <v>16570</v>
      </c>
      <c r="D75" s="3158">
        <v>17530</v>
      </c>
      <c r="E75" s="3158">
        <v>21030</v>
      </c>
      <c r="F75" s="3164"/>
      <c r="G75" s="3171">
        <v>11900</v>
      </c>
      <c r="I75" s="971"/>
      <c r="J75" s="3193"/>
      <c r="K75" s="3193"/>
      <c r="L75" s="3193"/>
      <c r="M75" s="3193"/>
      <c r="N75" s="3193"/>
      <c r="O75" s="3193"/>
      <c r="P75" s="3193"/>
      <c r="Q75" s="3193"/>
      <c r="R75" s="3193"/>
      <c r="S75" s="3193"/>
      <c r="T75" s="3193"/>
      <c r="U75" s="3193"/>
    </row>
    <row r="76" spans="1:21" s="960" customFormat="1" ht="14.25" customHeight="1">
      <c r="A76" s="3158" t="s">
        <v>853</v>
      </c>
      <c r="B76" s="1216" t="s">
        <v>1127</v>
      </c>
      <c r="C76" s="1216">
        <v>17610</v>
      </c>
      <c r="D76" s="1216">
        <v>20800</v>
      </c>
      <c r="E76" s="1216">
        <v>18920</v>
      </c>
      <c r="F76" s="3159"/>
      <c r="G76" s="3159">
        <v>14120</v>
      </c>
      <c r="I76" s="971"/>
      <c r="J76" s="3193"/>
      <c r="K76" s="3193"/>
      <c r="L76" s="3193"/>
      <c r="M76" s="3193"/>
      <c r="N76" s="3193"/>
      <c r="O76" s="3193"/>
      <c r="P76" s="3193"/>
      <c r="Q76" s="3193"/>
      <c r="R76" s="3193"/>
      <c r="S76" s="3193"/>
      <c r="T76" s="3193"/>
      <c r="U76" s="3193"/>
    </row>
    <row r="77" spans="1:21" s="960" customFormat="1" ht="14.25" customHeight="1">
      <c r="A77" s="3158" t="s">
        <v>853</v>
      </c>
      <c r="B77" s="3158" t="s">
        <v>1130</v>
      </c>
      <c r="C77" s="3158">
        <v>20890</v>
      </c>
      <c r="D77" s="3158">
        <v>19740</v>
      </c>
      <c r="E77" s="3158">
        <v>20110</v>
      </c>
      <c r="F77" s="3164"/>
      <c r="G77" s="3164">
        <v>13400</v>
      </c>
      <c r="I77" s="971"/>
      <c r="J77" s="3193"/>
      <c r="K77" s="3193"/>
      <c r="L77" s="3193"/>
      <c r="M77" s="3193"/>
      <c r="N77" s="3193"/>
      <c r="O77" s="3193"/>
      <c r="P77" s="3193"/>
      <c r="Q77" s="3193"/>
      <c r="R77" s="3193"/>
      <c r="S77" s="3193"/>
      <c r="T77" s="3193"/>
      <c r="U77" s="3193"/>
    </row>
    <row r="78" spans="1:21" s="960" customFormat="1" ht="14.25" customHeight="1">
      <c r="A78" s="3158" t="s">
        <v>853</v>
      </c>
      <c r="B78" s="3158" t="s">
        <v>2834</v>
      </c>
      <c r="C78" s="3158">
        <v>19820</v>
      </c>
      <c r="D78" s="3158">
        <v>19780</v>
      </c>
      <c r="E78" s="3158">
        <v>18560</v>
      </c>
      <c r="F78" s="3164"/>
      <c r="G78" s="3164">
        <v>13430</v>
      </c>
      <c r="I78" s="971"/>
      <c r="J78" s="3193"/>
      <c r="K78" s="3193"/>
      <c r="L78" s="3193"/>
      <c r="M78" s="3193"/>
      <c r="N78" s="3193"/>
      <c r="O78" s="3193"/>
      <c r="P78" s="3193"/>
      <c r="Q78" s="3193"/>
      <c r="R78" s="3193"/>
      <c r="S78" s="3193"/>
      <c r="T78" s="3193"/>
      <c r="U78" s="3193"/>
    </row>
    <row r="79" spans="1:21" s="960" customFormat="1" ht="14.25" customHeight="1">
      <c r="A79" s="3158" t="s">
        <v>853</v>
      </c>
      <c r="B79" s="3158" t="s">
        <v>2835</v>
      </c>
      <c r="C79" s="3158">
        <v>21660</v>
      </c>
      <c r="D79" s="3158">
        <v>18000</v>
      </c>
      <c r="E79" s="3158">
        <v>22570</v>
      </c>
      <c r="F79" s="3164"/>
      <c r="G79" s="3164">
        <v>12220</v>
      </c>
      <c r="I79" s="971"/>
      <c r="J79" s="3193"/>
      <c r="K79" s="3193"/>
      <c r="L79" s="3193"/>
      <c r="M79" s="3193"/>
      <c r="N79" s="3193"/>
      <c r="O79" s="3193"/>
      <c r="P79" s="3193"/>
      <c r="Q79" s="3193"/>
      <c r="R79" s="3193"/>
      <c r="S79" s="3193"/>
      <c r="T79" s="3193"/>
      <c r="U79" s="3193"/>
    </row>
    <row r="80" spans="1:21" s="960" customFormat="1" ht="14.25" customHeight="1">
      <c r="A80" s="3158" t="s">
        <v>853</v>
      </c>
      <c r="B80" s="3158" t="s">
        <v>2836</v>
      </c>
      <c r="C80" s="3158">
        <v>19850</v>
      </c>
      <c r="D80" s="3158"/>
      <c r="E80" s="3158">
        <v>21700</v>
      </c>
      <c r="F80" s="3164"/>
      <c r="G80" s="3164"/>
      <c r="I80" s="971"/>
      <c r="J80" s="3193"/>
      <c r="K80" s="3193"/>
      <c r="L80" s="3193"/>
      <c r="M80" s="3193"/>
      <c r="N80" s="3193"/>
      <c r="O80" s="3193"/>
      <c r="P80" s="3193"/>
      <c r="Q80" s="3193"/>
      <c r="R80" s="3193"/>
      <c r="S80" s="3193"/>
      <c r="T80" s="3193"/>
      <c r="U80" s="3193"/>
    </row>
    <row r="81" spans="1:21" s="960" customFormat="1" ht="14.25" customHeight="1">
      <c r="A81" s="3158" t="s">
        <v>853</v>
      </c>
      <c r="B81" s="3158" t="s">
        <v>2837</v>
      </c>
      <c r="C81" s="3158">
        <v>18080</v>
      </c>
      <c r="D81" s="3158"/>
      <c r="E81" s="3158">
        <v>20900</v>
      </c>
      <c r="F81" s="3164"/>
      <c r="G81" s="3164"/>
      <c r="I81" s="971"/>
      <c r="J81" s="3193"/>
      <c r="K81" s="3193"/>
      <c r="L81" s="3193"/>
      <c r="M81" s="3193"/>
      <c r="N81" s="3193"/>
      <c r="O81" s="3193"/>
      <c r="P81" s="3193"/>
      <c r="Q81" s="3193"/>
      <c r="R81" s="3193"/>
      <c r="S81" s="3193"/>
      <c r="T81" s="3193"/>
      <c r="U81" s="3193"/>
    </row>
    <row r="82" spans="1:21" s="960" customFormat="1" ht="14.25" customHeight="1">
      <c r="A82" s="3158" t="s">
        <v>853</v>
      </c>
      <c r="B82" s="3158" t="s">
        <v>2838</v>
      </c>
      <c r="C82" s="3158"/>
      <c r="D82" s="3158"/>
      <c r="E82" s="3158">
        <v>20840</v>
      </c>
      <c r="F82" s="3164"/>
      <c r="G82" s="3164"/>
      <c r="I82" s="971"/>
      <c r="J82" s="3193"/>
      <c r="K82" s="3193"/>
      <c r="L82" s="3193"/>
      <c r="M82" s="3193"/>
      <c r="N82" s="3193"/>
      <c r="O82" s="3193"/>
      <c r="P82" s="3193"/>
      <c r="Q82" s="3193"/>
      <c r="R82" s="3193"/>
      <c r="S82" s="3193"/>
      <c r="T82" s="3193"/>
      <c r="U82" s="3193"/>
    </row>
    <row r="83" spans="1:21" s="960" customFormat="1" ht="14.25" customHeight="1">
      <c r="A83" s="3158" t="s">
        <v>853</v>
      </c>
      <c r="B83" s="3158" t="s">
        <v>2839</v>
      </c>
      <c r="C83" s="3158"/>
      <c r="D83" s="3158"/>
      <c r="E83" s="3158"/>
      <c r="F83" s="3164">
        <v>4770</v>
      </c>
      <c r="G83" s="3164"/>
      <c r="I83" s="971"/>
      <c r="J83" s="3193"/>
      <c r="K83" s="3193"/>
      <c r="L83" s="3193"/>
      <c r="M83" s="3193"/>
      <c r="N83" s="3193"/>
      <c r="O83" s="3193"/>
      <c r="P83" s="3193"/>
      <c r="Q83" s="3193"/>
      <c r="R83" s="3193"/>
      <c r="S83" s="3193"/>
      <c r="T83" s="3193"/>
      <c r="U83" s="3193"/>
    </row>
    <row r="84" spans="1:21" s="960" customFormat="1" ht="14.25" customHeight="1">
      <c r="A84" s="3158" t="s">
        <v>853</v>
      </c>
      <c r="B84" s="3158" t="s">
        <v>2840</v>
      </c>
      <c r="C84" s="3158"/>
      <c r="D84" s="3158"/>
      <c r="E84" s="3158"/>
      <c r="F84" s="3164">
        <v>4600</v>
      </c>
      <c r="G84" s="3164"/>
      <c r="I84" s="971"/>
      <c r="J84" s="3193"/>
      <c r="K84" s="3193"/>
      <c r="L84" s="3193"/>
      <c r="M84" s="3193"/>
      <c r="N84" s="3193"/>
      <c r="O84" s="3193"/>
      <c r="P84" s="3193"/>
      <c r="Q84" s="3193"/>
      <c r="R84" s="3193"/>
      <c r="S84" s="3193"/>
      <c r="T84" s="3193"/>
      <c r="U84" s="3193"/>
    </row>
    <row r="85" spans="1:21" s="960" customFormat="1" ht="14.25" customHeight="1">
      <c r="A85" s="3158" t="s">
        <v>853</v>
      </c>
      <c r="B85" s="1214" t="s">
        <v>2841</v>
      </c>
      <c r="C85" s="1214"/>
      <c r="D85" s="1214"/>
      <c r="E85" s="1214"/>
      <c r="F85" s="3169">
        <v>4680</v>
      </c>
      <c r="G85" s="3169"/>
      <c r="I85" s="971"/>
      <c r="J85" s="3193"/>
      <c r="K85" s="3193"/>
      <c r="L85" s="3193"/>
      <c r="M85" s="3193"/>
      <c r="N85" s="3193"/>
      <c r="O85" s="3193"/>
      <c r="P85" s="3193"/>
      <c r="Q85" s="3193"/>
      <c r="R85" s="3193"/>
      <c r="S85" s="3193"/>
      <c r="T85" s="3193"/>
      <c r="U85" s="3193"/>
    </row>
    <row r="86" spans="1:21" s="960" customFormat="1" ht="14.25" customHeight="1" thickBot="1">
      <c r="A86" s="3173" t="s">
        <v>853</v>
      </c>
      <c r="B86" s="3161" t="s">
        <v>2842</v>
      </c>
      <c r="C86" s="3161">
        <v>16610</v>
      </c>
      <c r="D86" s="3161">
        <v>16540</v>
      </c>
      <c r="E86" s="3161">
        <v>18850</v>
      </c>
      <c r="F86" s="3162"/>
      <c r="G86" s="3174">
        <v>11220</v>
      </c>
      <c r="I86" s="971"/>
      <c r="J86" s="3193"/>
      <c r="K86" s="3193"/>
      <c r="L86" s="3193"/>
      <c r="M86" s="3193"/>
      <c r="N86" s="3193"/>
      <c r="O86" s="3193"/>
      <c r="P86" s="3193"/>
      <c r="Q86" s="3193"/>
      <c r="R86" s="3193"/>
      <c r="S86" s="3193"/>
      <c r="T86" s="3193"/>
      <c r="U86" s="3193"/>
    </row>
    <row r="87" spans="1:21" s="960" customFormat="1" ht="14.25" customHeight="1">
      <c r="A87" s="3172" t="s">
        <v>1152</v>
      </c>
      <c r="B87" s="1216" t="s">
        <v>2843</v>
      </c>
      <c r="C87" s="1216">
        <v>15240</v>
      </c>
      <c r="D87" s="1216">
        <v>15170</v>
      </c>
      <c r="E87" s="1216">
        <v>18260</v>
      </c>
      <c r="F87" s="3159">
        <v>3830</v>
      </c>
      <c r="G87" s="3175">
        <v>10020</v>
      </c>
      <c r="I87" s="971"/>
      <c r="J87" s="3193"/>
      <c r="K87" s="3193"/>
      <c r="L87" s="3193"/>
      <c r="M87" s="3193"/>
      <c r="N87" s="3193"/>
      <c r="O87" s="3193"/>
      <c r="P87" s="3193"/>
      <c r="Q87" s="3193"/>
      <c r="R87" s="3193"/>
      <c r="S87" s="3193"/>
      <c r="T87" s="3193"/>
      <c r="U87" s="3193"/>
    </row>
    <row r="88" spans="1:21" s="960" customFormat="1" ht="14.25" customHeight="1">
      <c r="A88" s="3158" t="s">
        <v>1152</v>
      </c>
      <c r="B88" s="3158" t="s">
        <v>976</v>
      </c>
      <c r="C88" s="3158">
        <v>17310</v>
      </c>
      <c r="D88" s="3158">
        <v>17220</v>
      </c>
      <c r="E88" s="3158">
        <v>18610</v>
      </c>
      <c r="F88" s="3164">
        <v>3990</v>
      </c>
      <c r="G88" s="3166">
        <v>11380</v>
      </c>
      <c r="I88" s="971"/>
      <c r="J88" s="3193"/>
      <c r="K88" s="3193"/>
      <c r="L88" s="3193"/>
      <c r="M88" s="3193"/>
      <c r="N88" s="3193"/>
      <c r="O88" s="3193"/>
      <c r="P88" s="3193"/>
      <c r="Q88" s="3193"/>
      <c r="R88" s="3193"/>
      <c r="S88" s="3193"/>
      <c r="T88" s="3193"/>
      <c r="U88" s="3193"/>
    </row>
    <row r="89" spans="1:21" s="960" customFormat="1" ht="14.25" customHeight="1">
      <c r="A89" s="3158" t="s">
        <v>1152</v>
      </c>
      <c r="B89" s="3158" t="s">
        <v>986</v>
      </c>
      <c r="C89" s="3158">
        <v>15600</v>
      </c>
      <c r="D89" s="3158">
        <v>15550</v>
      </c>
      <c r="E89" s="3158">
        <v>19200</v>
      </c>
      <c r="F89" s="3164">
        <v>4110</v>
      </c>
      <c r="G89" s="3166">
        <v>10270</v>
      </c>
      <c r="I89" s="971"/>
      <c r="J89" s="3193"/>
      <c r="K89" s="3193"/>
      <c r="L89" s="3193"/>
      <c r="M89" s="3193"/>
      <c r="N89" s="3193"/>
      <c r="O89" s="3193"/>
      <c r="P89" s="3193"/>
      <c r="Q89" s="3193"/>
      <c r="R89" s="3193"/>
      <c r="S89" s="3193"/>
      <c r="T89" s="3193"/>
      <c r="U89" s="3193"/>
    </row>
    <row r="90" spans="1:21" s="960" customFormat="1" ht="14.25" customHeight="1">
      <c r="A90" s="3158" t="s">
        <v>1152</v>
      </c>
      <c r="B90" s="3158" t="s">
        <v>995</v>
      </c>
      <c r="C90" s="3158">
        <v>17330</v>
      </c>
      <c r="D90" s="3158">
        <v>17240</v>
      </c>
      <c r="E90" s="3158">
        <v>18570</v>
      </c>
      <c r="F90" s="3164">
        <v>4070</v>
      </c>
      <c r="G90" s="3166">
        <v>11390</v>
      </c>
      <c r="I90" s="971"/>
      <c r="J90" s="3193"/>
      <c r="K90" s="3193"/>
      <c r="L90" s="3193"/>
      <c r="M90" s="3193"/>
      <c r="N90" s="3193"/>
      <c r="O90" s="3193"/>
      <c r="P90" s="3193"/>
      <c r="Q90" s="3193"/>
      <c r="R90" s="3193"/>
      <c r="S90" s="3193"/>
      <c r="T90" s="3193"/>
      <c r="U90" s="3193"/>
    </row>
    <row r="91" spans="1:21" s="960" customFormat="1" ht="14.25" customHeight="1">
      <c r="A91" s="3158" t="s">
        <v>1152</v>
      </c>
      <c r="B91" s="3158" t="s">
        <v>1005</v>
      </c>
      <c r="C91" s="3158">
        <v>16330</v>
      </c>
      <c r="D91" s="3158">
        <v>16260</v>
      </c>
      <c r="E91" s="3158">
        <v>16800</v>
      </c>
      <c r="F91" s="3164">
        <v>3410</v>
      </c>
      <c r="G91" s="3166">
        <v>10740</v>
      </c>
      <c r="I91" s="971"/>
      <c r="J91" s="3193"/>
      <c r="K91" s="3193"/>
      <c r="L91" s="3193"/>
      <c r="M91" s="3193"/>
      <c r="N91" s="3193"/>
      <c r="O91" s="3193"/>
      <c r="P91" s="3193"/>
      <c r="Q91" s="3193"/>
      <c r="R91" s="3193"/>
      <c r="S91" s="3193"/>
      <c r="T91" s="3193"/>
      <c r="U91" s="3193"/>
    </row>
    <row r="92" spans="1:21" s="960" customFormat="1" ht="14.25" customHeight="1">
      <c r="A92" s="3158" t="s">
        <v>1152</v>
      </c>
      <c r="B92" s="3158" t="s">
        <v>1012</v>
      </c>
      <c r="C92" s="3158">
        <v>15570</v>
      </c>
      <c r="D92" s="3158">
        <v>15500</v>
      </c>
      <c r="E92" s="3158">
        <v>17360</v>
      </c>
      <c r="F92" s="3164">
        <v>3510</v>
      </c>
      <c r="G92" s="3166">
        <v>10240</v>
      </c>
      <c r="I92" s="971"/>
      <c r="J92" s="3193"/>
      <c r="K92" s="3193"/>
      <c r="L92" s="3193"/>
      <c r="M92" s="3193"/>
      <c r="N92" s="3193"/>
      <c r="O92" s="3193"/>
      <c r="P92" s="3193"/>
      <c r="Q92" s="3193"/>
      <c r="R92" s="3193"/>
      <c r="S92" s="3193"/>
      <c r="T92" s="3193"/>
      <c r="U92" s="3193"/>
    </row>
    <row r="93" spans="1:21" s="960" customFormat="1" ht="14.25" customHeight="1">
      <c r="A93" s="3158" t="s">
        <v>1152</v>
      </c>
      <c r="B93" s="3158" t="s">
        <v>1018</v>
      </c>
      <c r="C93" s="3158">
        <v>14000</v>
      </c>
      <c r="D93" s="3158">
        <v>13930</v>
      </c>
      <c r="E93" s="3158">
        <v>18200</v>
      </c>
      <c r="F93" s="3164">
        <v>3640</v>
      </c>
      <c r="G93" s="3166">
        <v>9210</v>
      </c>
      <c r="I93" s="971"/>
      <c r="J93" s="3193"/>
      <c r="K93" s="3193"/>
      <c r="L93" s="3193"/>
      <c r="M93" s="3193"/>
      <c r="N93" s="3193"/>
      <c r="O93" s="3193"/>
      <c r="P93" s="3193"/>
      <c r="Q93" s="3193"/>
      <c r="R93" s="3193"/>
      <c r="S93" s="3193"/>
      <c r="T93" s="3193"/>
      <c r="U93" s="3193"/>
    </row>
    <row r="94" spans="1:21" s="960" customFormat="1" ht="14.25" customHeight="1">
      <c r="A94" s="3158" t="s">
        <v>1152</v>
      </c>
      <c r="B94" s="3158" t="s">
        <v>1025</v>
      </c>
      <c r="C94" s="3158">
        <v>14530</v>
      </c>
      <c r="D94" s="3158">
        <v>14470</v>
      </c>
      <c r="E94" s="3158">
        <v>18240</v>
      </c>
      <c r="F94" s="3164">
        <v>3180</v>
      </c>
      <c r="G94" s="3166">
        <v>9560</v>
      </c>
      <c r="I94" s="971"/>
      <c r="J94" s="3193"/>
      <c r="K94" s="3193"/>
      <c r="L94" s="3193"/>
      <c r="M94" s="3193"/>
      <c r="N94" s="3193"/>
      <c r="O94" s="3193"/>
      <c r="P94" s="3193"/>
      <c r="Q94" s="3193"/>
      <c r="R94" s="3193"/>
      <c r="S94" s="3193"/>
      <c r="T94" s="3193"/>
      <c r="U94" s="3193"/>
    </row>
    <row r="95" spans="1:21" s="960" customFormat="1" ht="14.25" customHeight="1">
      <c r="A95" s="3158" t="s">
        <v>1152</v>
      </c>
      <c r="B95" s="3158" t="s">
        <v>1035</v>
      </c>
      <c r="C95" s="3158">
        <v>17330</v>
      </c>
      <c r="D95" s="3158">
        <v>17260</v>
      </c>
      <c r="E95" s="3158">
        <v>18420</v>
      </c>
      <c r="F95" s="3164">
        <v>3060</v>
      </c>
      <c r="G95" s="3164">
        <v>11410</v>
      </c>
      <c r="I95" s="971"/>
      <c r="J95" s="3193"/>
      <c r="K95" s="3193"/>
      <c r="L95" s="3193"/>
      <c r="M95" s="3193"/>
      <c r="N95" s="3193"/>
      <c r="O95" s="3193"/>
      <c r="P95" s="3193"/>
      <c r="Q95" s="3193"/>
      <c r="R95" s="3193"/>
      <c r="S95" s="3193"/>
      <c r="T95" s="3193"/>
      <c r="U95" s="3193"/>
    </row>
    <row r="96" spans="1:21" s="960" customFormat="1" ht="14.25" customHeight="1">
      <c r="A96" s="3158" t="s">
        <v>1152</v>
      </c>
      <c r="B96" s="3158" t="s">
        <v>1044</v>
      </c>
      <c r="C96" s="3158">
        <v>15030</v>
      </c>
      <c r="D96" s="3158">
        <v>14970</v>
      </c>
      <c r="E96" s="3158">
        <v>17580</v>
      </c>
      <c r="F96" s="3164">
        <v>2970</v>
      </c>
      <c r="G96" s="3164">
        <v>9890</v>
      </c>
      <c r="I96" s="971"/>
      <c r="J96" s="3193"/>
      <c r="K96" s="3193"/>
      <c r="L96" s="3193"/>
      <c r="M96" s="3193"/>
      <c r="N96" s="3193"/>
      <c r="O96" s="3193"/>
      <c r="P96" s="3193"/>
      <c r="Q96" s="3193"/>
      <c r="R96" s="3193"/>
      <c r="S96" s="3193"/>
      <c r="T96" s="3193"/>
      <c r="U96" s="3193"/>
    </row>
    <row r="97" spans="1:21" s="960" customFormat="1" ht="14.25" customHeight="1">
      <c r="A97" s="3158" t="s">
        <v>1152</v>
      </c>
      <c r="B97" s="3158" t="s">
        <v>1051</v>
      </c>
      <c r="C97" s="3158">
        <v>17400</v>
      </c>
      <c r="D97" s="3158">
        <v>17330</v>
      </c>
      <c r="E97" s="3158">
        <v>16430</v>
      </c>
      <c r="F97" s="3164">
        <v>2950</v>
      </c>
      <c r="G97" s="3164">
        <v>11450</v>
      </c>
      <c r="I97" s="971"/>
      <c r="J97" s="3193"/>
      <c r="K97" s="3193"/>
      <c r="L97" s="3193"/>
      <c r="M97" s="3193"/>
      <c r="N97" s="3193"/>
      <c r="O97" s="3193"/>
      <c r="P97" s="3193"/>
      <c r="Q97" s="3193"/>
      <c r="R97" s="3193"/>
      <c r="S97" s="3193"/>
      <c r="T97" s="3193"/>
      <c r="U97" s="3193"/>
    </row>
    <row r="98" spans="1:21" s="960" customFormat="1" ht="14.25" customHeight="1">
      <c r="A98" s="3158" t="s">
        <v>1152</v>
      </c>
      <c r="B98" s="3158" t="s">
        <v>1058</v>
      </c>
      <c r="C98" s="3158">
        <v>15200</v>
      </c>
      <c r="D98" s="3158">
        <v>15120</v>
      </c>
      <c r="E98" s="3158">
        <v>17550</v>
      </c>
      <c r="F98" s="3164">
        <v>3080</v>
      </c>
      <c r="G98" s="3164">
        <v>9990</v>
      </c>
      <c r="I98" s="971"/>
      <c r="J98" s="3193"/>
      <c r="K98" s="3193"/>
      <c r="L98" s="3193"/>
      <c r="M98" s="3193"/>
      <c r="N98" s="3193"/>
      <c r="O98" s="3193"/>
      <c r="P98" s="3193"/>
      <c r="Q98" s="3193"/>
      <c r="R98" s="3193"/>
      <c r="S98" s="3193"/>
      <c r="T98" s="3193"/>
      <c r="U98" s="3193"/>
    </row>
    <row r="99" spans="1:21" s="960" customFormat="1" ht="14.25" customHeight="1">
      <c r="A99" s="3158" t="s">
        <v>1152</v>
      </c>
      <c r="B99" s="3158" t="s">
        <v>1065</v>
      </c>
      <c r="C99" s="3158">
        <v>17520</v>
      </c>
      <c r="D99" s="3158">
        <v>17430</v>
      </c>
      <c r="E99" s="3158">
        <v>16350</v>
      </c>
      <c r="F99" s="3164">
        <v>3260</v>
      </c>
      <c r="G99" s="3164">
        <v>11510</v>
      </c>
      <c r="I99" s="971"/>
      <c r="J99" s="3193"/>
      <c r="K99" s="3193"/>
      <c r="L99" s="3193"/>
      <c r="M99" s="3193"/>
      <c r="N99" s="3193"/>
      <c r="O99" s="3193"/>
      <c r="P99" s="3193"/>
      <c r="Q99" s="3193"/>
      <c r="R99" s="3193"/>
      <c r="S99" s="3193"/>
      <c r="T99" s="3193"/>
      <c r="U99" s="3193"/>
    </row>
    <row r="100" spans="1:21" s="960" customFormat="1" ht="14.25" customHeight="1">
      <c r="A100" s="3158" t="s">
        <v>1152</v>
      </c>
      <c r="B100" s="3158" t="s">
        <v>1073</v>
      </c>
      <c r="C100" s="3158">
        <v>15340</v>
      </c>
      <c r="D100" s="3158">
        <v>15260</v>
      </c>
      <c r="E100" s="3158">
        <v>15930</v>
      </c>
      <c r="F100" s="3164">
        <v>2740</v>
      </c>
      <c r="G100" s="3164">
        <v>10080</v>
      </c>
      <c r="I100" s="971"/>
      <c r="J100" s="3193"/>
      <c r="K100" s="3193"/>
      <c r="L100" s="3193"/>
      <c r="M100" s="3193"/>
      <c r="N100" s="3193"/>
      <c r="O100" s="3193"/>
      <c r="P100" s="3193"/>
      <c r="Q100" s="3193"/>
      <c r="R100" s="3193"/>
      <c r="S100" s="3193"/>
      <c r="T100" s="3193"/>
      <c r="U100" s="3193"/>
    </row>
    <row r="101" spans="1:21" s="960" customFormat="1" ht="14.25" customHeight="1">
      <c r="A101" s="3158" t="s">
        <v>1152</v>
      </c>
      <c r="B101" s="3158" t="s">
        <v>1081</v>
      </c>
      <c r="C101" s="3158">
        <v>14620</v>
      </c>
      <c r="D101" s="3158">
        <v>14560</v>
      </c>
      <c r="E101" s="3158">
        <v>15570</v>
      </c>
      <c r="F101" s="3164">
        <v>3500</v>
      </c>
      <c r="G101" s="3164">
        <v>9630</v>
      </c>
      <c r="I101" s="971"/>
      <c r="J101" s="3193"/>
      <c r="K101" s="3193"/>
      <c r="L101" s="3193"/>
      <c r="M101" s="3193"/>
      <c r="N101" s="3193"/>
      <c r="O101" s="3193"/>
      <c r="P101" s="3193"/>
      <c r="Q101" s="3193"/>
      <c r="R101" s="3193"/>
      <c r="S101" s="3193"/>
      <c r="T101" s="3193"/>
      <c r="U101" s="3193"/>
    </row>
    <row r="102" spans="1:21" s="960" customFormat="1" ht="14.25" customHeight="1">
      <c r="A102" s="3158" t="s">
        <v>1152</v>
      </c>
      <c r="B102" s="3158" t="s">
        <v>1086</v>
      </c>
      <c r="C102" s="3158">
        <v>13680</v>
      </c>
      <c r="D102" s="3158">
        <v>13610</v>
      </c>
      <c r="E102" s="3158">
        <v>15690</v>
      </c>
      <c r="F102" s="3164">
        <v>2870</v>
      </c>
      <c r="G102" s="3164">
        <v>8990</v>
      </c>
      <c r="I102" s="971"/>
      <c r="J102" s="3193"/>
      <c r="K102" s="3193"/>
      <c r="L102" s="3193"/>
      <c r="M102" s="3193"/>
      <c r="N102" s="3193"/>
      <c r="O102" s="3193"/>
      <c r="P102" s="3193"/>
      <c r="Q102" s="3193"/>
      <c r="R102" s="3193"/>
      <c r="S102" s="3193"/>
      <c r="T102" s="3193"/>
      <c r="U102" s="3193"/>
    </row>
    <row r="103" spans="1:21" s="960" customFormat="1" ht="14.25" customHeight="1">
      <c r="A103" s="3158" t="s">
        <v>1152</v>
      </c>
      <c r="B103" s="3158" t="s">
        <v>1095</v>
      </c>
      <c r="C103" s="3158">
        <v>14620</v>
      </c>
      <c r="D103" s="3158">
        <v>14540</v>
      </c>
      <c r="E103" s="3158">
        <v>15240</v>
      </c>
      <c r="F103" s="3164">
        <v>2840</v>
      </c>
      <c r="G103" s="3164">
        <v>9610</v>
      </c>
      <c r="I103" s="971"/>
      <c r="J103" s="3193"/>
      <c r="K103" s="3193"/>
      <c r="L103" s="3193"/>
      <c r="M103" s="3193"/>
      <c r="N103" s="3193"/>
      <c r="O103" s="3193"/>
      <c r="P103" s="3193"/>
      <c r="Q103" s="3193"/>
      <c r="R103" s="3193"/>
      <c r="S103" s="3193"/>
      <c r="T103" s="3193"/>
      <c r="U103" s="3193"/>
    </row>
    <row r="104" spans="1:21" s="960" customFormat="1" ht="14.25" customHeight="1">
      <c r="A104" s="3158" t="s">
        <v>1152</v>
      </c>
      <c r="B104" s="3158" t="s">
        <v>1102</v>
      </c>
      <c r="C104" s="3158">
        <v>13610</v>
      </c>
      <c r="D104" s="3158">
        <v>13540</v>
      </c>
      <c r="E104" s="3158">
        <v>15750</v>
      </c>
      <c r="F104" s="3164">
        <v>2770</v>
      </c>
      <c r="G104" s="3164">
        <v>8940</v>
      </c>
      <c r="I104" s="971"/>
      <c r="J104" s="3193"/>
      <c r="K104" s="3193"/>
      <c r="L104" s="3193"/>
      <c r="M104" s="3193"/>
      <c r="N104" s="3193"/>
      <c r="O104" s="3193"/>
      <c r="P104" s="3193"/>
      <c r="Q104" s="3193"/>
      <c r="R104" s="3193"/>
      <c r="S104" s="3193"/>
      <c r="T104" s="3193"/>
      <c r="U104" s="3193"/>
    </row>
    <row r="105" spans="1:21" s="960" customFormat="1" ht="14.25" customHeight="1">
      <c r="A105" s="3158" t="s">
        <v>1152</v>
      </c>
      <c r="B105" s="3158" t="s">
        <v>1110</v>
      </c>
      <c r="C105" s="3158">
        <v>13310</v>
      </c>
      <c r="D105" s="3158">
        <v>13240</v>
      </c>
      <c r="E105" s="3158">
        <v>16280</v>
      </c>
      <c r="F105" s="3164">
        <v>3210</v>
      </c>
      <c r="G105" s="3164">
        <v>8750</v>
      </c>
      <c r="I105" s="971"/>
      <c r="J105" s="3193"/>
      <c r="K105" s="3193"/>
      <c r="L105" s="3193"/>
      <c r="M105" s="3193"/>
      <c r="N105" s="3193"/>
      <c r="O105" s="3193"/>
      <c r="P105" s="3193"/>
      <c r="Q105" s="3193"/>
      <c r="R105" s="3193"/>
      <c r="S105" s="3193"/>
      <c r="T105" s="3193"/>
      <c r="U105" s="3193"/>
    </row>
    <row r="106" spans="1:21" s="960" customFormat="1" ht="14.25" customHeight="1">
      <c r="A106" s="3158" t="s">
        <v>1152</v>
      </c>
      <c r="B106" s="3158" t="s">
        <v>1117</v>
      </c>
      <c r="C106" s="3158">
        <v>13010</v>
      </c>
      <c r="D106" s="3158">
        <v>12930</v>
      </c>
      <c r="E106" s="3158">
        <v>14960</v>
      </c>
      <c r="F106" s="3164">
        <v>3530</v>
      </c>
      <c r="G106" s="3164">
        <v>8550</v>
      </c>
      <c r="I106" s="971"/>
      <c r="J106" s="3193"/>
      <c r="K106" s="3193"/>
      <c r="L106" s="3193"/>
      <c r="M106" s="3193"/>
      <c r="N106" s="3193"/>
      <c r="O106" s="3193"/>
      <c r="P106" s="3193"/>
      <c r="Q106" s="3193"/>
      <c r="R106" s="3193"/>
      <c r="S106" s="3193"/>
      <c r="T106" s="3193"/>
      <c r="U106" s="3193"/>
    </row>
    <row r="107" spans="1:21" s="960" customFormat="1" ht="14.25" customHeight="1">
      <c r="A107" s="3158" t="s">
        <v>1152</v>
      </c>
      <c r="B107" s="3158" t="s">
        <v>1121</v>
      </c>
      <c r="C107" s="3158">
        <v>13070</v>
      </c>
      <c r="D107" s="3158">
        <v>13000</v>
      </c>
      <c r="E107" s="3158">
        <v>15910</v>
      </c>
      <c r="F107" s="3164">
        <v>3990</v>
      </c>
      <c r="G107" s="3164">
        <v>8580</v>
      </c>
      <c r="I107" s="971"/>
      <c r="J107" s="3193"/>
      <c r="K107" s="3193"/>
      <c r="L107" s="3193"/>
      <c r="M107" s="3193"/>
      <c r="N107" s="3193"/>
      <c r="O107" s="3193"/>
      <c r="P107" s="3193"/>
      <c r="Q107" s="3193"/>
      <c r="R107" s="3193"/>
      <c r="S107" s="3193"/>
      <c r="T107" s="3193"/>
      <c r="U107" s="3193"/>
    </row>
    <row r="108" spans="1:21" s="960" customFormat="1" ht="14.25" customHeight="1">
      <c r="A108" s="3158" t="s">
        <v>1152</v>
      </c>
      <c r="B108" s="3158" t="s">
        <v>1128</v>
      </c>
      <c r="C108" s="3158">
        <v>12640</v>
      </c>
      <c r="D108" s="3158">
        <v>12580</v>
      </c>
      <c r="E108" s="3158">
        <v>15730</v>
      </c>
      <c r="F108" s="3164"/>
      <c r="G108" s="3164">
        <v>8310</v>
      </c>
      <c r="I108" s="971"/>
      <c r="J108" s="3193"/>
      <c r="K108" s="3193"/>
      <c r="L108" s="3193"/>
      <c r="M108" s="3193"/>
      <c r="N108" s="3193"/>
      <c r="O108" s="3193"/>
      <c r="P108" s="3193"/>
      <c r="Q108" s="3193"/>
      <c r="R108" s="3193"/>
      <c r="S108" s="3193"/>
      <c r="T108" s="3193"/>
      <c r="U108" s="3193"/>
    </row>
    <row r="109" spans="1:21" s="960" customFormat="1" ht="14.25" customHeight="1">
      <c r="A109" s="3158" t="s">
        <v>1152</v>
      </c>
      <c r="B109" s="3158" t="s">
        <v>1131</v>
      </c>
      <c r="C109" s="3158">
        <v>13130</v>
      </c>
      <c r="D109" s="3158">
        <v>13070</v>
      </c>
      <c r="E109" s="3158">
        <v>15000</v>
      </c>
      <c r="F109" s="3164"/>
      <c r="G109" s="3171">
        <v>8630</v>
      </c>
      <c r="I109" s="971"/>
      <c r="J109" s="3193"/>
      <c r="K109" s="3193"/>
      <c r="L109" s="3193"/>
      <c r="M109" s="3193"/>
      <c r="N109" s="3193"/>
      <c r="O109" s="3193"/>
      <c r="P109" s="3193"/>
      <c r="Q109" s="3193"/>
      <c r="R109" s="3193"/>
      <c r="S109" s="3193"/>
      <c r="T109" s="3193"/>
      <c r="U109" s="3193"/>
    </row>
    <row r="110" spans="1:21" s="960" customFormat="1" ht="14.25" customHeight="1">
      <c r="A110" s="3158" t="s">
        <v>1152</v>
      </c>
      <c r="B110" s="1216" t="s">
        <v>1133</v>
      </c>
      <c r="C110" s="1216">
        <v>13560</v>
      </c>
      <c r="D110" s="1216">
        <v>13490</v>
      </c>
      <c r="E110" s="1216">
        <v>16300</v>
      </c>
      <c r="F110" s="3159"/>
      <c r="G110" s="3159">
        <v>8920</v>
      </c>
      <c r="I110" s="971"/>
      <c r="J110" s="3193"/>
      <c r="K110" s="3193"/>
      <c r="L110" s="3193"/>
      <c r="M110" s="3193"/>
      <c r="N110" s="3193"/>
      <c r="O110" s="3193"/>
      <c r="P110" s="3193"/>
      <c r="Q110" s="3193"/>
      <c r="R110" s="3193"/>
      <c r="S110" s="3193"/>
      <c r="T110" s="3193"/>
      <c r="U110" s="3193"/>
    </row>
    <row r="111" spans="1:21" s="960" customFormat="1" ht="14.25" customHeight="1">
      <c r="A111" s="3158" t="s">
        <v>1152</v>
      </c>
      <c r="B111" s="3158" t="s">
        <v>1136</v>
      </c>
      <c r="C111" s="3158">
        <v>12440</v>
      </c>
      <c r="D111" s="3158">
        <v>12380</v>
      </c>
      <c r="E111" s="3158">
        <v>17850</v>
      </c>
      <c r="F111" s="3164"/>
      <c r="G111" s="3164">
        <v>8180</v>
      </c>
      <c r="I111" s="971"/>
      <c r="J111" s="3193"/>
      <c r="K111" s="3193"/>
      <c r="L111" s="3193"/>
      <c r="M111" s="3193"/>
      <c r="N111" s="3193"/>
      <c r="O111" s="3193"/>
      <c r="P111" s="3193"/>
      <c r="Q111" s="3193"/>
      <c r="R111" s="3193"/>
      <c r="S111" s="3193"/>
      <c r="T111" s="3193"/>
      <c r="U111" s="3193"/>
    </row>
    <row r="112" spans="1:21" s="960" customFormat="1" ht="14.25" customHeight="1">
      <c r="A112" s="3158" t="s">
        <v>1152</v>
      </c>
      <c r="B112" s="3158" t="s">
        <v>1140</v>
      </c>
      <c r="C112" s="3158">
        <v>13260</v>
      </c>
      <c r="D112" s="3158">
        <v>13180</v>
      </c>
      <c r="E112" s="3158">
        <v>19740</v>
      </c>
      <c r="F112" s="3164"/>
      <c r="G112" s="3164">
        <v>8710</v>
      </c>
      <c r="I112" s="971"/>
      <c r="J112" s="3193"/>
      <c r="K112" s="3193"/>
      <c r="L112" s="3193"/>
      <c r="M112" s="3193"/>
      <c r="N112" s="3193"/>
      <c r="O112" s="3193"/>
      <c r="P112" s="3193"/>
      <c r="Q112" s="3193"/>
      <c r="R112" s="3193"/>
      <c r="S112" s="3193"/>
      <c r="T112" s="3193"/>
      <c r="U112" s="3193"/>
    </row>
    <row r="113" spans="1:21" s="960" customFormat="1" ht="14.25" customHeight="1">
      <c r="A113" s="3158" t="s">
        <v>1152</v>
      </c>
      <c r="B113" s="3158" t="s">
        <v>2844</v>
      </c>
      <c r="C113" s="3158">
        <v>15520</v>
      </c>
      <c r="D113" s="3158">
        <v>15450</v>
      </c>
      <c r="E113" s="3158"/>
      <c r="F113" s="3164"/>
      <c r="G113" s="3164">
        <v>10210</v>
      </c>
      <c r="I113" s="971"/>
      <c r="J113" s="3193"/>
      <c r="K113" s="3193"/>
      <c r="L113" s="3193"/>
      <c r="M113" s="3193"/>
      <c r="N113" s="3193"/>
      <c r="O113" s="3193"/>
      <c r="P113" s="3193"/>
      <c r="Q113" s="3193"/>
      <c r="R113" s="3193"/>
      <c r="S113" s="3193"/>
      <c r="T113" s="3193"/>
      <c r="U113" s="3193"/>
    </row>
    <row r="114" spans="1:21" s="960" customFormat="1" ht="14.25" customHeight="1">
      <c r="A114" s="3158" t="s">
        <v>1152</v>
      </c>
      <c r="B114" s="3158" t="s">
        <v>2845</v>
      </c>
      <c r="C114" s="3158">
        <v>13110</v>
      </c>
      <c r="D114" s="3158">
        <v>13050</v>
      </c>
      <c r="E114" s="3158"/>
      <c r="F114" s="3164"/>
      <c r="G114" s="3164">
        <v>8620</v>
      </c>
      <c r="I114" s="971"/>
      <c r="J114" s="3193"/>
      <c r="K114" s="3193"/>
      <c r="L114" s="3193"/>
      <c r="M114" s="3193"/>
      <c r="N114" s="3193"/>
      <c r="O114" s="3193"/>
      <c r="P114" s="3193"/>
      <c r="Q114" s="3193"/>
      <c r="R114" s="3193"/>
      <c r="S114" s="3193"/>
      <c r="T114" s="3193"/>
      <c r="U114" s="3193"/>
    </row>
    <row r="115" spans="1:21" s="960" customFormat="1" ht="14.25" customHeight="1">
      <c r="A115" s="3158" t="s">
        <v>1152</v>
      </c>
      <c r="B115" s="3158" t="s">
        <v>2846</v>
      </c>
      <c r="C115" s="3158">
        <v>12460</v>
      </c>
      <c r="D115" s="3158">
        <v>12390</v>
      </c>
      <c r="E115" s="3158"/>
      <c r="F115" s="3164"/>
      <c r="G115" s="3164">
        <v>8190</v>
      </c>
      <c r="I115" s="971"/>
      <c r="J115" s="3193"/>
      <c r="K115" s="3193"/>
      <c r="L115" s="3193"/>
      <c r="M115" s="3193"/>
      <c r="N115" s="3193"/>
      <c r="O115" s="3193"/>
      <c r="P115" s="3193"/>
      <c r="Q115" s="3193"/>
      <c r="R115" s="3193"/>
      <c r="S115" s="3193"/>
      <c r="T115" s="3193"/>
      <c r="U115" s="3193"/>
    </row>
    <row r="116" spans="1:21" s="960" customFormat="1" ht="14.25" customHeight="1">
      <c r="A116" s="3158" t="s">
        <v>1152</v>
      </c>
      <c r="B116" s="3158" t="s">
        <v>2847</v>
      </c>
      <c r="C116" s="3158">
        <v>13580</v>
      </c>
      <c r="D116" s="3158">
        <v>13520</v>
      </c>
      <c r="E116" s="3158"/>
      <c r="F116" s="3164"/>
      <c r="G116" s="3164">
        <v>8930</v>
      </c>
      <c r="I116" s="971"/>
      <c r="J116" s="3193"/>
      <c r="K116" s="3193"/>
      <c r="L116" s="3193"/>
      <c r="M116" s="3193"/>
      <c r="N116" s="3193"/>
      <c r="O116" s="3193"/>
      <c r="P116" s="3193"/>
      <c r="Q116" s="3193"/>
      <c r="R116" s="3193"/>
      <c r="S116" s="3193"/>
      <c r="T116" s="3193"/>
      <c r="U116" s="3193"/>
    </row>
    <row r="117" spans="1:21" s="960" customFormat="1" ht="14.25" customHeight="1">
      <c r="A117" s="3158" t="s">
        <v>1152</v>
      </c>
      <c r="B117" s="3158" t="s">
        <v>2848</v>
      </c>
      <c r="C117" s="3158">
        <v>17120</v>
      </c>
      <c r="D117" s="3158">
        <v>17040</v>
      </c>
      <c r="E117" s="3158"/>
      <c r="F117" s="3164"/>
      <c r="G117" s="3164">
        <v>11260</v>
      </c>
      <c r="I117" s="971"/>
      <c r="J117" s="3193"/>
      <c r="K117" s="3193"/>
      <c r="L117" s="3193"/>
      <c r="M117" s="3193"/>
      <c r="N117" s="3193"/>
      <c r="O117" s="3193"/>
      <c r="P117" s="3193"/>
      <c r="Q117" s="3193"/>
      <c r="R117" s="3193"/>
      <c r="S117" s="3193"/>
      <c r="T117" s="3193"/>
      <c r="U117" s="3193"/>
    </row>
    <row r="118" spans="1:21" s="960" customFormat="1" ht="14.25" customHeight="1">
      <c r="A118" s="3158" t="s">
        <v>1152</v>
      </c>
      <c r="B118" s="3158" t="s">
        <v>2849</v>
      </c>
      <c r="C118" s="3158">
        <v>14860</v>
      </c>
      <c r="D118" s="3158">
        <v>14790</v>
      </c>
      <c r="E118" s="3158"/>
      <c r="F118" s="3164"/>
      <c r="G118" s="3164">
        <v>9780</v>
      </c>
      <c r="I118" s="971"/>
      <c r="J118" s="3193"/>
      <c r="K118" s="3193"/>
      <c r="L118" s="3193"/>
      <c r="M118" s="3193"/>
      <c r="N118" s="3193"/>
      <c r="O118" s="3193"/>
      <c r="P118" s="3193"/>
      <c r="Q118" s="3193"/>
      <c r="R118" s="3193"/>
      <c r="S118" s="3193"/>
      <c r="T118" s="3193"/>
      <c r="U118" s="3193"/>
    </row>
    <row r="119" spans="1:21" s="960" customFormat="1" ht="14.25" customHeight="1">
      <c r="A119" s="3158" t="s">
        <v>1152</v>
      </c>
      <c r="B119" s="3158" t="s">
        <v>2850</v>
      </c>
      <c r="C119" s="3158">
        <v>16470</v>
      </c>
      <c r="D119" s="3158">
        <v>16400</v>
      </c>
      <c r="E119" s="3158"/>
      <c r="F119" s="3164"/>
      <c r="G119" s="3164">
        <v>10840</v>
      </c>
      <c r="I119" s="971"/>
      <c r="J119" s="3193"/>
      <c r="K119" s="3193"/>
      <c r="L119" s="3193"/>
      <c r="M119" s="3193"/>
      <c r="N119" s="3193"/>
      <c r="O119" s="3193"/>
      <c r="P119" s="3193"/>
      <c r="Q119" s="3193"/>
      <c r="R119" s="3193"/>
      <c r="S119" s="3193"/>
      <c r="T119" s="3193"/>
      <c r="U119" s="3193"/>
    </row>
    <row r="120" spans="1:21" s="960" customFormat="1" ht="14.25" customHeight="1">
      <c r="A120" s="3158" t="s">
        <v>1152</v>
      </c>
      <c r="B120" s="3158" t="s">
        <v>2851</v>
      </c>
      <c r="C120" s="3158"/>
      <c r="D120" s="3158"/>
      <c r="E120" s="3158"/>
      <c r="F120" s="3164">
        <v>4160</v>
      </c>
      <c r="G120" s="3164"/>
      <c r="I120" s="971"/>
      <c r="J120" s="3193"/>
      <c r="K120" s="3193"/>
      <c r="L120" s="3193"/>
      <c r="M120" s="3193"/>
      <c r="N120" s="3193"/>
      <c r="O120" s="3193"/>
      <c r="P120" s="3193"/>
      <c r="Q120" s="3193"/>
      <c r="R120" s="3193"/>
      <c r="S120" s="3193"/>
      <c r="T120" s="3193"/>
      <c r="U120" s="3193"/>
    </row>
    <row r="121" spans="1:21" s="960" customFormat="1" ht="14.25" customHeight="1">
      <c r="A121" s="3158" t="s">
        <v>1152</v>
      </c>
      <c r="B121" s="3158" t="s">
        <v>2852</v>
      </c>
      <c r="C121" s="3158"/>
      <c r="D121" s="3158"/>
      <c r="E121" s="3158"/>
      <c r="F121" s="3164">
        <v>3880</v>
      </c>
      <c r="G121" s="3164"/>
      <c r="I121" s="971"/>
      <c r="J121" s="3193"/>
      <c r="K121" s="3193"/>
      <c r="L121" s="3193"/>
      <c r="M121" s="3193"/>
      <c r="N121" s="3193"/>
      <c r="O121" s="3193"/>
      <c r="P121" s="3193"/>
      <c r="Q121" s="3193"/>
      <c r="R121" s="3193"/>
      <c r="S121" s="3193"/>
      <c r="T121" s="3193"/>
      <c r="U121" s="3193"/>
    </row>
    <row r="122" spans="1:21" s="960" customFormat="1" ht="14.25" customHeight="1">
      <c r="A122" s="3158" t="s">
        <v>1152</v>
      </c>
      <c r="B122" s="3158" t="s">
        <v>2853</v>
      </c>
      <c r="C122" s="3158">
        <v>13750</v>
      </c>
      <c r="D122" s="3158">
        <v>13680</v>
      </c>
      <c r="E122" s="3158">
        <v>16460</v>
      </c>
      <c r="F122" s="3164">
        <v>2880</v>
      </c>
      <c r="G122" s="3164">
        <v>9040</v>
      </c>
      <c r="I122" s="971"/>
      <c r="J122" s="3193"/>
      <c r="K122" s="3193"/>
      <c r="L122" s="3193"/>
      <c r="M122" s="3193"/>
      <c r="N122" s="3193"/>
      <c r="O122" s="3193"/>
      <c r="P122" s="3193"/>
      <c r="Q122" s="3193"/>
      <c r="R122" s="3193"/>
      <c r="S122" s="3193"/>
      <c r="T122" s="3193"/>
      <c r="U122" s="3193"/>
    </row>
    <row r="123" spans="1:21" s="960" customFormat="1" ht="14.25" customHeight="1">
      <c r="A123" s="3158" t="s">
        <v>1152</v>
      </c>
      <c r="B123" s="3158" t="s">
        <v>2854</v>
      </c>
      <c r="C123" s="3158">
        <v>13590</v>
      </c>
      <c r="D123" s="3158">
        <v>13520</v>
      </c>
      <c r="E123" s="3158">
        <v>16290</v>
      </c>
      <c r="F123" s="3164">
        <v>2790</v>
      </c>
      <c r="G123" s="3164">
        <v>8930</v>
      </c>
      <c r="I123" s="971"/>
      <c r="J123" s="3193"/>
      <c r="K123" s="3193"/>
      <c r="L123" s="3193"/>
      <c r="M123" s="3193"/>
      <c r="N123" s="3193"/>
      <c r="O123" s="3193"/>
      <c r="P123" s="3193"/>
      <c r="Q123" s="3193"/>
      <c r="R123" s="3193"/>
      <c r="S123" s="3193"/>
      <c r="T123" s="3193"/>
      <c r="U123" s="3193"/>
    </row>
    <row r="124" spans="1:21" s="960" customFormat="1" ht="14.25" customHeight="1">
      <c r="A124" s="3158" t="s">
        <v>1152</v>
      </c>
      <c r="B124" s="3158" t="s">
        <v>2855</v>
      </c>
      <c r="C124" s="3158">
        <v>13400</v>
      </c>
      <c r="D124" s="3158">
        <v>13320</v>
      </c>
      <c r="E124" s="3158">
        <v>16100</v>
      </c>
      <c r="F124" s="3164">
        <v>2320</v>
      </c>
      <c r="G124" s="3166">
        <v>8800</v>
      </c>
      <c r="I124" s="971"/>
      <c r="J124" s="3193"/>
      <c r="K124" s="3193"/>
      <c r="L124" s="3193"/>
      <c r="M124" s="3193"/>
      <c r="N124" s="3193"/>
      <c r="O124" s="3193"/>
      <c r="P124" s="3193"/>
      <c r="Q124" s="3193"/>
      <c r="R124" s="3193"/>
      <c r="S124" s="3193"/>
      <c r="T124" s="3193"/>
      <c r="U124" s="3193"/>
    </row>
    <row r="125" spans="1:21" s="960" customFormat="1" ht="14.25" customHeight="1">
      <c r="A125" s="3158" t="s">
        <v>1152</v>
      </c>
      <c r="B125" s="1214" t="s">
        <v>2856</v>
      </c>
      <c r="C125" s="1214">
        <v>12860</v>
      </c>
      <c r="D125" s="1214">
        <v>12790</v>
      </c>
      <c r="E125" s="1214">
        <v>15370</v>
      </c>
      <c r="F125" s="3169">
        <v>2280</v>
      </c>
      <c r="G125" s="3176">
        <v>8450</v>
      </c>
      <c r="I125" s="971"/>
      <c r="J125" s="3193"/>
      <c r="K125" s="3193"/>
      <c r="L125" s="3193"/>
      <c r="M125" s="3193"/>
      <c r="N125" s="3193"/>
      <c r="O125" s="3193"/>
      <c r="P125" s="3193"/>
      <c r="Q125" s="3193"/>
      <c r="R125" s="3193"/>
      <c r="S125" s="3193"/>
      <c r="T125" s="3193"/>
      <c r="U125" s="3193"/>
    </row>
    <row r="126" spans="1:21" s="960" customFormat="1" ht="14.25" customHeight="1" thickBot="1">
      <c r="A126" s="3173" t="s">
        <v>1152</v>
      </c>
      <c r="B126" s="3161" t="s">
        <v>2857</v>
      </c>
      <c r="C126" s="3161">
        <v>12960</v>
      </c>
      <c r="D126" s="3161">
        <v>12890</v>
      </c>
      <c r="E126" s="3161">
        <v>15530</v>
      </c>
      <c r="F126" s="3162">
        <v>2910</v>
      </c>
      <c r="G126" s="3177">
        <v>8520</v>
      </c>
      <c r="I126" s="971"/>
      <c r="J126" s="3193"/>
      <c r="K126" s="3193"/>
      <c r="L126" s="3193"/>
      <c r="M126" s="3193"/>
      <c r="N126" s="3193"/>
      <c r="O126" s="3193"/>
      <c r="P126" s="3193"/>
      <c r="Q126" s="3193"/>
      <c r="R126" s="3193"/>
      <c r="S126" s="3193"/>
      <c r="T126" s="3193"/>
      <c r="U126" s="3193"/>
    </row>
    <row r="127" spans="1:21" s="960" customFormat="1" ht="14.25" customHeight="1">
      <c r="A127" s="3172" t="s">
        <v>1153</v>
      </c>
      <c r="B127" s="1216" t="s">
        <v>2858</v>
      </c>
      <c r="C127" s="1216">
        <v>12280</v>
      </c>
      <c r="D127" s="1216">
        <v>12250</v>
      </c>
      <c r="E127" s="1216">
        <v>15130</v>
      </c>
      <c r="F127" s="3159">
        <v>2710</v>
      </c>
      <c r="G127" s="3175">
        <v>7870</v>
      </c>
      <c r="I127" s="971"/>
      <c r="J127" s="3193"/>
      <c r="K127" s="3193"/>
      <c r="L127" s="3193"/>
      <c r="M127" s="3193"/>
      <c r="N127" s="3193"/>
      <c r="O127" s="3193"/>
      <c r="P127" s="3193"/>
      <c r="Q127" s="3193"/>
      <c r="R127" s="3193"/>
      <c r="S127" s="3193"/>
      <c r="T127" s="3193"/>
      <c r="U127" s="3193"/>
    </row>
    <row r="128" spans="1:21" s="960" customFormat="1" ht="14.25" customHeight="1">
      <c r="A128" s="3158" t="s">
        <v>1153</v>
      </c>
      <c r="B128" s="3158" t="s">
        <v>977</v>
      </c>
      <c r="C128" s="3158">
        <v>13180</v>
      </c>
      <c r="D128" s="3158">
        <v>13150</v>
      </c>
      <c r="E128" s="3158">
        <v>16190</v>
      </c>
      <c r="F128" s="3164">
        <v>2820</v>
      </c>
      <c r="G128" s="3166">
        <v>8460</v>
      </c>
      <c r="I128" s="971"/>
      <c r="J128" s="3193"/>
      <c r="K128" s="3193"/>
      <c r="L128" s="3193"/>
      <c r="M128" s="3193"/>
      <c r="N128" s="3193"/>
      <c r="O128" s="3193"/>
      <c r="P128" s="3193"/>
      <c r="Q128" s="3193"/>
      <c r="R128" s="3193"/>
      <c r="S128" s="3193"/>
      <c r="T128" s="3193"/>
      <c r="U128" s="3193"/>
    </row>
    <row r="129" spans="1:21" s="960" customFormat="1" ht="14.25" customHeight="1">
      <c r="A129" s="3158" t="s">
        <v>1153</v>
      </c>
      <c r="B129" s="3158" t="s">
        <v>987</v>
      </c>
      <c r="C129" s="3158">
        <v>10950</v>
      </c>
      <c r="D129" s="3158">
        <v>10920</v>
      </c>
      <c r="E129" s="3158">
        <v>13820</v>
      </c>
      <c r="F129" s="3164">
        <v>2500</v>
      </c>
      <c r="G129" s="3166">
        <v>7020</v>
      </c>
      <c r="I129" s="971"/>
      <c r="J129" s="3193"/>
      <c r="K129" s="3193"/>
      <c r="L129" s="3193"/>
      <c r="M129" s="3193"/>
      <c r="N129" s="3193"/>
      <c r="O129" s="3193"/>
      <c r="P129" s="3193"/>
      <c r="Q129" s="3193"/>
      <c r="R129" s="3193"/>
      <c r="S129" s="3193"/>
      <c r="T129" s="3193"/>
      <c r="U129" s="3193"/>
    </row>
    <row r="130" spans="1:21" s="960" customFormat="1" ht="14.25" customHeight="1">
      <c r="A130" s="3158" t="s">
        <v>1153</v>
      </c>
      <c r="B130" s="3158" t="s">
        <v>996</v>
      </c>
      <c r="C130" s="3158">
        <v>10910</v>
      </c>
      <c r="D130" s="3158">
        <v>10860</v>
      </c>
      <c r="E130" s="3158">
        <v>13730</v>
      </c>
      <c r="F130" s="3164">
        <v>2760</v>
      </c>
      <c r="G130" s="3166">
        <v>6990</v>
      </c>
      <c r="I130" s="971"/>
      <c r="J130" s="3193"/>
      <c r="K130" s="3193"/>
      <c r="L130" s="3193"/>
      <c r="M130" s="3193"/>
      <c r="N130" s="3193"/>
      <c r="O130" s="3193"/>
      <c r="P130" s="3193"/>
      <c r="Q130" s="3193"/>
      <c r="R130" s="3193"/>
      <c r="S130" s="3193"/>
      <c r="T130" s="3193"/>
      <c r="U130" s="3193"/>
    </row>
    <row r="131" spans="1:21" s="960" customFormat="1" ht="14.25" customHeight="1">
      <c r="A131" s="3158" t="s">
        <v>1153</v>
      </c>
      <c r="B131" s="3158" t="s">
        <v>1006</v>
      </c>
      <c r="C131" s="3158">
        <v>12910</v>
      </c>
      <c r="D131" s="3158">
        <v>12870</v>
      </c>
      <c r="E131" s="3158">
        <v>15720</v>
      </c>
      <c r="F131" s="3164">
        <v>2750</v>
      </c>
      <c r="G131" s="3166">
        <v>8280</v>
      </c>
      <c r="I131" s="971"/>
      <c r="J131" s="3193"/>
      <c r="K131" s="3193"/>
      <c r="L131" s="3193"/>
      <c r="M131" s="3193"/>
      <c r="N131" s="3193"/>
      <c r="O131" s="3193"/>
      <c r="P131" s="3193"/>
      <c r="Q131" s="3193"/>
      <c r="R131" s="3193"/>
      <c r="S131" s="3193"/>
      <c r="T131" s="3193"/>
      <c r="U131" s="3193"/>
    </row>
    <row r="132" spans="1:21" s="960" customFormat="1" ht="14.25" customHeight="1">
      <c r="A132" s="3158" t="s">
        <v>1153</v>
      </c>
      <c r="B132" s="3158" t="s">
        <v>1013</v>
      </c>
      <c r="C132" s="3158">
        <v>11910</v>
      </c>
      <c r="D132" s="3158">
        <v>11860</v>
      </c>
      <c r="E132" s="3158">
        <v>14730</v>
      </c>
      <c r="F132" s="3164">
        <v>2360</v>
      </c>
      <c r="G132" s="3166">
        <v>7630</v>
      </c>
      <c r="I132" s="971"/>
      <c r="J132" s="3193"/>
      <c r="K132" s="3193"/>
      <c r="L132" s="3193"/>
      <c r="M132" s="3193"/>
      <c r="N132" s="3193"/>
      <c r="O132" s="3193"/>
      <c r="P132" s="3193"/>
      <c r="Q132" s="3193"/>
      <c r="R132" s="3193"/>
      <c r="S132" s="3193"/>
      <c r="T132" s="3193"/>
      <c r="U132" s="3193"/>
    </row>
    <row r="133" spans="1:21" s="960" customFormat="1" ht="14.25" customHeight="1">
      <c r="A133" s="3158" t="s">
        <v>1153</v>
      </c>
      <c r="B133" s="3158" t="s">
        <v>1019</v>
      </c>
      <c r="C133" s="3158">
        <v>12270</v>
      </c>
      <c r="D133" s="3158">
        <v>12210</v>
      </c>
      <c r="E133" s="3158">
        <v>15010</v>
      </c>
      <c r="F133" s="3164">
        <v>2580</v>
      </c>
      <c r="G133" s="3166">
        <v>7860</v>
      </c>
      <c r="I133" s="971"/>
      <c r="J133" s="3193"/>
      <c r="K133" s="3193"/>
      <c r="L133" s="3193"/>
      <c r="M133" s="3193"/>
      <c r="N133" s="3193"/>
      <c r="O133" s="3193"/>
      <c r="P133" s="3193"/>
      <c r="Q133" s="3193"/>
      <c r="R133" s="3193"/>
      <c r="S133" s="3193"/>
      <c r="T133" s="3193"/>
      <c r="U133" s="3193"/>
    </row>
    <row r="134" spans="1:21" s="960" customFormat="1" ht="14.25" customHeight="1">
      <c r="A134" s="3158" t="s">
        <v>1153</v>
      </c>
      <c r="B134" s="3158" t="s">
        <v>1026</v>
      </c>
      <c r="C134" s="3158">
        <v>10800</v>
      </c>
      <c r="D134" s="3158">
        <v>10780</v>
      </c>
      <c r="E134" s="3158">
        <v>13640</v>
      </c>
      <c r="F134" s="3164">
        <v>2110</v>
      </c>
      <c r="G134" s="3164">
        <v>6930</v>
      </c>
      <c r="I134" s="971"/>
      <c r="J134" s="3193"/>
      <c r="K134" s="3193"/>
      <c r="L134" s="3193"/>
      <c r="M134" s="3193"/>
      <c r="N134" s="3193"/>
      <c r="O134" s="3193"/>
      <c r="P134" s="3193"/>
      <c r="Q134" s="3193"/>
      <c r="R134" s="3193"/>
      <c r="S134" s="3193"/>
      <c r="T134" s="3193"/>
      <c r="U134" s="3193"/>
    </row>
    <row r="135" spans="1:21" s="960" customFormat="1" ht="14.25" customHeight="1">
      <c r="A135" s="3158" t="s">
        <v>1153</v>
      </c>
      <c r="B135" s="3158" t="s">
        <v>1036</v>
      </c>
      <c r="C135" s="3158">
        <v>10430</v>
      </c>
      <c r="D135" s="3158">
        <v>10390</v>
      </c>
      <c r="E135" s="3158">
        <v>13140</v>
      </c>
      <c r="F135" s="3164">
        <v>2240</v>
      </c>
      <c r="G135" s="3166">
        <v>6680</v>
      </c>
      <c r="I135" s="971"/>
      <c r="J135" s="3193"/>
      <c r="K135" s="3193"/>
      <c r="L135" s="3193"/>
      <c r="M135" s="3193"/>
      <c r="N135" s="3193"/>
      <c r="O135" s="3193"/>
      <c r="P135" s="3193"/>
      <c r="Q135" s="3193"/>
      <c r="R135" s="3193"/>
      <c r="S135" s="3193"/>
      <c r="T135" s="3193"/>
      <c r="U135" s="3193"/>
    </row>
    <row r="136" spans="1:21" s="960" customFormat="1" ht="14.25" customHeight="1">
      <c r="A136" s="3158" t="s">
        <v>1153</v>
      </c>
      <c r="B136" s="3158" t="s">
        <v>1045</v>
      </c>
      <c r="C136" s="3158">
        <v>11930</v>
      </c>
      <c r="D136" s="3158">
        <v>11880</v>
      </c>
      <c r="E136" s="3158">
        <v>14770</v>
      </c>
      <c r="F136" s="3164">
        <v>1970</v>
      </c>
      <c r="G136" s="3166">
        <v>7640</v>
      </c>
      <c r="I136" s="971"/>
      <c r="J136" s="3193"/>
      <c r="K136" s="3193"/>
      <c r="L136" s="3193"/>
      <c r="M136" s="3193"/>
      <c r="N136" s="3193"/>
      <c r="O136" s="3193"/>
      <c r="P136" s="3193"/>
      <c r="Q136" s="3193"/>
      <c r="R136" s="3193"/>
      <c r="S136" s="3193"/>
      <c r="T136" s="3193"/>
      <c r="U136" s="3193"/>
    </row>
    <row r="137" spans="1:21" s="960" customFormat="1" ht="14.25" customHeight="1">
      <c r="A137" s="3158" t="s">
        <v>1153</v>
      </c>
      <c r="B137" s="3158" t="s">
        <v>1052</v>
      </c>
      <c r="C137" s="3158">
        <v>10470</v>
      </c>
      <c r="D137" s="3158">
        <v>10430</v>
      </c>
      <c r="E137" s="3158">
        <v>13190</v>
      </c>
      <c r="F137" s="3164">
        <v>1990</v>
      </c>
      <c r="G137" s="3166">
        <v>6710</v>
      </c>
      <c r="I137" s="971"/>
      <c r="J137" s="3193"/>
      <c r="K137" s="3193"/>
      <c r="L137" s="3193"/>
      <c r="M137" s="3193"/>
      <c r="N137" s="3193"/>
      <c r="O137" s="3193"/>
      <c r="P137" s="3193"/>
      <c r="Q137" s="3193"/>
      <c r="R137" s="3193"/>
      <c r="S137" s="3193"/>
      <c r="T137" s="3193"/>
      <c r="U137" s="3193"/>
    </row>
    <row r="138" spans="1:21" s="960" customFormat="1" ht="14.25" customHeight="1">
      <c r="A138" s="3158" t="s">
        <v>1153</v>
      </c>
      <c r="B138" s="3158" t="s">
        <v>1059</v>
      </c>
      <c r="C138" s="3158">
        <v>10410</v>
      </c>
      <c r="D138" s="3158">
        <v>10380</v>
      </c>
      <c r="E138" s="3158">
        <v>13130</v>
      </c>
      <c r="F138" s="3164">
        <v>2030</v>
      </c>
      <c r="G138" s="3166">
        <v>6680</v>
      </c>
      <c r="I138" s="971"/>
      <c r="J138" s="3193"/>
      <c r="K138" s="3193"/>
      <c r="L138" s="3193"/>
      <c r="M138" s="3193"/>
      <c r="N138" s="3193"/>
      <c r="O138" s="3193"/>
      <c r="P138" s="3193"/>
      <c r="Q138" s="3193"/>
      <c r="R138" s="3193"/>
      <c r="S138" s="3193"/>
      <c r="T138" s="3193"/>
      <c r="U138" s="3193"/>
    </row>
    <row r="139" spans="1:21" s="960" customFormat="1" ht="14.25" customHeight="1">
      <c r="A139" s="3158" t="s">
        <v>1153</v>
      </c>
      <c r="B139" s="3158" t="s">
        <v>1066</v>
      </c>
      <c r="C139" s="3158">
        <v>9460</v>
      </c>
      <c r="D139" s="3158">
        <v>9410</v>
      </c>
      <c r="E139" s="3158">
        <v>12050</v>
      </c>
      <c r="F139" s="3164">
        <v>2140</v>
      </c>
      <c r="G139" s="3164">
        <v>6050</v>
      </c>
      <c r="I139" s="971"/>
      <c r="J139" s="3193"/>
      <c r="K139" s="3193"/>
      <c r="L139" s="3193"/>
      <c r="M139" s="3193"/>
      <c r="N139" s="3193"/>
      <c r="O139" s="3193"/>
      <c r="P139" s="3193"/>
      <c r="Q139" s="3193"/>
      <c r="R139" s="3193"/>
      <c r="S139" s="3193"/>
      <c r="T139" s="3193"/>
      <c r="U139" s="3193"/>
    </row>
    <row r="140" spans="1:21" s="960" customFormat="1" ht="14.25" customHeight="1">
      <c r="A140" s="3158" t="s">
        <v>1153</v>
      </c>
      <c r="B140" s="3158" t="s">
        <v>1074</v>
      </c>
      <c r="C140" s="3158">
        <v>11030</v>
      </c>
      <c r="D140" s="3158">
        <v>10980</v>
      </c>
      <c r="E140" s="3158">
        <v>13880</v>
      </c>
      <c r="F140" s="3164">
        <v>2210</v>
      </c>
      <c r="G140" s="3164">
        <v>7060</v>
      </c>
      <c r="I140" s="971"/>
      <c r="J140" s="3193"/>
      <c r="K140" s="3193"/>
      <c r="L140" s="3193"/>
      <c r="M140" s="3193"/>
      <c r="N140" s="3193"/>
      <c r="O140" s="3193"/>
      <c r="P140" s="3193"/>
      <c r="Q140" s="3193"/>
      <c r="R140" s="3193"/>
      <c r="S140" s="3193"/>
      <c r="T140" s="3193"/>
      <c r="U140" s="3193"/>
    </row>
    <row r="141" spans="1:21" s="960" customFormat="1" ht="14.25" customHeight="1">
      <c r="A141" s="3158" t="s">
        <v>1153</v>
      </c>
      <c r="B141" s="3158" t="s">
        <v>1082</v>
      </c>
      <c r="C141" s="3158">
        <v>11200</v>
      </c>
      <c r="D141" s="3158">
        <v>11150</v>
      </c>
      <c r="E141" s="3158">
        <v>14100</v>
      </c>
      <c r="F141" s="3164">
        <v>2470</v>
      </c>
      <c r="G141" s="3166">
        <v>7170</v>
      </c>
      <c r="I141" s="971"/>
      <c r="J141" s="3193"/>
      <c r="K141" s="3193"/>
      <c r="L141" s="3193"/>
      <c r="M141" s="3193"/>
      <c r="N141" s="3193"/>
      <c r="O141" s="3193"/>
      <c r="P141" s="3193"/>
      <c r="Q141" s="3193"/>
      <c r="R141" s="3193"/>
      <c r="S141" s="3193"/>
      <c r="T141" s="3193"/>
      <c r="U141" s="3193"/>
    </row>
    <row r="142" spans="1:21" s="960" customFormat="1" ht="14.25" customHeight="1">
      <c r="A142" s="3158" t="s">
        <v>1153</v>
      </c>
      <c r="B142" s="3158" t="s">
        <v>1087</v>
      </c>
      <c r="C142" s="3158">
        <v>10780</v>
      </c>
      <c r="D142" s="3158">
        <v>10730</v>
      </c>
      <c r="E142" s="3158">
        <v>13540</v>
      </c>
      <c r="F142" s="3164">
        <v>2280</v>
      </c>
      <c r="G142" s="3166">
        <v>6900</v>
      </c>
      <c r="I142" s="971"/>
      <c r="J142" s="3193"/>
      <c r="K142" s="3193"/>
      <c r="L142" s="3193"/>
      <c r="M142" s="3193"/>
      <c r="N142" s="3193"/>
      <c r="O142" s="3193"/>
      <c r="P142" s="3193"/>
      <c r="Q142" s="3193"/>
      <c r="R142" s="3193"/>
      <c r="S142" s="3193"/>
      <c r="T142" s="3193"/>
      <c r="U142" s="3193"/>
    </row>
    <row r="143" spans="1:21" s="960" customFormat="1" ht="14.25" customHeight="1">
      <c r="A143" s="3158" t="s">
        <v>1153</v>
      </c>
      <c r="B143" s="3158" t="s">
        <v>1096</v>
      </c>
      <c r="C143" s="3158">
        <v>11550</v>
      </c>
      <c r="D143" s="3158">
        <v>11490</v>
      </c>
      <c r="E143" s="3158">
        <v>14480</v>
      </c>
      <c r="F143" s="3164">
        <v>2070</v>
      </c>
      <c r="G143" s="3166">
        <v>7390</v>
      </c>
      <c r="I143" s="971"/>
      <c r="J143" s="3193"/>
      <c r="K143" s="3193"/>
      <c r="L143" s="3193"/>
      <c r="M143" s="3193"/>
      <c r="N143" s="3193"/>
      <c r="O143" s="3193"/>
      <c r="P143" s="3193"/>
      <c r="Q143" s="3193"/>
      <c r="R143" s="3193"/>
      <c r="S143" s="3193"/>
      <c r="T143" s="3193"/>
      <c r="U143" s="3193"/>
    </row>
    <row r="144" spans="1:21" s="960" customFormat="1" ht="14.25" customHeight="1">
      <c r="A144" s="3158" t="s">
        <v>1153</v>
      </c>
      <c r="B144" s="3158" t="s">
        <v>1103</v>
      </c>
      <c r="C144" s="3158">
        <v>10720</v>
      </c>
      <c r="D144" s="3158">
        <v>10680</v>
      </c>
      <c r="E144" s="3158">
        <v>13480</v>
      </c>
      <c r="F144" s="3164">
        <v>2440</v>
      </c>
      <c r="G144" s="3166">
        <v>6870</v>
      </c>
      <c r="I144" s="971"/>
      <c r="J144" s="3193"/>
      <c r="K144" s="3193"/>
      <c r="L144" s="3193"/>
      <c r="M144" s="3193"/>
      <c r="N144" s="3193"/>
      <c r="O144" s="3193"/>
      <c r="P144" s="3193"/>
      <c r="Q144" s="3193"/>
      <c r="R144" s="3193"/>
      <c r="S144" s="3193"/>
      <c r="T144" s="3193"/>
      <c r="U144" s="3193"/>
    </row>
    <row r="145" spans="1:21" s="960" customFormat="1" ht="14.25" customHeight="1">
      <c r="A145" s="3158" t="s">
        <v>1153</v>
      </c>
      <c r="B145" s="3158" t="s">
        <v>1111</v>
      </c>
      <c r="C145" s="3158">
        <v>10340</v>
      </c>
      <c r="D145" s="3158">
        <v>10290</v>
      </c>
      <c r="E145" s="3158">
        <v>12880</v>
      </c>
      <c r="F145" s="3164">
        <v>2650</v>
      </c>
      <c r="G145" s="3164">
        <v>6620</v>
      </c>
      <c r="I145" s="971"/>
      <c r="J145" s="3193"/>
      <c r="K145" s="3193"/>
      <c r="L145" s="3193"/>
      <c r="M145" s="3193"/>
      <c r="N145" s="3193"/>
      <c r="O145" s="3193"/>
      <c r="P145" s="3193"/>
      <c r="Q145" s="3193"/>
      <c r="R145" s="3193"/>
      <c r="S145" s="3193"/>
      <c r="T145" s="3193"/>
      <c r="U145" s="3193"/>
    </row>
    <row r="146" spans="1:21" s="960" customFormat="1" ht="14.25" customHeight="1">
      <c r="A146" s="3158" t="s">
        <v>1153</v>
      </c>
      <c r="B146" s="3158" t="s">
        <v>1118</v>
      </c>
      <c r="C146" s="3158">
        <v>11890</v>
      </c>
      <c r="D146" s="3158">
        <v>11830</v>
      </c>
      <c r="E146" s="3158">
        <v>14670</v>
      </c>
      <c r="F146" s="3164"/>
      <c r="G146" s="3164">
        <v>7610</v>
      </c>
      <c r="I146" s="971"/>
      <c r="J146" s="3193"/>
      <c r="K146" s="3193"/>
      <c r="L146" s="3193"/>
      <c r="M146" s="3193"/>
      <c r="N146" s="3193"/>
      <c r="O146" s="3193"/>
      <c r="P146" s="3193"/>
      <c r="Q146" s="3193"/>
      <c r="R146" s="3193"/>
      <c r="S146" s="3193"/>
      <c r="T146" s="3193"/>
      <c r="U146" s="3193"/>
    </row>
    <row r="147" spans="1:21" s="960" customFormat="1" ht="14.25" customHeight="1">
      <c r="A147" s="3158" t="s">
        <v>1153</v>
      </c>
      <c r="B147" s="3158" t="s">
        <v>1122</v>
      </c>
      <c r="C147" s="3158">
        <v>12650</v>
      </c>
      <c r="D147" s="3158">
        <v>12600</v>
      </c>
      <c r="E147" s="3158">
        <v>15440</v>
      </c>
      <c r="F147" s="3164"/>
      <c r="G147" s="3164">
        <v>8110</v>
      </c>
      <c r="I147" s="971"/>
      <c r="J147" s="3193"/>
      <c r="K147" s="3193"/>
      <c r="L147" s="3193"/>
      <c r="M147" s="3193"/>
      <c r="N147" s="3193"/>
      <c r="O147" s="3193"/>
      <c r="P147" s="3193"/>
      <c r="Q147" s="3193"/>
      <c r="R147" s="3193"/>
      <c r="S147" s="3193"/>
      <c r="T147" s="3193"/>
      <c r="U147" s="3193"/>
    </row>
    <row r="148" spans="1:21" s="960" customFormat="1" ht="14.25" customHeight="1">
      <c r="A148" s="3158" t="s">
        <v>1153</v>
      </c>
      <c r="B148" s="3158" t="s">
        <v>2859</v>
      </c>
      <c r="C148" s="3158">
        <v>10370</v>
      </c>
      <c r="D148" s="3158">
        <v>10310</v>
      </c>
      <c r="E148" s="3158">
        <v>12970</v>
      </c>
      <c r="F148" s="3164"/>
      <c r="G148" s="3164">
        <v>6630</v>
      </c>
      <c r="I148" s="971"/>
      <c r="J148" s="3193"/>
      <c r="K148" s="3193"/>
      <c r="L148" s="3193"/>
      <c r="M148" s="3193"/>
      <c r="N148" s="3193"/>
      <c r="O148" s="3193"/>
      <c r="P148" s="3193"/>
      <c r="Q148" s="3193"/>
      <c r="R148" s="3193"/>
      <c r="S148" s="3193"/>
      <c r="T148" s="3193"/>
      <c r="U148" s="3193"/>
    </row>
    <row r="149" spans="1:21" s="960" customFormat="1" ht="14.25" customHeight="1">
      <c r="A149" s="3158" t="s">
        <v>1153</v>
      </c>
      <c r="B149" s="3158" t="s">
        <v>2860</v>
      </c>
      <c r="C149" s="3158">
        <v>11600</v>
      </c>
      <c r="D149" s="3158">
        <v>11560</v>
      </c>
      <c r="E149" s="3158">
        <v>14540</v>
      </c>
      <c r="F149" s="3164">
        <v>2390</v>
      </c>
      <c r="G149" s="3164">
        <v>7430</v>
      </c>
      <c r="I149" s="971"/>
      <c r="J149" s="3193"/>
      <c r="K149" s="3193"/>
      <c r="L149" s="3193"/>
      <c r="M149" s="3193"/>
      <c r="N149" s="3193"/>
      <c r="O149" s="3193"/>
      <c r="P149" s="3193"/>
      <c r="Q149" s="3193"/>
      <c r="R149" s="3193"/>
      <c r="S149" s="3193"/>
      <c r="T149" s="3193"/>
      <c r="U149" s="3193"/>
    </row>
    <row r="150" spans="1:21" s="960" customFormat="1" ht="14.25" customHeight="1">
      <c r="A150" s="3158" t="s">
        <v>1153</v>
      </c>
      <c r="B150" s="3158" t="s">
        <v>1141</v>
      </c>
      <c r="C150" s="3158">
        <v>9950</v>
      </c>
      <c r="D150" s="3158">
        <v>9890</v>
      </c>
      <c r="E150" s="3158">
        <v>12590</v>
      </c>
      <c r="F150" s="3164">
        <v>1970</v>
      </c>
      <c r="G150" s="3164">
        <v>6360</v>
      </c>
      <c r="I150" s="971"/>
      <c r="J150" s="3193"/>
      <c r="K150" s="3193"/>
      <c r="L150" s="3193"/>
      <c r="M150" s="3193"/>
      <c r="N150" s="3193"/>
      <c r="O150" s="3193"/>
      <c r="P150" s="3193"/>
      <c r="Q150" s="3193"/>
      <c r="R150" s="3193"/>
      <c r="S150" s="3193"/>
      <c r="T150" s="3193"/>
      <c r="U150" s="3193"/>
    </row>
    <row r="151" spans="1:21" s="960" customFormat="1" ht="14.25" customHeight="1">
      <c r="A151" s="3158" t="s">
        <v>1153</v>
      </c>
      <c r="B151" s="3158" t="s">
        <v>1143</v>
      </c>
      <c r="C151" s="3158">
        <v>10700</v>
      </c>
      <c r="D151" s="3158">
        <v>10650</v>
      </c>
      <c r="E151" s="3158">
        <v>13420</v>
      </c>
      <c r="F151" s="3164">
        <v>2020</v>
      </c>
      <c r="G151" s="3164">
        <v>6850</v>
      </c>
      <c r="I151" s="971"/>
      <c r="J151" s="3193"/>
      <c r="K151" s="3193"/>
      <c r="L151" s="3193"/>
      <c r="M151" s="3193"/>
      <c r="N151" s="3193"/>
      <c r="O151" s="3193"/>
      <c r="P151" s="3193"/>
      <c r="Q151" s="3193"/>
      <c r="R151" s="3193"/>
      <c r="S151" s="3193"/>
      <c r="T151" s="3193"/>
      <c r="U151" s="3193"/>
    </row>
    <row r="152" spans="1:21" s="960" customFormat="1" ht="14.25" customHeight="1">
      <c r="A152" s="3158" t="s">
        <v>1153</v>
      </c>
      <c r="B152" s="3158" t="s">
        <v>1146</v>
      </c>
      <c r="C152" s="3158">
        <v>10310</v>
      </c>
      <c r="D152" s="3158">
        <v>10260</v>
      </c>
      <c r="E152" s="3158">
        <v>12820</v>
      </c>
      <c r="F152" s="3164">
        <v>1980</v>
      </c>
      <c r="G152" s="3164">
        <v>6600</v>
      </c>
      <c r="I152" s="971"/>
      <c r="J152" s="3193"/>
      <c r="K152" s="3193"/>
      <c r="L152" s="3193"/>
      <c r="M152" s="3193"/>
      <c r="N152" s="3193"/>
      <c r="O152" s="3193"/>
      <c r="P152" s="3193"/>
      <c r="Q152" s="3193"/>
      <c r="R152" s="3193"/>
      <c r="S152" s="3193"/>
      <c r="T152" s="3193"/>
      <c r="U152" s="3193"/>
    </row>
    <row r="153" spans="1:21" s="960" customFormat="1" ht="14.25" customHeight="1">
      <c r="A153" s="3158" t="s">
        <v>1153</v>
      </c>
      <c r="B153" s="3158" t="s">
        <v>2861</v>
      </c>
      <c r="C153" s="3158">
        <v>10880</v>
      </c>
      <c r="D153" s="3158">
        <v>10820</v>
      </c>
      <c r="E153" s="3158">
        <v>13660</v>
      </c>
      <c r="F153" s="3164">
        <v>2260</v>
      </c>
      <c r="G153" s="3164">
        <v>6970</v>
      </c>
      <c r="I153" s="971"/>
      <c r="J153" s="3193"/>
      <c r="K153" s="3193"/>
      <c r="L153" s="3193"/>
      <c r="M153" s="3193"/>
      <c r="N153" s="3193"/>
      <c r="O153" s="3193"/>
      <c r="P153" s="3193"/>
      <c r="Q153" s="3193"/>
      <c r="R153" s="3193"/>
      <c r="S153" s="3193"/>
      <c r="T153" s="3193"/>
      <c r="U153" s="3193"/>
    </row>
    <row r="154" spans="1:21" s="960" customFormat="1" ht="14.25" customHeight="1">
      <c r="A154" s="3158" t="s">
        <v>1153</v>
      </c>
      <c r="B154" s="3158" t="s">
        <v>2862</v>
      </c>
      <c r="C154" s="3158">
        <v>11220</v>
      </c>
      <c r="D154" s="3158">
        <v>11160</v>
      </c>
      <c r="E154" s="3158">
        <v>14130</v>
      </c>
      <c r="F154" s="3164">
        <v>2230</v>
      </c>
      <c r="G154" s="3164">
        <v>7180</v>
      </c>
      <c r="I154" s="971"/>
      <c r="J154" s="3193"/>
      <c r="K154" s="3193"/>
      <c r="L154" s="3193"/>
      <c r="M154" s="3193"/>
      <c r="N154" s="3193"/>
      <c r="O154" s="3193"/>
      <c r="P154" s="3193"/>
      <c r="Q154" s="3193"/>
      <c r="R154" s="3193"/>
      <c r="S154" s="3193"/>
      <c r="T154" s="3193"/>
      <c r="U154" s="3193"/>
    </row>
    <row r="155" spans="1:21" s="960" customFormat="1" ht="14.25" customHeight="1">
      <c r="A155" s="3158" t="s">
        <v>1153</v>
      </c>
      <c r="B155" s="3158" t="s">
        <v>2863</v>
      </c>
      <c r="C155" s="3158">
        <v>10430</v>
      </c>
      <c r="D155" s="3158">
        <v>10380</v>
      </c>
      <c r="E155" s="3158">
        <v>13140</v>
      </c>
      <c r="F155" s="3164">
        <v>2080</v>
      </c>
      <c r="G155" s="3164">
        <v>6650</v>
      </c>
      <c r="I155" s="971"/>
      <c r="J155" s="3193"/>
      <c r="K155" s="3193"/>
      <c r="L155" s="3193"/>
      <c r="M155" s="3193"/>
      <c r="N155" s="3193"/>
      <c r="O155" s="3193"/>
      <c r="P155" s="3193"/>
      <c r="Q155" s="3193"/>
      <c r="R155" s="3193"/>
      <c r="S155" s="3193"/>
      <c r="T155" s="3193"/>
      <c r="U155" s="3193"/>
    </row>
    <row r="156" spans="1:21" s="960" customFormat="1" ht="14.25" customHeight="1">
      <c r="A156" s="3158" t="s">
        <v>1153</v>
      </c>
      <c r="B156" s="3158" t="s">
        <v>2864</v>
      </c>
      <c r="C156" s="3158">
        <v>10440</v>
      </c>
      <c r="D156" s="3158">
        <v>10400</v>
      </c>
      <c r="E156" s="3158">
        <v>13150</v>
      </c>
      <c r="F156" s="3164">
        <v>2490</v>
      </c>
      <c r="G156" s="3164">
        <v>6690</v>
      </c>
      <c r="I156" s="971"/>
      <c r="J156" s="3193"/>
      <c r="K156" s="3193"/>
      <c r="L156" s="3193"/>
      <c r="M156" s="3193"/>
      <c r="N156" s="3193"/>
      <c r="O156" s="3193"/>
      <c r="P156" s="3193"/>
      <c r="Q156" s="3193"/>
      <c r="R156" s="3193"/>
      <c r="S156" s="3193"/>
      <c r="T156" s="3193"/>
      <c r="U156" s="3193"/>
    </row>
    <row r="157" spans="1:21" s="960" customFormat="1" ht="14.25" customHeight="1">
      <c r="A157" s="3158" t="s">
        <v>1153</v>
      </c>
      <c r="B157" s="3158" t="s">
        <v>1149</v>
      </c>
      <c r="C157" s="3158">
        <v>10970</v>
      </c>
      <c r="D157" s="3158">
        <v>10920</v>
      </c>
      <c r="E157" s="3158">
        <v>13840</v>
      </c>
      <c r="F157" s="3164">
        <v>2420</v>
      </c>
      <c r="G157" s="3171">
        <v>7020</v>
      </c>
      <c r="I157" s="971"/>
      <c r="J157" s="3193"/>
      <c r="K157" s="3193"/>
      <c r="L157" s="3193"/>
      <c r="M157" s="3193"/>
      <c r="N157" s="3193"/>
      <c r="O157" s="3193"/>
      <c r="P157" s="3193"/>
      <c r="Q157" s="3193"/>
      <c r="R157" s="3193"/>
      <c r="S157" s="3193"/>
      <c r="T157" s="3193"/>
      <c r="U157" s="3193"/>
    </row>
    <row r="158" spans="1:21" s="960" customFormat="1" ht="14.25" customHeight="1">
      <c r="A158" s="1216" t="s">
        <v>1153</v>
      </c>
      <c r="B158" s="1216" t="s">
        <v>1150</v>
      </c>
      <c r="C158" s="1216">
        <v>9590</v>
      </c>
      <c r="D158" s="1216">
        <v>9540</v>
      </c>
      <c r="E158" s="1216">
        <v>12210</v>
      </c>
      <c r="F158" s="3159">
        <v>2100</v>
      </c>
      <c r="G158" s="3159">
        <v>6130</v>
      </c>
      <c r="I158" s="971"/>
      <c r="J158" s="3193"/>
      <c r="K158" s="3193"/>
      <c r="L158" s="3193"/>
      <c r="M158" s="3193"/>
      <c r="N158" s="3193"/>
      <c r="O158" s="3193"/>
      <c r="P158" s="3193"/>
      <c r="Q158" s="3193"/>
      <c r="R158" s="3193"/>
      <c r="S158" s="3193"/>
      <c r="T158" s="3193"/>
      <c r="U158" s="3193"/>
    </row>
    <row r="159" spans="1:21" s="960" customFormat="1" ht="14.25" customHeight="1">
      <c r="A159" s="3158" t="s">
        <v>1153</v>
      </c>
      <c r="B159" s="3158" t="s">
        <v>1151</v>
      </c>
      <c r="C159" s="3158">
        <v>11190</v>
      </c>
      <c r="D159" s="3158">
        <v>11140</v>
      </c>
      <c r="E159" s="3158">
        <v>14090</v>
      </c>
      <c r="F159" s="3164">
        <v>2470</v>
      </c>
      <c r="G159" s="3164">
        <v>7170</v>
      </c>
      <c r="I159" s="971"/>
      <c r="J159" s="3193"/>
      <c r="K159" s="3193"/>
      <c r="L159" s="3193"/>
      <c r="M159" s="3193"/>
      <c r="N159" s="3193"/>
      <c r="O159" s="3193"/>
      <c r="P159" s="3193"/>
      <c r="Q159" s="3193"/>
      <c r="R159" s="3193"/>
      <c r="S159" s="3193"/>
      <c r="T159" s="3193"/>
      <c r="U159" s="3193"/>
    </row>
    <row r="160" spans="1:21" s="960" customFormat="1" ht="14.25" customHeight="1">
      <c r="A160" s="3158" t="s">
        <v>1153</v>
      </c>
      <c r="B160" s="3158" t="s">
        <v>2865</v>
      </c>
      <c r="C160" s="3158">
        <v>11180</v>
      </c>
      <c r="D160" s="3158">
        <v>11140</v>
      </c>
      <c r="E160" s="3158">
        <v>14050</v>
      </c>
      <c r="F160" s="3164">
        <v>2270</v>
      </c>
      <c r="G160" s="3164">
        <v>7170</v>
      </c>
      <c r="I160" s="971"/>
      <c r="J160" s="3193"/>
      <c r="K160" s="3193"/>
      <c r="L160" s="3193"/>
      <c r="M160" s="3193"/>
      <c r="N160" s="3193"/>
      <c r="O160" s="3193"/>
      <c r="P160" s="3193"/>
      <c r="Q160" s="3193"/>
      <c r="R160" s="3193"/>
      <c r="S160" s="3193"/>
      <c r="T160" s="3193"/>
      <c r="U160" s="3193"/>
    </row>
    <row r="161" spans="1:21" s="960" customFormat="1" ht="14.25" customHeight="1">
      <c r="A161" s="3158" t="s">
        <v>1153</v>
      </c>
      <c r="B161" s="3158" t="s">
        <v>2866</v>
      </c>
      <c r="C161" s="3158">
        <v>11160</v>
      </c>
      <c r="D161" s="3158">
        <v>11120</v>
      </c>
      <c r="E161" s="3158">
        <v>14020</v>
      </c>
      <c r="F161" s="3164">
        <v>2150</v>
      </c>
      <c r="G161" s="3164">
        <v>7160</v>
      </c>
      <c r="I161" s="971"/>
      <c r="J161" s="3193"/>
      <c r="K161" s="3193"/>
      <c r="L161" s="3193"/>
      <c r="M161" s="3193"/>
      <c r="N161" s="3193"/>
      <c r="O161" s="3193"/>
      <c r="P161" s="3193"/>
      <c r="Q161" s="3193"/>
      <c r="R161" s="3193"/>
      <c r="S161" s="3193"/>
      <c r="T161" s="3193"/>
      <c r="U161" s="3193"/>
    </row>
    <row r="162" spans="1:21" s="960" customFormat="1" ht="14.25" customHeight="1">
      <c r="A162" s="3158" t="s">
        <v>1153</v>
      </c>
      <c r="B162" s="3158" t="s">
        <v>2867</v>
      </c>
      <c r="C162" s="3158">
        <v>9620</v>
      </c>
      <c r="D162" s="3158">
        <v>9570</v>
      </c>
      <c r="E162" s="3158">
        <v>12320</v>
      </c>
      <c r="F162" s="3164">
        <v>2010</v>
      </c>
      <c r="G162" s="3164">
        <v>6160</v>
      </c>
      <c r="I162" s="971"/>
      <c r="J162" s="3193"/>
      <c r="K162" s="3193"/>
      <c r="L162" s="3193"/>
      <c r="M162" s="3193"/>
      <c r="N162" s="3193"/>
      <c r="O162" s="3193"/>
      <c r="P162" s="3193"/>
      <c r="Q162" s="3193"/>
      <c r="R162" s="3193"/>
      <c r="S162" s="3193"/>
      <c r="T162" s="3193"/>
      <c r="U162" s="3193"/>
    </row>
    <row r="163" spans="1:21" s="960" customFormat="1" ht="14.25" customHeight="1">
      <c r="A163" s="3158" t="s">
        <v>1153</v>
      </c>
      <c r="B163" s="3158" t="s">
        <v>2868</v>
      </c>
      <c r="C163" s="3158">
        <v>9320</v>
      </c>
      <c r="D163" s="3158">
        <v>9270</v>
      </c>
      <c r="E163" s="3158">
        <v>11790</v>
      </c>
      <c r="F163" s="3164">
        <v>1920</v>
      </c>
      <c r="G163" s="3164">
        <v>5960</v>
      </c>
      <c r="I163" s="971"/>
      <c r="J163" s="3193"/>
      <c r="K163" s="3193"/>
      <c r="L163" s="3193"/>
      <c r="M163" s="3193"/>
      <c r="N163" s="3193"/>
      <c r="O163" s="3193"/>
      <c r="P163" s="3193"/>
      <c r="Q163" s="3193"/>
      <c r="R163" s="3193"/>
      <c r="S163" s="3193"/>
      <c r="T163" s="3193"/>
      <c r="U163" s="3193"/>
    </row>
    <row r="164" spans="1:21" s="960" customFormat="1" ht="14.25" customHeight="1">
      <c r="A164" s="3158" t="s">
        <v>1153</v>
      </c>
      <c r="B164" s="3158" t="s">
        <v>2869</v>
      </c>
      <c r="C164" s="3158"/>
      <c r="D164" s="3158"/>
      <c r="E164" s="3158"/>
      <c r="F164" s="3164">
        <v>1980</v>
      </c>
      <c r="G164" s="3164"/>
      <c r="I164" s="971"/>
      <c r="J164" s="3193"/>
      <c r="K164" s="3193"/>
      <c r="L164" s="3193"/>
      <c r="M164" s="3193"/>
      <c r="N164" s="3193"/>
      <c r="O164" s="3193"/>
      <c r="P164" s="3193"/>
      <c r="Q164" s="3193"/>
      <c r="R164" s="3193"/>
      <c r="S164" s="3193"/>
      <c r="T164" s="3193"/>
      <c r="U164" s="3193"/>
    </row>
    <row r="165" spans="1:21" s="960" customFormat="1" ht="14.25" customHeight="1">
      <c r="A165" s="3158" t="s">
        <v>1153</v>
      </c>
      <c r="B165" s="3158" t="s">
        <v>2870</v>
      </c>
      <c r="C165" s="3158">
        <v>11060</v>
      </c>
      <c r="D165" s="3158">
        <v>11030</v>
      </c>
      <c r="E165" s="3158">
        <v>13850</v>
      </c>
      <c r="F165" s="3164">
        <v>2170</v>
      </c>
      <c r="G165" s="3164">
        <v>7090</v>
      </c>
      <c r="I165" s="971"/>
      <c r="J165" s="3193"/>
      <c r="K165" s="3193"/>
      <c r="L165" s="3193"/>
      <c r="M165" s="3193"/>
      <c r="N165" s="3193"/>
      <c r="O165" s="3193"/>
      <c r="P165" s="3193"/>
      <c r="Q165" s="3193"/>
      <c r="R165" s="3193"/>
      <c r="S165" s="3193"/>
      <c r="T165" s="3193"/>
      <c r="U165" s="3193"/>
    </row>
    <row r="166" spans="1:21" s="960" customFormat="1" ht="14.25" customHeight="1">
      <c r="A166" s="3158" t="s">
        <v>1153</v>
      </c>
      <c r="B166" s="3158" t="s">
        <v>2871</v>
      </c>
      <c r="C166" s="3158">
        <v>11050</v>
      </c>
      <c r="D166" s="3158">
        <v>11010</v>
      </c>
      <c r="E166" s="3158">
        <v>13920</v>
      </c>
      <c r="F166" s="3164">
        <v>2140</v>
      </c>
      <c r="G166" s="3164">
        <v>7080</v>
      </c>
      <c r="I166" s="971"/>
      <c r="J166" s="3193"/>
      <c r="K166" s="3193"/>
      <c r="L166" s="3193"/>
      <c r="M166" s="3193"/>
      <c r="N166" s="3193"/>
      <c r="O166" s="3193"/>
      <c r="P166" s="3193"/>
      <c r="Q166" s="3193"/>
      <c r="R166" s="3193"/>
      <c r="S166" s="3193"/>
      <c r="T166" s="3193"/>
      <c r="U166" s="3193"/>
    </row>
    <row r="167" spans="1:21" s="960" customFormat="1" ht="14.25" customHeight="1">
      <c r="A167" s="3158" t="s">
        <v>1153</v>
      </c>
      <c r="B167" s="3158" t="s">
        <v>2872</v>
      </c>
      <c r="C167" s="3158">
        <v>10930</v>
      </c>
      <c r="D167" s="3158">
        <v>10890</v>
      </c>
      <c r="E167" s="3158">
        <v>13790</v>
      </c>
      <c r="F167" s="3164">
        <v>2010</v>
      </c>
      <c r="G167" s="3166">
        <v>7000</v>
      </c>
      <c r="I167" s="971"/>
      <c r="J167" s="3193"/>
      <c r="K167" s="3193"/>
      <c r="L167" s="3193"/>
      <c r="M167" s="3193"/>
      <c r="N167" s="3193"/>
      <c r="O167" s="3193"/>
      <c r="P167" s="3193"/>
      <c r="Q167" s="3193"/>
      <c r="R167" s="3193"/>
      <c r="S167" s="3193"/>
      <c r="T167" s="3193"/>
      <c r="U167" s="3193"/>
    </row>
    <row r="168" spans="1:21" s="960" customFormat="1" ht="14.25" customHeight="1">
      <c r="A168" s="3158" t="s">
        <v>1153</v>
      </c>
      <c r="B168" s="3158" t="s">
        <v>2873</v>
      </c>
      <c r="C168" s="3158">
        <v>9420</v>
      </c>
      <c r="D168" s="3158">
        <v>9380</v>
      </c>
      <c r="E168" s="3158">
        <v>11970</v>
      </c>
      <c r="F168" s="3164"/>
      <c r="G168" s="3166">
        <v>6040</v>
      </c>
      <c r="I168" s="971"/>
      <c r="J168" s="3193"/>
      <c r="K168" s="3193"/>
      <c r="L168" s="3193"/>
      <c r="M168" s="3193"/>
      <c r="N168" s="3193"/>
      <c r="O168" s="3193"/>
      <c r="P168" s="3193"/>
      <c r="Q168" s="3193"/>
      <c r="R168" s="3193"/>
      <c r="S168" s="3193"/>
      <c r="T168" s="3193"/>
      <c r="U168" s="3193"/>
    </row>
    <row r="169" spans="1:21" s="960" customFormat="1" ht="14.25" customHeight="1">
      <c r="A169" s="3158" t="s">
        <v>1153</v>
      </c>
      <c r="B169" s="3158" t="s">
        <v>2874</v>
      </c>
      <c r="C169" s="3158"/>
      <c r="D169" s="3158"/>
      <c r="E169" s="3158"/>
      <c r="F169" s="3164">
        <v>2880</v>
      </c>
      <c r="G169" s="3166"/>
      <c r="I169" s="971"/>
      <c r="J169" s="3193"/>
      <c r="K169" s="3193"/>
      <c r="L169" s="3193"/>
      <c r="M169" s="3193"/>
      <c r="N169" s="3193"/>
      <c r="O169" s="3193"/>
      <c r="P169" s="3193"/>
      <c r="Q169" s="3193"/>
      <c r="R169" s="3193"/>
      <c r="S169" s="3193"/>
      <c r="T169" s="3193"/>
      <c r="U169" s="3193"/>
    </row>
    <row r="170" spans="1:21" s="960" customFormat="1" ht="14.25" customHeight="1">
      <c r="A170" s="3158" t="s">
        <v>1153</v>
      </c>
      <c r="B170" s="3158" t="s">
        <v>2875</v>
      </c>
      <c r="C170" s="3158"/>
      <c r="D170" s="3158"/>
      <c r="E170" s="3158"/>
      <c r="F170" s="3164">
        <v>2880</v>
      </c>
      <c r="G170" s="3166"/>
      <c r="I170" s="971"/>
      <c r="J170" s="3193"/>
      <c r="K170" s="3193"/>
      <c r="L170" s="3193"/>
      <c r="M170" s="3193"/>
      <c r="N170" s="3193"/>
      <c r="O170" s="3193"/>
      <c r="P170" s="3193"/>
      <c r="Q170" s="3193"/>
      <c r="R170" s="3193"/>
      <c r="S170" s="3193"/>
      <c r="T170" s="3193"/>
      <c r="U170" s="3193"/>
    </row>
    <row r="171" spans="1:21" s="960" customFormat="1" ht="14.25" customHeight="1">
      <c r="A171" s="3158" t="s">
        <v>1153</v>
      </c>
      <c r="B171" s="3158" t="s">
        <v>2876</v>
      </c>
      <c r="C171" s="3158"/>
      <c r="D171" s="3158"/>
      <c r="E171" s="3158"/>
      <c r="F171" s="3164">
        <v>2880</v>
      </c>
      <c r="G171" s="3164"/>
      <c r="I171" s="971"/>
      <c r="J171" s="3193"/>
      <c r="K171" s="3193"/>
      <c r="L171" s="3193"/>
      <c r="M171" s="3193"/>
      <c r="N171" s="3193"/>
      <c r="O171" s="3193"/>
      <c r="P171" s="3193"/>
      <c r="Q171" s="3193"/>
      <c r="R171" s="3193"/>
      <c r="S171" s="3193"/>
      <c r="T171" s="3193"/>
      <c r="U171" s="3193"/>
    </row>
    <row r="172" spans="1:21" s="960" customFormat="1" ht="14.25" customHeight="1">
      <c r="A172" s="3158" t="s">
        <v>1153</v>
      </c>
      <c r="B172" s="3158" t="s">
        <v>2877</v>
      </c>
      <c r="C172" s="3158"/>
      <c r="D172" s="3158"/>
      <c r="E172" s="3158"/>
      <c r="F172" s="3164">
        <v>2880</v>
      </c>
      <c r="G172" s="3166"/>
      <c r="I172" s="971"/>
      <c r="J172" s="3193"/>
      <c r="K172" s="3193"/>
      <c r="L172" s="3193"/>
      <c r="M172" s="3193"/>
      <c r="N172" s="3193"/>
      <c r="O172" s="3193"/>
      <c r="P172" s="3193"/>
      <c r="Q172" s="3193"/>
      <c r="R172" s="3193"/>
      <c r="S172" s="3193"/>
      <c r="T172" s="3193"/>
      <c r="U172" s="3193"/>
    </row>
    <row r="173" spans="1:21" s="960" customFormat="1" ht="14.25" customHeight="1">
      <c r="A173" s="3158" t="s">
        <v>1153</v>
      </c>
      <c r="B173" s="3158" t="s">
        <v>2878</v>
      </c>
      <c r="C173" s="3158"/>
      <c r="D173" s="3158"/>
      <c r="E173" s="3158"/>
      <c r="F173" s="3164">
        <v>2150</v>
      </c>
      <c r="G173" s="3166"/>
      <c r="I173" s="971"/>
      <c r="J173" s="3193"/>
      <c r="K173" s="3193"/>
      <c r="L173" s="3193"/>
      <c r="M173" s="3193"/>
      <c r="N173" s="3193"/>
      <c r="O173" s="3193"/>
      <c r="P173" s="3193"/>
      <c r="Q173" s="3193"/>
      <c r="R173" s="3193"/>
      <c r="S173" s="3193"/>
      <c r="T173" s="3193"/>
      <c r="U173" s="3193"/>
    </row>
    <row r="174" spans="1:21" s="960" customFormat="1" ht="14.25" customHeight="1">
      <c r="A174" s="3158" t="s">
        <v>1153</v>
      </c>
      <c r="B174" s="3158" t="s">
        <v>2879</v>
      </c>
      <c r="C174" s="3158"/>
      <c r="D174" s="3158"/>
      <c r="E174" s="3158"/>
      <c r="F174" s="3164">
        <v>2030</v>
      </c>
      <c r="G174" s="3164"/>
      <c r="I174" s="971"/>
      <c r="J174" s="3193"/>
      <c r="K174" s="3193"/>
      <c r="L174" s="3193"/>
      <c r="M174" s="3193"/>
      <c r="N174" s="3193"/>
      <c r="O174" s="3193"/>
      <c r="P174" s="3193"/>
      <c r="Q174" s="3193"/>
      <c r="R174" s="3193"/>
      <c r="S174" s="3193"/>
      <c r="T174" s="3193"/>
      <c r="U174" s="3193"/>
    </row>
    <row r="175" spans="1:21" s="960" customFormat="1" ht="14.25" customHeight="1">
      <c r="A175" s="3158" t="s">
        <v>1153</v>
      </c>
      <c r="B175" s="3158" t="s">
        <v>2880</v>
      </c>
      <c r="C175" s="3158"/>
      <c r="D175" s="3158"/>
      <c r="E175" s="3158"/>
      <c r="F175" s="3164">
        <v>2780</v>
      </c>
      <c r="G175" s="3164"/>
      <c r="I175" s="971"/>
      <c r="J175" s="3193"/>
      <c r="K175" s="3193"/>
      <c r="L175" s="3193"/>
      <c r="M175" s="3193"/>
      <c r="N175" s="3193"/>
      <c r="O175" s="3193"/>
      <c r="P175" s="3193"/>
      <c r="Q175" s="3193"/>
      <c r="R175" s="3193"/>
      <c r="S175" s="3193"/>
      <c r="T175" s="3193"/>
      <c r="U175" s="3193"/>
    </row>
    <row r="176" spans="1:21" s="960" customFormat="1" ht="14.25" customHeight="1">
      <c r="A176" s="3158" t="s">
        <v>1153</v>
      </c>
      <c r="B176" s="3158" t="s">
        <v>2881</v>
      </c>
      <c r="C176" s="3158"/>
      <c r="D176" s="3158"/>
      <c r="E176" s="3158"/>
      <c r="F176" s="3164">
        <v>2780</v>
      </c>
      <c r="G176" s="3164"/>
      <c r="I176" s="971"/>
      <c r="J176" s="3193"/>
      <c r="K176" s="3193"/>
      <c r="L176" s="3193"/>
      <c r="M176" s="3193"/>
      <c r="N176" s="3193"/>
      <c r="O176" s="3193"/>
      <c r="P176" s="3193"/>
      <c r="Q176" s="3193"/>
      <c r="R176" s="3193"/>
      <c r="S176" s="3193"/>
      <c r="T176" s="3193"/>
      <c r="U176" s="3193"/>
    </row>
    <row r="177" spans="1:21" s="960" customFormat="1" ht="14.25" customHeight="1">
      <c r="A177" s="3158" t="s">
        <v>1153</v>
      </c>
      <c r="B177" s="3158" t="s">
        <v>2882</v>
      </c>
      <c r="C177" s="3158"/>
      <c r="D177" s="3158"/>
      <c r="E177" s="3158"/>
      <c r="F177" s="3164">
        <v>2780</v>
      </c>
      <c r="G177" s="3164"/>
      <c r="I177" s="971"/>
      <c r="J177" s="3193"/>
      <c r="K177" s="3193"/>
      <c r="L177" s="3193"/>
      <c r="M177" s="3193"/>
      <c r="N177" s="3193"/>
      <c r="O177" s="3193"/>
      <c r="P177" s="3193"/>
      <c r="Q177" s="3193"/>
      <c r="R177" s="3193"/>
      <c r="S177" s="3193"/>
      <c r="T177" s="3193"/>
      <c r="U177" s="3193"/>
    </row>
    <row r="178" spans="1:21" s="960" customFormat="1" ht="14.25" customHeight="1">
      <c r="A178" s="3158" t="s">
        <v>1153</v>
      </c>
      <c r="B178" s="3158" t="s">
        <v>2883</v>
      </c>
      <c r="C178" s="3158"/>
      <c r="D178" s="3158"/>
      <c r="E178" s="3158"/>
      <c r="F178" s="3164">
        <v>2060</v>
      </c>
      <c r="G178" s="3164"/>
      <c r="I178" s="971"/>
      <c r="J178" s="3193"/>
      <c r="K178" s="3193"/>
      <c r="L178" s="3193"/>
      <c r="M178" s="3193"/>
      <c r="N178" s="3193"/>
      <c r="O178" s="3193"/>
      <c r="P178" s="3193"/>
      <c r="Q178" s="3193"/>
      <c r="R178" s="3193"/>
      <c r="S178" s="3193"/>
      <c r="T178" s="3193"/>
      <c r="U178" s="3193"/>
    </row>
    <row r="179" spans="1:21" s="960" customFormat="1" ht="14.25" customHeight="1">
      <c r="A179" s="3158" t="s">
        <v>1153</v>
      </c>
      <c r="B179" s="3158" t="s">
        <v>2884</v>
      </c>
      <c r="C179" s="3158"/>
      <c r="D179" s="3158"/>
      <c r="E179" s="3158"/>
      <c r="F179" s="3164">
        <v>2120</v>
      </c>
      <c r="G179" s="3166"/>
      <c r="I179" s="971"/>
      <c r="J179" s="3193"/>
      <c r="K179" s="3193"/>
      <c r="L179" s="3193"/>
      <c r="M179" s="3193"/>
      <c r="N179" s="3193"/>
      <c r="O179" s="3193"/>
      <c r="P179" s="3193"/>
      <c r="Q179" s="3193"/>
      <c r="R179" s="3193"/>
      <c r="S179" s="3193"/>
      <c r="T179" s="3193"/>
      <c r="U179" s="3193"/>
    </row>
    <row r="180" spans="1:21" s="960" customFormat="1" ht="14.25" customHeight="1">
      <c r="A180" s="3158" t="s">
        <v>1153</v>
      </c>
      <c r="B180" s="3158" t="s">
        <v>2885</v>
      </c>
      <c r="C180" s="3158"/>
      <c r="D180" s="3158"/>
      <c r="E180" s="3158"/>
      <c r="F180" s="3164">
        <v>2340</v>
      </c>
      <c r="G180" s="3164"/>
      <c r="I180" s="971"/>
      <c r="J180" s="3193"/>
      <c r="K180" s="3193"/>
      <c r="L180" s="3193"/>
      <c r="M180" s="3193"/>
      <c r="N180" s="3193"/>
      <c r="O180" s="3193"/>
      <c r="P180" s="3193"/>
      <c r="Q180" s="3193"/>
      <c r="R180" s="3193"/>
      <c r="S180" s="3193"/>
      <c r="T180" s="3193"/>
      <c r="U180" s="3193"/>
    </row>
    <row r="181" spans="1:21" s="960" customFormat="1" ht="14.25" customHeight="1">
      <c r="A181" s="3158" t="s">
        <v>1153</v>
      </c>
      <c r="B181" s="3158" t="s">
        <v>2886</v>
      </c>
      <c r="C181" s="3158"/>
      <c r="D181" s="3158"/>
      <c r="E181" s="3158"/>
      <c r="F181" s="3164">
        <v>2340</v>
      </c>
      <c r="G181" s="3164"/>
      <c r="I181" s="971"/>
      <c r="J181" s="3193"/>
      <c r="K181" s="3193"/>
      <c r="L181" s="3193"/>
      <c r="M181" s="3193"/>
      <c r="N181" s="3193"/>
      <c r="O181" s="3193"/>
      <c r="P181" s="3193"/>
      <c r="Q181" s="3193"/>
      <c r="R181" s="3193"/>
      <c r="S181" s="3193"/>
      <c r="T181" s="3193"/>
      <c r="U181" s="3193"/>
    </row>
    <row r="182" spans="1:21" s="960" customFormat="1" ht="14.25" customHeight="1">
      <c r="A182" s="3158" t="s">
        <v>1153</v>
      </c>
      <c r="B182" s="3158" t="s">
        <v>2887</v>
      </c>
      <c r="C182" s="3158"/>
      <c r="D182" s="3158"/>
      <c r="E182" s="3158"/>
      <c r="F182" s="3164">
        <v>2340</v>
      </c>
      <c r="G182" s="3164"/>
      <c r="I182" s="971"/>
      <c r="J182" s="3193"/>
      <c r="K182" s="3193"/>
      <c r="L182" s="3193"/>
      <c r="M182" s="3193"/>
      <c r="N182" s="3193"/>
      <c r="O182" s="3193"/>
      <c r="P182" s="3193"/>
      <c r="Q182" s="3193"/>
      <c r="R182" s="3193"/>
      <c r="S182" s="3193"/>
      <c r="T182" s="3193"/>
      <c r="U182" s="3193"/>
    </row>
    <row r="183" spans="1:21" s="960" customFormat="1" ht="14.25" customHeight="1">
      <c r="A183" s="3158" t="s">
        <v>1153</v>
      </c>
      <c r="B183" s="3158" t="s">
        <v>2888</v>
      </c>
      <c r="C183" s="3158"/>
      <c r="D183" s="3158"/>
      <c r="E183" s="3158"/>
      <c r="F183" s="3164">
        <v>2340</v>
      </c>
      <c r="G183" s="3166"/>
      <c r="I183" s="971"/>
      <c r="J183" s="3193"/>
      <c r="K183" s="3193"/>
      <c r="L183" s="3193"/>
      <c r="M183" s="3193"/>
      <c r="N183" s="3193"/>
      <c r="O183" s="3193"/>
      <c r="P183" s="3193"/>
      <c r="Q183" s="3193"/>
      <c r="R183" s="3193"/>
      <c r="S183" s="3193"/>
      <c r="T183" s="3193"/>
      <c r="U183" s="3193"/>
    </row>
    <row r="184" spans="1:21" s="960" customFormat="1" ht="14.25" customHeight="1">
      <c r="A184" s="3158" t="s">
        <v>1153</v>
      </c>
      <c r="B184" s="3158" t="s">
        <v>2889</v>
      </c>
      <c r="C184" s="3158"/>
      <c r="D184" s="3158"/>
      <c r="E184" s="3158"/>
      <c r="F184" s="3164">
        <v>2340</v>
      </c>
      <c r="G184" s="3166"/>
      <c r="I184" s="971"/>
      <c r="J184" s="3193"/>
      <c r="K184" s="3193"/>
      <c r="L184" s="3193"/>
      <c r="M184" s="3193"/>
      <c r="N184" s="3193"/>
      <c r="O184" s="3193"/>
      <c r="P184" s="3193"/>
      <c r="Q184" s="3193"/>
      <c r="R184" s="3193"/>
      <c r="S184" s="3193"/>
      <c r="T184" s="3193"/>
      <c r="U184" s="3193"/>
    </row>
    <row r="185" spans="1:21" s="960" customFormat="1" ht="14.25" customHeight="1">
      <c r="A185" s="3158" t="s">
        <v>1153</v>
      </c>
      <c r="B185" s="3158" t="s">
        <v>2890</v>
      </c>
      <c r="C185" s="3158"/>
      <c r="D185" s="3158"/>
      <c r="E185" s="3158"/>
      <c r="F185" s="3164">
        <v>2530</v>
      </c>
      <c r="G185" s="3164"/>
      <c r="I185" s="971"/>
      <c r="J185" s="3193"/>
      <c r="K185" s="3193"/>
      <c r="L185" s="3193"/>
      <c r="M185" s="3193"/>
      <c r="N185" s="3193"/>
      <c r="O185" s="3193"/>
      <c r="P185" s="3193"/>
      <c r="Q185" s="3193"/>
      <c r="R185" s="3193"/>
      <c r="S185" s="3193"/>
      <c r="T185" s="3193"/>
      <c r="U185" s="3193"/>
    </row>
    <row r="186" spans="1:21" s="960" customFormat="1" ht="14.25" customHeight="1">
      <c r="A186" s="3158" t="s">
        <v>1153</v>
      </c>
      <c r="B186" s="3158" t="s">
        <v>2891</v>
      </c>
      <c r="C186" s="3158"/>
      <c r="D186" s="3158"/>
      <c r="E186" s="3158"/>
      <c r="F186" s="3164">
        <v>2550</v>
      </c>
      <c r="G186" s="3164"/>
      <c r="I186" s="971"/>
      <c r="J186" s="3193"/>
      <c r="K186" s="3193"/>
      <c r="L186" s="3193"/>
      <c r="M186" s="3193"/>
      <c r="N186" s="3193"/>
      <c r="O186" s="3193"/>
      <c r="P186" s="3193"/>
      <c r="Q186" s="3193"/>
      <c r="R186" s="3193"/>
      <c r="S186" s="3193"/>
      <c r="T186" s="3193"/>
      <c r="U186" s="3193"/>
    </row>
    <row r="187" spans="1:21" s="960" customFormat="1" ht="14.25" customHeight="1">
      <c r="A187" s="3158" t="s">
        <v>1153</v>
      </c>
      <c r="B187" s="3158" t="s">
        <v>2892</v>
      </c>
      <c r="C187" s="3158"/>
      <c r="D187" s="3158"/>
      <c r="E187" s="3158"/>
      <c r="F187" s="3164">
        <v>2070</v>
      </c>
      <c r="G187" s="3164"/>
      <c r="I187" s="971"/>
      <c r="J187" s="3193"/>
      <c r="K187" s="3193"/>
      <c r="L187" s="3193"/>
      <c r="M187" s="3193"/>
      <c r="N187" s="3193"/>
      <c r="O187" s="3193"/>
      <c r="P187" s="3193"/>
      <c r="Q187" s="3193"/>
      <c r="R187" s="3193"/>
      <c r="S187" s="3193"/>
      <c r="T187" s="3193"/>
      <c r="U187" s="3193"/>
    </row>
    <row r="188" spans="1:21" s="960" customFormat="1" ht="14.25" customHeight="1">
      <c r="A188" s="3158" t="s">
        <v>1153</v>
      </c>
      <c r="B188" s="3158" t="s">
        <v>2893</v>
      </c>
      <c r="C188" s="3158"/>
      <c r="D188" s="3158"/>
      <c r="E188" s="3158"/>
      <c r="F188" s="3164">
        <v>2340</v>
      </c>
      <c r="G188" s="3164"/>
      <c r="I188" s="971"/>
      <c r="J188" s="3193"/>
      <c r="K188" s="3193"/>
      <c r="L188" s="3193"/>
      <c r="M188" s="3193"/>
      <c r="N188" s="3193"/>
      <c r="O188" s="3193"/>
      <c r="P188" s="3193"/>
      <c r="Q188" s="3193"/>
      <c r="R188" s="3193"/>
      <c r="S188" s="3193"/>
      <c r="T188" s="3193"/>
      <c r="U188" s="3193"/>
    </row>
    <row r="189" spans="1:21" s="960" customFormat="1" ht="14.25" customHeight="1" thickBot="1">
      <c r="A189" s="3173" t="s">
        <v>1153</v>
      </c>
      <c r="B189" s="3161" t="s">
        <v>2894</v>
      </c>
      <c r="C189" s="3161"/>
      <c r="D189" s="3161"/>
      <c r="E189" s="3161"/>
      <c r="F189" s="3162">
        <v>2050</v>
      </c>
      <c r="G189" s="3174"/>
      <c r="I189" s="971"/>
      <c r="J189" s="3193"/>
      <c r="K189" s="3193"/>
      <c r="L189" s="3193"/>
      <c r="M189" s="3193"/>
      <c r="N189" s="3193"/>
      <c r="O189" s="3193"/>
      <c r="P189" s="3193"/>
      <c r="Q189" s="3193"/>
      <c r="R189" s="3193"/>
      <c r="S189" s="3193"/>
      <c r="T189" s="3193"/>
      <c r="U189" s="3193"/>
    </row>
    <row r="190" spans="1:21" s="960" customFormat="1" ht="14.25" customHeight="1">
      <c r="A190" s="3172" t="s">
        <v>1154</v>
      </c>
      <c r="B190" s="1216" t="s">
        <v>2895</v>
      </c>
      <c r="C190" s="1216">
        <v>8830</v>
      </c>
      <c r="D190" s="1216">
        <v>8790</v>
      </c>
      <c r="E190" s="1216">
        <v>11630</v>
      </c>
      <c r="F190" s="3159">
        <v>1790</v>
      </c>
      <c r="G190" s="3159">
        <v>5550</v>
      </c>
      <c r="I190" s="971"/>
      <c r="J190" s="3193"/>
      <c r="K190" s="3193"/>
      <c r="L190" s="3193"/>
      <c r="M190" s="3193"/>
      <c r="N190" s="3193"/>
      <c r="O190" s="3193"/>
      <c r="P190" s="3193"/>
      <c r="Q190" s="3193"/>
      <c r="R190" s="3193"/>
      <c r="S190" s="3193"/>
      <c r="T190" s="3193"/>
      <c r="U190" s="3193"/>
    </row>
    <row r="191" spans="1:21" s="960" customFormat="1" ht="14.25" customHeight="1">
      <c r="A191" s="3158" t="s">
        <v>1154</v>
      </c>
      <c r="B191" s="3158" t="s">
        <v>978</v>
      </c>
      <c r="C191" s="3158">
        <v>9780</v>
      </c>
      <c r="D191" s="3158">
        <v>9710</v>
      </c>
      <c r="E191" s="3158">
        <v>12550</v>
      </c>
      <c r="F191" s="3164">
        <v>1980</v>
      </c>
      <c r="G191" s="3164">
        <v>6130</v>
      </c>
      <c r="I191" s="971"/>
      <c r="J191" s="3193"/>
      <c r="K191" s="3193"/>
      <c r="L191" s="3193"/>
      <c r="M191" s="3193"/>
      <c r="N191" s="3193"/>
      <c r="O191" s="3193"/>
      <c r="P191" s="3193"/>
      <c r="Q191" s="3193"/>
      <c r="R191" s="3193"/>
      <c r="S191" s="3193"/>
      <c r="T191" s="3193"/>
      <c r="U191" s="3193"/>
    </row>
    <row r="192" spans="1:21" s="960" customFormat="1" ht="14.25" customHeight="1">
      <c r="A192" s="3158" t="s">
        <v>1154</v>
      </c>
      <c r="B192" s="3158" t="s">
        <v>988</v>
      </c>
      <c r="C192" s="3158">
        <v>8180</v>
      </c>
      <c r="D192" s="3158">
        <v>8140</v>
      </c>
      <c r="E192" s="3158">
        <v>10870</v>
      </c>
      <c r="F192" s="3164">
        <v>1690</v>
      </c>
      <c r="G192" s="3164">
        <v>5140</v>
      </c>
      <c r="I192" s="971"/>
      <c r="J192" s="3193"/>
      <c r="K192" s="3193"/>
      <c r="L192" s="3193"/>
      <c r="M192" s="3193"/>
      <c r="N192" s="3193"/>
      <c r="O192" s="3193"/>
      <c r="P192" s="3193"/>
      <c r="Q192" s="3193"/>
      <c r="R192" s="3193"/>
      <c r="S192" s="3193"/>
      <c r="T192" s="3193"/>
      <c r="U192" s="3193"/>
    </row>
    <row r="193" spans="1:21" s="960" customFormat="1" ht="14.25" customHeight="1">
      <c r="A193" s="3158" t="s">
        <v>1154</v>
      </c>
      <c r="B193" s="3158" t="s">
        <v>997</v>
      </c>
      <c r="C193" s="3158">
        <v>8440</v>
      </c>
      <c r="D193" s="3158">
        <v>8390</v>
      </c>
      <c r="E193" s="3158">
        <v>11210</v>
      </c>
      <c r="F193" s="3164">
        <v>1600</v>
      </c>
      <c r="G193" s="3164">
        <v>5300</v>
      </c>
      <c r="I193" s="971"/>
      <c r="J193" s="3193"/>
      <c r="K193" s="3193"/>
      <c r="L193" s="3193"/>
      <c r="M193" s="3193"/>
      <c r="N193" s="3193"/>
      <c r="O193" s="3193"/>
      <c r="P193" s="3193"/>
      <c r="Q193" s="3193"/>
      <c r="R193" s="3193"/>
      <c r="S193" s="3193"/>
      <c r="T193" s="3193"/>
      <c r="U193" s="3193"/>
    </row>
    <row r="194" spans="1:21" s="960" customFormat="1" ht="14.25" customHeight="1">
      <c r="A194" s="3158" t="s">
        <v>1154</v>
      </c>
      <c r="B194" s="3158" t="s">
        <v>1007</v>
      </c>
      <c r="C194" s="3158">
        <v>8780</v>
      </c>
      <c r="D194" s="3158">
        <v>8730</v>
      </c>
      <c r="E194" s="3158">
        <v>11550</v>
      </c>
      <c r="F194" s="3164">
        <v>1660</v>
      </c>
      <c r="G194" s="3164">
        <v>5520</v>
      </c>
      <c r="I194" s="971"/>
      <c r="J194" s="3193"/>
      <c r="K194" s="3193"/>
      <c r="L194" s="3193"/>
      <c r="M194" s="3193"/>
      <c r="N194" s="3193"/>
      <c r="O194" s="3193"/>
      <c r="P194" s="3193"/>
      <c r="Q194" s="3193"/>
      <c r="R194" s="3193"/>
      <c r="S194" s="3193"/>
      <c r="T194" s="3193"/>
      <c r="U194" s="3193"/>
    </row>
    <row r="195" spans="1:21" s="960" customFormat="1" ht="14.25" customHeight="1">
      <c r="A195" s="3158" t="s">
        <v>1154</v>
      </c>
      <c r="B195" s="3158" t="s">
        <v>1014</v>
      </c>
      <c r="C195" s="3158">
        <v>8720</v>
      </c>
      <c r="D195" s="3158">
        <v>8670</v>
      </c>
      <c r="E195" s="3158">
        <v>11450</v>
      </c>
      <c r="F195" s="3164">
        <v>1720</v>
      </c>
      <c r="G195" s="3164">
        <v>5480</v>
      </c>
      <c r="I195" s="971"/>
      <c r="J195" s="3193"/>
      <c r="K195" s="3193"/>
      <c r="L195" s="3193"/>
      <c r="M195" s="3193"/>
      <c r="N195" s="3193"/>
      <c r="O195" s="3193"/>
      <c r="P195" s="3193"/>
      <c r="Q195" s="3193"/>
      <c r="R195" s="3193"/>
      <c r="S195" s="3193"/>
      <c r="T195" s="3193"/>
      <c r="U195" s="3193"/>
    </row>
    <row r="196" spans="1:21" s="960" customFormat="1" ht="14.25" customHeight="1">
      <c r="A196" s="3158" t="s">
        <v>1154</v>
      </c>
      <c r="B196" s="3158" t="s">
        <v>1020</v>
      </c>
      <c r="C196" s="3158">
        <v>8460</v>
      </c>
      <c r="D196" s="3158">
        <v>8410</v>
      </c>
      <c r="E196" s="3158">
        <v>11230</v>
      </c>
      <c r="F196" s="3164">
        <v>1730</v>
      </c>
      <c r="G196" s="3164">
        <v>5310</v>
      </c>
      <c r="I196" s="971"/>
      <c r="J196" s="3193"/>
      <c r="K196" s="3193"/>
      <c r="L196" s="3193"/>
      <c r="M196" s="3193"/>
      <c r="N196" s="3193"/>
      <c r="O196" s="3193"/>
      <c r="P196" s="3193"/>
      <c r="Q196" s="3193"/>
      <c r="R196" s="3193"/>
      <c r="S196" s="3193"/>
      <c r="T196" s="3193"/>
      <c r="U196" s="3193"/>
    </row>
    <row r="197" spans="1:21" s="960" customFormat="1" ht="14.25" customHeight="1">
      <c r="A197" s="3158" t="s">
        <v>1154</v>
      </c>
      <c r="B197" s="3158" t="s">
        <v>1027</v>
      </c>
      <c r="C197" s="3158">
        <v>8790</v>
      </c>
      <c r="D197" s="3158">
        <v>8730</v>
      </c>
      <c r="E197" s="3158">
        <v>11560</v>
      </c>
      <c r="F197" s="3164">
        <v>1750</v>
      </c>
      <c r="G197" s="3164">
        <v>5520</v>
      </c>
      <c r="I197" s="971"/>
      <c r="J197" s="3193"/>
      <c r="K197" s="3193"/>
      <c r="L197" s="3193"/>
      <c r="M197" s="3193"/>
      <c r="N197" s="3193"/>
      <c r="O197" s="3193"/>
      <c r="P197" s="3193"/>
      <c r="Q197" s="3193"/>
      <c r="R197" s="3193"/>
      <c r="S197" s="3193"/>
      <c r="T197" s="3193"/>
      <c r="U197" s="3193"/>
    </row>
    <row r="198" spans="1:21" s="960" customFormat="1" ht="14.25" customHeight="1">
      <c r="A198" s="3158" t="s">
        <v>1154</v>
      </c>
      <c r="B198" s="3158" t="s">
        <v>1037</v>
      </c>
      <c r="C198" s="3158">
        <v>8720</v>
      </c>
      <c r="D198" s="3158">
        <v>8680</v>
      </c>
      <c r="E198" s="3158">
        <v>11470</v>
      </c>
      <c r="F198" s="3164"/>
      <c r="G198" s="3164">
        <v>5480</v>
      </c>
      <c r="I198" s="971"/>
      <c r="J198" s="3193"/>
      <c r="K198" s="3193"/>
      <c r="L198" s="3193"/>
      <c r="M198" s="3193"/>
      <c r="N198" s="3193"/>
      <c r="O198" s="3193"/>
      <c r="P198" s="3193"/>
      <c r="Q198" s="3193"/>
      <c r="R198" s="3193"/>
      <c r="S198" s="3193"/>
      <c r="T198" s="3193"/>
      <c r="U198" s="3193"/>
    </row>
    <row r="199" spans="1:21" s="960" customFormat="1" ht="14.25" customHeight="1">
      <c r="A199" s="3158" t="s">
        <v>1154</v>
      </c>
      <c r="B199" s="3158" t="s">
        <v>2896</v>
      </c>
      <c r="C199" s="3158">
        <v>8690</v>
      </c>
      <c r="D199" s="3158">
        <v>8630</v>
      </c>
      <c r="E199" s="3158">
        <v>11350</v>
      </c>
      <c r="F199" s="3164">
        <v>1600</v>
      </c>
      <c r="G199" s="3164">
        <v>5450</v>
      </c>
      <c r="I199" s="971"/>
      <c r="J199" s="3193"/>
      <c r="K199" s="3193"/>
      <c r="L199" s="3193"/>
      <c r="M199" s="3193"/>
      <c r="N199" s="3193"/>
      <c r="O199" s="3193"/>
      <c r="P199" s="3193"/>
      <c r="Q199" s="3193"/>
      <c r="R199" s="3193"/>
      <c r="S199" s="3193"/>
      <c r="T199" s="3193"/>
      <c r="U199" s="3193"/>
    </row>
    <row r="200" spans="1:21" s="960" customFormat="1" ht="14.25" customHeight="1">
      <c r="A200" s="3158" t="s">
        <v>1154</v>
      </c>
      <c r="B200" s="3158" t="s">
        <v>2897</v>
      </c>
      <c r="C200" s="3158"/>
      <c r="D200" s="3158"/>
      <c r="E200" s="3158"/>
      <c r="F200" s="3164">
        <v>1510</v>
      </c>
      <c r="G200" s="3164"/>
      <c r="I200" s="971"/>
      <c r="J200" s="3193"/>
      <c r="K200" s="3193"/>
      <c r="L200" s="3193"/>
      <c r="M200" s="3193"/>
      <c r="N200" s="3193"/>
      <c r="O200" s="3193"/>
      <c r="P200" s="3193"/>
      <c r="Q200" s="3193"/>
      <c r="R200" s="3193"/>
      <c r="S200" s="3193"/>
      <c r="T200" s="3193"/>
      <c r="U200" s="3193"/>
    </row>
    <row r="201" spans="1:21" s="960" customFormat="1" ht="14.25" customHeight="1">
      <c r="A201" s="3158" t="s">
        <v>1154</v>
      </c>
      <c r="B201" s="3158" t="s">
        <v>2898</v>
      </c>
      <c r="C201" s="3158">
        <v>8440</v>
      </c>
      <c r="D201" s="3158">
        <v>8390</v>
      </c>
      <c r="E201" s="3158">
        <v>10930</v>
      </c>
      <c r="F201" s="3164">
        <v>1500</v>
      </c>
      <c r="G201" s="3164">
        <v>5300</v>
      </c>
      <c r="I201" s="971"/>
      <c r="J201" s="3193"/>
      <c r="K201" s="3193"/>
      <c r="L201" s="3193"/>
      <c r="M201" s="3193"/>
      <c r="N201" s="3193"/>
      <c r="O201" s="3193"/>
      <c r="P201" s="3193"/>
      <c r="Q201" s="3193"/>
      <c r="R201" s="3193"/>
      <c r="S201" s="3193"/>
      <c r="T201" s="3193"/>
      <c r="U201" s="3193"/>
    </row>
    <row r="202" spans="1:21" s="960" customFormat="1" ht="14.25" customHeight="1">
      <c r="A202" s="3158" t="s">
        <v>1154</v>
      </c>
      <c r="B202" s="3158" t="s">
        <v>1088</v>
      </c>
      <c r="C202" s="3158">
        <v>8530</v>
      </c>
      <c r="D202" s="3158">
        <v>8490</v>
      </c>
      <c r="E202" s="3158">
        <v>11160</v>
      </c>
      <c r="F202" s="3164">
        <v>1580</v>
      </c>
      <c r="G202" s="3164">
        <v>5360</v>
      </c>
      <c r="I202" s="971"/>
      <c r="J202" s="3193"/>
      <c r="K202" s="3193"/>
      <c r="L202" s="3193"/>
      <c r="M202" s="3193"/>
      <c r="N202" s="3193"/>
      <c r="O202" s="3193"/>
      <c r="P202" s="3193"/>
      <c r="Q202" s="3193"/>
      <c r="R202" s="3193"/>
      <c r="S202" s="3193"/>
      <c r="T202" s="3193"/>
      <c r="U202" s="3193"/>
    </row>
    <row r="203" spans="1:21" s="960" customFormat="1" ht="14.25" customHeight="1">
      <c r="A203" s="3158" t="s">
        <v>1154</v>
      </c>
      <c r="B203" s="3158" t="s">
        <v>2899</v>
      </c>
      <c r="C203" s="3158">
        <v>8130</v>
      </c>
      <c r="D203" s="3158">
        <v>8070</v>
      </c>
      <c r="E203" s="3158">
        <v>10820</v>
      </c>
      <c r="F203" s="3164">
        <v>1690</v>
      </c>
      <c r="G203" s="3164">
        <v>5100</v>
      </c>
      <c r="I203" s="971"/>
      <c r="J203" s="3193"/>
      <c r="K203" s="3193"/>
      <c r="L203" s="3193"/>
      <c r="M203" s="3193"/>
      <c r="N203" s="3193"/>
      <c r="O203" s="3193"/>
      <c r="P203" s="3193"/>
      <c r="Q203" s="3193"/>
      <c r="R203" s="3193"/>
      <c r="S203" s="3193"/>
      <c r="T203" s="3193"/>
      <c r="U203" s="3193"/>
    </row>
    <row r="204" spans="1:21" s="960" customFormat="1" ht="14.25" customHeight="1">
      <c r="A204" s="3158" t="s">
        <v>1154</v>
      </c>
      <c r="B204" s="3158" t="s">
        <v>2900</v>
      </c>
      <c r="C204" s="3158">
        <v>8350</v>
      </c>
      <c r="D204" s="3158">
        <v>8290</v>
      </c>
      <c r="E204" s="3158">
        <v>11080</v>
      </c>
      <c r="F204" s="3164">
        <v>1450</v>
      </c>
      <c r="G204" s="3164">
        <v>5240</v>
      </c>
      <c r="I204" s="971"/>
      <c r="J204" s="3193"/>
      <c r="K204" s="3193"/>
      <c r="L204" s="3193"/>
      <c r="M204" s="3193"/>
      <c r="N204" s="3193"/>
      <c r="O204" s="3193"/>
      <c r="P204" s="3193"/>
      <c r="Q204" s="3193"/>
      <c r="R204" s="3193"/>
      <c r="S204" s="3193"/>
      <c r="T204" s="3193"/>
      <c r="U204" s="3193"/>
    </row>
    <row r="205" spans="1:21" s="960" customFormat="1" ht="14.25" customHeight="1">
      <c r="A205" s="3158" t="s">
        <v>1154</v>
      </c>
      <c r="B205" s="3158" t="s">
        <v>2901</v>
      </c>
      <c r="C205" s="3158">
        <v>7190</v>
      </c>
      <c r="D205" s="3158">
        <v>7130</v>
      </c>
      <c r="E205" s="3158">
        <v>9490</v>
      </c>
      <c r="F205" s="3164">
        <v>1470</v>
      </c>
      <c r="G205" s="3171">
        <v>4510</v>
      </c>
      <c r="I205" s="971"/>
      <c r="J205" s="3193"/>
      <c r="K205" s="3193"/>
      <c r="L205" s="3193"/>
      <c r="M205" s="3193"/>
      <c r="N205" s="3193"/>
      <c r="O205" s="3193"/>
      <c r="P205" s="3193"/>
      <c r="Q205" s="3193"/>
      <c r="R205" s="3193"/>
      <c r="S205" s="3193"/>
      <c r="T205" s="3193"/>
      <c r="U205" s="3193"/>
    </row>
    <row r="206" spans="1:21" s="960" customFormat="1" ht="14.25" customHeight="1">
      <c r="A206" s="1216" t="s">
        <v>1154</v>
      </c>
      <c r="B206" s="1216" t="s">
        <v>2902</v>
      </c>
      <c r="C206" s="1216">
        <v>7000</v>
      </c>
      <c r="D206" s="1216">
        <v>6950</v>
      </c>
      <c r="E206" s="1216">
        <v>9170</v>
      </c>
      <c r="F206" s="3159">
        <v>1400</v>
      </c>
      <c r="G206" s="3159">
        <v>4380</v>
      </c>
      <c r="I206" s="971"/>
      <c r="J206" s="3193"/>
      <c r="K206" s="3193"/>
      <c r="L206" s="3193"/>
      <c r="M206" s="3193"/>
      <c r="N206" s="3193"/>
      <c r="O206" s="3193"/>
      <c r="P206" s="3193"/>
      <c r="Q206" s="3193"/>
      <c r="R206" s="3193"/>
      <c r="S206" s="3193"/>
      <c r="T206" s="3193"/>
      <c r="U206" s="3193"/>
    </row>
    <row r="207" spans="1:21" s="960" customFormat="1" ht="14.25" customHeight="1">
      <c r="A207" s="3158" t="s">
        <v>1154</v>
      </c>
      <c r="B207" s="3158" t="s">
        <v>2903</v>
      </c>
      <c r="C207" s="3158">
        <v>6950</v>
      </c>
      <c r="D207" s="3158">
        <v>6900</v>
      </c>
      <c r="E207" s="3158">
        <v>9110</v>
      </c>
      <c r="F207" s="3164">
        <v>1790</v>
      </c>
      <c r="G207" s="3164">
        <v>4360</v>
      </c>
      <c r="I207" s="971"/>
      <c r="J207" s="3193"/>
      <c r="K207" s="3193"/>
      <c r="L207" s="3193"/>
      <c r="M207" s="3193"/>
      <c r="N207" s="3193"/>
      <c r="O207" s="3193"/>
      <c r="P207" s="3193"/>
      <c r="Q207" s="3193"/>
      <c r="R207" s="3193"/>
      <c r="S207" s="3193"/>
      <c r="T207" s="3193"/>
      <c r="U207" s="3193"/>
    </row>
    <row r="208" spans="1:21" s="960" customFormat="1" ht="14.25" customHeight="1">
      <c r="A208" s="3158" t="s">
        <v>1154</v>
      </c>
      <c r="B208" s="3158" t="s">
        <v>2904</v>
      </c>
      <c r="C208" s="3158">
        <v>9470</v>
      </c>
      <c r="D208" s="3158">
        <v>9410</v>
      </c>
      <c r="E208" s="3158">
        <v>12330</v>
      </c>
      <c r="F208" s="3164">
        <v>1770</v>
      </c>
      <c r="G208" s="3164">
        <v>5940</v>
      </c>
      <c r="I208" s="971"/>
      <c r="J208" s="3193"/>
      <c r="K208" s="3193"/>
      <c r="L208" s="3193"/>
      <c r="M208" s="3193"/>
      <c r="N208" s="3193"/>
      <c r="O208" s="3193"/>
      <c r="P208" s="3193"/>
      <c r="Q208" s="3193"/>
      <c r="R208" s="3193"/>
      <c r="S208" s="3193"/>
      <c r="T208" s="3193"/>
      <c r="U208" s="3193"/>
    </row>
    <row r="209" spans="1:21" s="960" customFormat="1" ht="14.25" customHeight="1">
      <c r="A209" s="3158" t="s">
        <v>1154</v>
      </c>
      <c r="B209" s="3158" t="s">
        <v>1112</v>
      </c>
      <c r="C209" s="3158">
        <v>8740</v>
      </c>
      <c r="D209" s="3158">
        <v>8700</v>
      </c>
      <c r="E209" s="3158">
        <v>11500</v>
      </c>
      <c r="F209" s="3164">
        <v>1730</v>
      </c>
      <c r="G209" s="3164">
        <v>5490</v>
      </c>
      <c r="I209" s="971"/>
      <c r="J209" s="3193"/>
      <c r="K209" s="3193"/>
      <c r="L209" s="3193"/>
      <c r="M209" s="3193"/>
      <c r="N209" s="3193"/>
      <c r="O209" s="3193"/>
      <c r="P209" s="3193"/>
      <c r="Q209" s="3193"/>
      <c r="R209" s="3193"/>
      <c r="S209" s="3193"/>
      <c r="T209" s="3193"/>
      <c r="U209" s="3193"/>
    </row>
    <row r="210" spans="1:21" s="960" customFormat="1" ht="14.25" customHeight="1">
      <c r="A210" s="3158" t="s">
        <v>1154</v>
      </c>
      <c r="B210" s="3158" t="s">
        <v>2905</v>
      </c>
      <c r="C210" s="3158">
        <v>8710</v>
      </c>
      <c r="D210" s="3158">
        <v>8660</v>
      </c>
      <c r="E210" s="3158">
        <v>11440</v>
      </c>
      <c r="F210" s="3164">
        <v>1740</v>
      </c>
      <c r="G210" s="3164">
        <v>5470</v>
      </c>
      <c r="I210" s="971"/>
      <c r="J210" s="3193"/>
      <c r="K210" s="3193"/>
      <c r="L210" s="3193"/>
      <c r="M210" s="3193"/>
      <c r="N210" s="3193"/>
      <c r="O210" s="3193"/>
      <c r="P210" s="3193"/>
      <c r="Q210" s="3193"/>
      <c r="R210" s="3193"/>
      <c r="S210" s="3193"/>
      <c r="T210" s="3193"/>
      <c r="U210" s="3193"/>
    </row>
    <row r="211" spans="1:21" s="960" customFormat="1" ht="14.25" customHeight="1">
      <c r="A211" s="3158" t="s">
        <v>1154</v>
      </c>
      <c r="B211" s="3158" t="s">
        <v>2906</v>
      </c>
      <c r="C211" s="3158">
        <v>9480</v>
      </c>
      <c r="D211" s="3158">
        <v>9430</v>
      </c>
      <c r="E211" s="3158">
        <v>12360</v>
      </c>
      <c r="F211" s="3164">
        <v>1820</v>
      </c>
      <c r="G211" s="3164">
        <v>5950</v>
      </c>
      <c r="I211" s="971"/>
      <c r="J211" s="3193"/>
      <c r="K211" s="3193"/>
      <c r="L211" s="3193"/>
      <c r="M211" s="3193"/>
      <c r="N211" s="3193"/>
      <c r="O211" s="3193"/>
      <c r="P211" s="3193"/>
      <c r="Q211" s="3193"/>
      <c r="R211" s="3193"/>
      <c r="S211" s="3193"/>
      <c r="T211" s="3193"/>
      <c r="U211" s="3193"/>
    </row>
    <row r="212" spans="1:21" s="960" customFormat="1" ht="14.25" customHeight="1">
      <c r="A212" s="3158" t="s">
        <v>1154</v>
      </c>
      <c r="B212" s="3158" t="s">
        <v>1134</v>
      </c>
      <c r="C212" s="3158">
        <v>9070</v>
      </c>
      <c r="D212" s="3158">
        <v>9020</v>
      </c>
      <c r="E212" s="3158">
        <v>11720</v>
      </c>
      <c r="F212" s="3164">
        <v>1850</v>
      </c>
      <c r="G212" s="3164">
        <v>5700</v>
      </c>
      <c r="I212" s="971"/>
      <c r="J212" s="3193"/>
      <c r="K212" s="3193"/>
      <c r="L212" s="3193"/>
      <c r="M212" s="3193"/>
      <c r="N212" s="3193"/>
      <c r="O212" s="3193"/>
      <c r="P212" s="3193"/>
      <c r="Q212" s="3193"/>
      <c r="R212" s="3193"/>
      <c r="S212" s="3193"/>
      <c r="T212" s="3193"/>
      <c r="U212" s="3193"/>
    </row>
    <row r="213" spans="1:21" s="960" customFormat="1" ht="14.25" customHeight="1">
      <c r="A213" s="3158" t="s">
        <v>1154</v>
      </c>
      <c r="B213" s="3158" t="s">
        <v>1137</v>
      </c>
      <c r="C213" s="3158">
        <v>9030</v>
      </c>
      <c r="D213" s="3158">
        <v>8980</v>
      </c>
      <c r="E213" s="3158">
        <v>11670</v>
      </c>
      <c r="F213" s="3164">
        <v>1690</v>
      </c>
      <c r="G213" s="3164">
        <v>5670</v>
      </c>
      <c r="I213" s="971"/>
      <c r="J213" s="3193"/>
      <c r="K213" s="3193"/>
      <c r="L213" s="3193"/>
      <c r="M213" s="3193"/>
      <c r="N213" s="3193"/>
      <c r="O213" s="3193"/>
      <c r="P213" s="3193"/>
      <c r="Q213" s="3193"/>
      <c r="R213" s="3193"/>
      <c r="S213" s="3193"/>
      <c r="T213" s="3193"/>
      <c r="U213" s="3193"/>
    </row>
    <row r="214" spans="1:21" s="960" customFormat="1" ht="14.25" customHeight="1">
      <c r="A214" s="3158" t="s">
        <v>1154</v>
      </c>
      <c r="B214" s="3158" t="s">
        <v>2907</v>
      </c>
      <c r="C214" s="3158">
        <v>8090</v>
      </c>
      <c r="D214" s="3158">
        <v>8030</v>
      </c>
      <c r="E214" s="3158">
        <v>10780</v>
      </c>
      <c r="F214" s="3164">
        <v>1570</v>
      </c>
      <c r="G214" s="3166">
        <v>5070</v>
      </c>
      <c r="I214" s="971"/>
      <c r="J214" s="3193"/>
      <c r="K214" s="3193"/>
      <c r="L214" s="3193"/>
      <c r="M214" s="3193"/>
      <c r="N214" s="3193"/>
      <c r="O214" s="3193"/>
      <c r="P214" s="3193"/>
      <c r="Q214" s="3193"/>
      <c r="R214" s="3193"/>
      <c r="S214" s="3193"/>
      <c r="T214" s="3193"/>
      <c r="U214" s="3193"/>
    </row>
    <row r="215" spans="1:21" s="960" customFormat="1" ht="14.25" customHeight="1">
      <c r="A215" s="3158" t="s">
        <v>1154</v>
      </c>
      <c r="B215" s="3158" t="s">
        <v>1123</v>
      </c>
      <c r="C215" s="3158">
        <v>7950</v>
      </c>
      <c r="D215" s="3158">
        <v>7900</v>
      </c>
      <c r="E215" s="3158">
        <v>10560</v>
      </c>
      <c r="F215" s="3164">
        <v>1630</v>
      </c>
      <c r="G215" s="3164">
        <v>4990</v>
      </c>
      <c r="I215" s="971"/>
      <c r="J215" s="3193"/>
      <c r="K215" s="3193"/>
      <c r="L215" s="3193"/>
      <c r="M215" s="3193"/>
      <c r="N215" s="3193"/>
      <c r="O215" s="3193"/>
      <c r="P215" s="3193"/>
      <c r="Q215" s="3193"/>
      <c r="R215" s="3193"/>
      <c r="S215" s="3193"/>
      <c r="T215" s="3193"/>
      <c r="U215" s="3193"/>
    </row>
    <row r="216" spans="1:21" s="960" customFormat="1" ht="14.25" customHeight="1">
      <c r="A216" s="3158" t="s">
        <v>1154</v>
      </c>
      <c r="B216" s="3158" t="s">
        <v>2908</v>
      </c>
      <c r="C216" s="3158">
        <v>8490</v>
      </c>
      <c r="D216" s="3158">
        <v>8440</v>
      </c>
      <c r="E216" s="3158">
        <v>11260</v>
      </c>
      <c r="F216" s="3164">
        <v>1690</v>
      </c>
      <c r="G216" s="3164">
        <v>5330</v>
      </c>
      <c r="I216" s="971"/>
      <c r="J216" s="3193"/>
      <c r="K216" s="3193"/>
      <c r="L216" s="3193"/>
      <c r="M216" s="3193"/>
      <c r="N216" s="3193"/>
      <c r="O216" s="3193"/>
      <c r="P216" s="3193"/>
      <c r="Q216" s="3193"/>
      <c r="R216" s="3193"/>
      <c r="S216" s="3193"/>
      <c r="T216" s="3193"/>
      <c r="U216" s="3193"/>
    </row>
    <row r="217" spans="1:21" s="960" customFormat="1" ht="14.25" customHeight="1">
      <c r="A217" s="3158" t="s">
        <v>1154</v>
      </c>
      <c r="B217" s="3158" t="s">
        <v>2909</v>
      </c>
      <c r="C217" s="3158">
        <v>8200</v>
      </c>
      <c r="D217" s="3158">
        <v>8150</v>
      </c>
      <c r="E217" s="3158">
        <v>10910</v>
      </c>
      <c r="F217" s="3164">
        <v>1670</v>
      </c>
      <c r="G217" s="3164">
        <v>5150</v>
      </c>
      <c r="I217" s="971"/>
      <c r="J217" s="3193"/>
      <c r="K217" s="3193"/>
      <c r="L217" s="3193"/>
      <c r="M217" s="3193"/>
      <c r="N217" s="3193"/>
      <c r="O217" s="3193"/>
      <c r="P217" s="3193"/>
      <c r="Q217" s="3193"/>
      <c r="R217" s="3193"/>
      <c r="S217" s="3193"/>
      <c r="T217" s="3193"/>
      <c r="U217" s="3193"/>
    </row>
    <row r="218" spans="1:21" s="960" customFormat="1" ht="14.25" customHeight="1">
      <c r="A218" s="3158" t="s">
        <v>1154</v>
      </c>
      <c r="B218" s="3158" t="s">
        <v>2910</v>
      </c>
      <c r="C218" s="3158"/>
      <c r="D218" s="3158"/>
      <c r="E218" s="3158"/>
      <c r="F218" s="3164">
        <v>2040</v>
      </c>
      <c r="G218" s="3164"/>
      <c r="I218" s="971"/>
      <c r="J218" s="3193"/>
      <c r="K218" s="3193"/>
      <c r="L218" s="3193"/>
      <c r="M218" s="3193"/>
      <c r="N218" s="3193"/>
      <c r="O218" s="3193"/>
      <c r="P218" s="3193"/>
      <c r="Q218" s="3193"/>
      <c r="R218" s="3193"/>
      <c r="S218" s="3193"/>
      <c r="T218" s="3193"/>
      <c r="U218" s="3193"/>
    </row>
    <row r="219" spans="1:21" s="960" customFormat="1" ht="14.25" customHeight="1">
      <c r="A219" s="3158" t="s">
        <v>1154</v>
      </c>
      <c r="B219" s="3158" t="s">
        <v>2911</v>
      </c>
      <c r="C219" s="3158"/>
      <c r="D219" s="3158"/>
      <c r="E219" s="3158"/>
      <c r="F219" s="3164">
        <v>2040</v>
      </c>
      <c r="G219" s="3164"/>
      <c r="I219" s="971"/>
      <c r="J219" s="3193"/>
      <c r="K219" s="3193"/>
      <c r="L219" s="3193"/>
      <c r="M219" s="3193"/>
      <c r="N219" s="3193"/>
      <c r="O219" s="3193"/>
      <c r="P219" s="3193"/>
      <c r="Q219" s="3193"/>
      <c r="R219" s="3193"/>
      <c r="S219" s="3193"/>
      <c r="T219" s="3193"/>
      <c r="U219" s="3193"/>
    </row>
    <row r="220" spans="1:21" s="960" customFormat="1" ht="14.25" customHeight="1">
      <c r="A220" s="3158" t="s">
        <v>1154</v>
      </c>
      <c r="B220" s="3158" t="s">
        <v>2912</v>
      </c>
      <c r="C220" s="3158"/>
      <c r="D220" s="3158"/>
      <c r="E220" s="3158"/>
      <c r="F220" s="3164">
        <v>2040</v>
      </c>
      <c r="G220" s="3164"/>
      <c r="I220" s="971"/>
      <c r="J220" s="3193"/>
      <c r="K220" s="3193"/>
      <c r="L220" s="3193"/>
      <c r="M220" s="3193"/>
      <c r="N220" s="3193"/>
      <c r="O220" s="3193"/>
      <c r="P220" s="3193"/>
      <c r="Q220" s="3193"/>
      <c r="R220" s="3193"/>
      <c r="S220" s="3193"/>
      <c r="T220" s="3193"/>
      <c r="U220" s="3193"/>
    </row>
    <row r="221" spans="1:21" s="960" customFormat="1" ht="14.25" customHeight="1">
      <c r="A221" s="3158" t="s">
        <v>1154</v>
      </c>
      <c r="B221" s="3158" t="s">
        <v>2913</v>
      </c>
      <c r="C221" s="3167"/>
      <c r="D221" s="3167"/>
      <c r="E221" s="3167"/>
      <c r="F221" s="3166">
        <v>2040</v>
      </c>
      <c r="G221" s="3164"/>
      <c r="I221" s="971"/>
      <c r="J221" s="3193"/>
      <c r="K221" s="3193"/>
      <c r="L221" s="3193"/>
      <c r="M221" s="3193"/>
      <c r="N221" s="3193"/>
      <c r="O221" s="3193"/>
      <c r="P221" s="3193"/>
      <c r="Q221" s="3193"/>
      <c r="R221" s="3193"/>
      <c r="S221" s="3193"/>
      <c r="T221" s="3193"/>
      <c r="U221" s="3193"/>
    </row>
    <row r="222" spans="1:21" s="960" customFormat="1" ht="14.25" customHeight="1">
      <c r="A222" s="3158" t="s">
        <v>1154</v>
      </c>
      <c r="B222" s="3158" t="s">
        <v>2914</v>
      </c>
      <c r="C222" s="3167"/>
      <c r="D222" s="3167"/>
      <c r="E222" s="3167"/>
      <c r="F222" s="3166">
        <v>2040</v>
      </c>
      <c r="G222" s="3164"/>
      <c r="I222" s="971"/>
      <c r="J222" s="3193"/>
      <c r="K222" s="3193"/>
      <c r="L222" s="3193"/>
      <c r="M222" s="3193"/>
      <c r="N222" s="3193"/>
      <c r="O222" s="3193"/>
      <c r="P222" s="3193"/>
      <c r="Q222" s="3193"/>
      <c r="R222" s="3193"/>
      <c r="S222" s="3193"/>
      <c r="T222" s="3193"/>
      <c r="U222" s="3193"/>
    </row>
    <row r="223" spans="1:21" s="960" customFormat="1" ht="14.25" customHeight="1">
      <c r="A223" s="3158" t="s">
        <v>1154</v>
      </c>
      <c r="B223" s="3158" t="s">
        <v>2915</v>
      </c>
      <c r="C223" s="3167"/>
      <c r="D223" s="3167"/>
      <c r="E223" s="3167"/>
      <c r="F223" s="3166">
        <v>1930</v>
      </c>
      <c r="G223" s="3164"/>
      <c r="I223" s="971"/>
      <c r="J223" s="3193"/>
      <c r="K223" s="3193"/>
      <c r="L223" s="3193"/>
      <c r="M223" s="3193"/>
      <c r="N223" s="3193"/>
      <c r="O223" s="3193"/>
      <c r="P223" s="3193"/>
      <c r="Q223" s="3193"/>
      <c r="R223" s="3193"/>
      <c r="S223" s="3193"/>
      <c r="T223" s="3193"/>
      <c r="U223" s="3193"/>
    </row>
    <row r="224" spans="1:21" s="960" customFormat="1" ht="14.25" customHeight="1">
      <c r="A224" s="3158" t="s">
        <v>1154</v>
      </c>
      <c r="B224" s="3158" t="s">
        <v>2916</v>
      </c>
      <c r="C224" s="3167"/>
      <c r="D224" s="3167"/>
      <c r="E224" s="3167"/>
      <c r="F224" s="3166">
        <v>1930</v>
      </c>
      <c r="G224" s="3164"/>
      <c r="I224" s="971"/>
      <c r="J224" s="3193"/>
      <c r="K224" s="3193"/>
      <c r="L224" s="3193"/>
      <c r="M224" s="3193"/>
      <c r="N224" s="3193"/>
      <c r="O224" s="3193"/>
      <c r="P224" s="3193"/>
      <c r="Q224" s="3193"/>
      <c r="R224" s="3193"/>
      <c r="S224" s="3193"/>
      <c r="T224" s="3193"/>
      <c r="U224" s="3193"/>
    </row>
    <row r="225" spans="1:21" s="960" customFormat="1" ht="14.25" customHeight="1">
      <c r="A225" s="3158" t="s">
        <v>1154</v>
      </c>
      <c r="B225" s="3158" t="s">
        <v>2917</v>
      </c>
      <c r="C225" s="3158"/>
      <c r="D225" s="3158"/>
      <c r="E225" s="3158"/>
      <c r="F225" s="3164">
        <v>1930</v>
      </c>
      <c r="G225" s="3164"/>
      <c r="I225" s="971"/>
      <c r="J225" s="3193"/>
      <c r="K225" s="3193"/>
      <c r="L225" s="3193"/>
      <c r="M225" s="3193"/>
      <c r="N225" s="3193"/>
      <c r="O225" s="3193"/>
      <c r="P225" s="3193"/>
      <c r="Q225" s="3193"/>
      <c r="R225" s="3193"/>
      <c r="S225" s="3193"/>
      <c r="T225" s="3193"/>
      <c r="U225" s="3193"/>
    </row>
    <row r="226" spans="1:21" s="960" customFormat="1" ht="14.25" customHeight="1">
      <c r="A226" s="3158" t="s">
        <v>1154</v>
      </c>
      <c r="B226" s="3158" t="s">
        <v>2918</v>
      </c>
      <c r="C226" s="3158"/>
      <c r="D226" s="3158"/>
      <c r="E226" s="3158"/>
      <c r="F226" s="3164">
        <v>1700</v>
      </c>
      <c r="G226" s="3164"/>
      <c r="I226" s="971"/>
      <c r="J226" s="3193"/>
      <c r="K226" s="3193"/>
      <c r="L226" s="3193"/>
      <c r="M226" s="3193"/>
      <c r="N226" s="3193"/>
      <c r="O226" s="3193"/>
      <c r="P226" s="3193"/>
      <c r="Q226" s="3193"/>
      <c r="R226" s="3193"/>
      <c r="S226" s="3193"/>
      <c r="T226" s="3193"/>
      <c r="U226" s="3193"/>
    </row>
    <row r="227" spans="1:21" s="960" customFormat="1" ht="14.25" customHeight="1">
      <c r="A227" s="3158" t="s">
        <v>1154</v>
      </c>
      <c r="B227" s="3158" t="s">
        <v>2919</v>
      </c>
      <c r="C227" s="3158"/>
      <c r="D227" s="3158"/>
      <c r="E227" s="3158"/>
      <c r="F227" s="3164">
        <v>1520</v>
      </c>
      <c r="G227" s="3164"/>
      <c r="I227" s="971"/>
      <c r="J227" s="3193"/>
      <c r="K227" s="3193"/>
      <c r="L227" s="3193"/>
      <c r="M227" s="3193"/>
      <c r="N227" s="3193"/>
      <c r="O227" s="3193"/>
      <c r="P227" s="3193"/>
      <c r="Q227" s="3193"/>
      <c r="R227" s="3193"/>
      <c r="S227" s="3193"/>
      <c r="T227" s="3193"/>
      <c r="U227" s="3193"/>
    </row>
    <row r="228" spans="1:21" s="960" customFormat="1" ht="14.25" customHeight="1">
      <c r="A228" s="3158" t="s">
        <v>1154</v>
      </c>
      <c r="B228" s="3158" t="s">
        <v>2920</v>
      </c>
      <c r="C228" s="3158"/>
      <c r="D228" s="3158"/>
      <c r="E228" s="3158"/>
      <c r="F228" s="3164">
        <v>1520</v>
      </c>
      <c r="G228" s="3164"/>
      <c r="I228" s="971"/>
      <c r="J228" s="3193"/>
      <c r="K228" s="3193"/>
      <c r="L228" s="3193"/>
      <c r="M228" s="3193"/>
      <c r="N228" s="3193"/>
      <c r="O228" s="3193"/>
      <c r="P228" s="3193"/>
      <c r="Q228" s="3193"/>
      <c r="R228" s="3193"/>
      <c r="S228" s="3193"/>
      <c r="T228" s="3193"/>
      <c r="U228" s="3193"/>
    </row>
    <row r="229" spans="1:21" s="960" customFormat="1" ht="14.25" customHeight="1">
      <c r="A229" s="3158" t="s">
        <v>1154</v>
      </c>
      <c r="B229" s="3158" t="s">
        <v>2921</v>
      </c>
      <c r="C229" s="3158"/>
      <c r="D229" s="3158"/>
      <c r="E229" s="3158"/>
      <c r="F229" s="3164">
        <v>1520</v>
      </c>
      <c r="G229" s="3166"/>
      <c r="I229" s="971"/>
      <c r="J229" s="3193"/>
      <c r="K229" s="3193"/>
      <c r="L229" s="3193"/>
      <c r="M229" s="3193"/>
      <c r="N229" s="3193"/>
      <c r="O229" s="3193"/>
      <c r="P229" s="3193"/>
      <c r="Q229" s="3193"/>
      <c r="R229" s="3193"/>
      <c r="S229" s="3193"/>
      <c r="T229" s="3193"/>
      <c r="U229" s="3193"/>
    </row>
    <row r="230" spans="1:21" s="960" customFormat="1" ht="14.25" customHeight="1">
      <c r="A230" s="3158" t="s">
        <v>1154</v>
      </c>
      <c r="B230" s="3158" t="s">
        <v>2922</v>
      </c>
      <c r="C230" s="3158"/>
      <c r="D230" s="3158"/>
      <c r="E230" s="3158"/>
      <c r="F230" s="3164">
        <v>1820</v>
      </c>
      <c r="G230" s="3166"/>
      <c r="I230" s="971"/>
      <c r="J230" s="3193"/>
      <c r="K230" s="3193"/>
      <c r="L230" s="3193"/>
      <c r="M230" s="3193"/>
      <c r="N230" s="3193"/>
      <c r="O230" s="3193"/>
      <c r="P230" s="3193"/>
      <c r="Q230" s="3193"/>
      <c r="R230" s="3193"/>
      <c r="S230" s="3193"/>
      <c r="T230" s="3193"/>
      <c r="U230" s="3193"/>
    </row>
    <row r="231" spans="1:21" s="960" customFormat="1" ht="14.25" customHeight="1">
      <c r="A231" s="3158" t="s">
        <v>1154</v>
      </c>
      <c r="B231" s="3158" t="s">
        <v>2923</v>
      </c>
      <c r="C231" s="3158"/>
      <c r="D231" s="3158"/>
      <c r="E231" s="3158"/>
      <c r="F231" s="3164">
        <v>1760</v>
      </c>
      <c r="G231" s="3166"/>
      <c r="I231" s="971"/>
      <c r="J231" s="3193"/>
      <c r="K231" s="3193"/>
      <c r="L231" s="3193"/>
      <c r="M231" s="3193"/>
      <c r="N231" s="3193"/>
      <c r="O231" s="3193"/>
      <c r="P231" s="3193"/>
      <c r="Q231" s="3193"/>
      <c r="R231" s="3193"/>
      <c r="S231" s="3193"/>
      <c r="T231" s="3193"/>
      <c r="U231" s="3193"/>
    </row>
    <row r="232" spans="1:21" s="960" customFormat="1" ht="14.25" customHeight="1">
      <c r="A232" s="3158" t="s">
        <v>1154</v>
      </c>
      <c r="B232" s="3158" t="s">
        <v>2924</v>
      </c>
      <c r="C232" s="3158"/>
      <c r="D232" s="3158"/>
      <c r="E232" s="3158"/>
      <c r="F232" s="3164">
        <v>1840</v>
      </c>
      <c r="G232" s="3164"/>
      <c r="I232" s="971"/>
      <c r="J232" s="3193"/>
      <c r="K232" s="3193"/>
      <c r="L232" s="3193"/>
      <c r="M232" s="3193"/>
      <c r="N232" s="3193"/>
      <c r="O232" s="3193"/>
      <c r="P232" s="3193"/>
      <c r="Q232" s="3193"/>
      <c r="R232" s="3193"/>
      <c r="S232" s="3193"/>
      <c r="T232" s="3193"/>
      <c r="U232" s="3193"/>
    </row>
    <row r="233" spans="1:21" s="960" customFormat="1" ht="14.25" customHeight="1" thickBot="1">
      <c r="A233" s="3173" t="s">
        <v>1154</v>
      </c>
      <c r="B233" s="3161" t="s">
        <v>2925</v>
      </c>
      <c r="C233" s="3161"/>
      <c r="D233" s="3161"/>
      <c r="E233" s="3161"/>
      <c r="F233" s="3162">
        <v>1770</v>
      </c>
      <c r="G233" s="3177"/>
      <c r="I233" s="971"/>
      <c r="J233" s="3193"/>
      <c r="K233" s="3193"/>
      <c r="L233" s="3193"/>
      <c r="M233" s="3193"/>
      <c r="N233" s="3193"/>
      <c r="O233" s="3193"/>
      <c r="P233" s="3193"/>
      <c r="Q233" s="3193"/>
      <c r="R233" s="3193"/>
      <c r="S233" s="3193"/>
      <c r="T233" s="3193"/>
      <c r="U233" s="3193"/>
    </row>
    <row r="234" spans="1:21" s="960" customFormat="1" ht="14.25" customHeight="1">
      <c r="A234" s="3172" t="s">
        <v>1155</v>
      </c>
      <c r="B234" s="1216" t="s">
        <v>2926</v>
      </c>
      <c r="C234" s="1216">
        <v>6980</v>
      </c>
      <c r="D234" s="1216">
        <v>6970</v>
      </c>
      <c r="E234" s="1216">
        <v>8720</v>
      </c>
      <c r="F234" s="3159">
        <v>1350</v>
      </c>
      <c r="G234" s="3175">
        <v>4280</v>
      </c>
      <c r="I234" s="971"/>
      <c r="J234" s="3193"/>
      <c r="K234" s="3193"/>
      <c r="L234" s="3193"/>
      <c r="M234" s="3193"/>
      <c r="N234" s="3193"/>
      <c r="O234" s="3193"/>
      <c r="P234" s="3193"/>
      <c r="Q234" s="3193"/>
      <c r="R234" s="3193"/>
      <c r="S234" s="3193"/>
      <c r="T234" s="3193"/>
      <c r="U234" s="3193"/>
    </row>
    <row r="235" spans="1:21" s="960" customFormat="1" ht="14.25" customHeight="1">
      <c r="A235" s="3158" t="s">
        <v>1155</v>
      </c>
      <c r="B235" s="3158" t="s">
        <v>979</v>
      </c>
      <c r="C235" s="3158">
        <v>7620</v>
      </c>
      <c r="D235" s="3158">
        <v>7580</v>
      </c>
      <c r="E235" s="3158">
        <v>9360</v>
      </c>
      <c r="F235" s="3164">
        <v>1490</v>
      </c>
      <c r="G235" s="3164">
        <v>4650</v>
      </c>
      <c r="I235" s="971"/>
      <c r="J235" s="3193"/>
      <c r="K235" s="3193"/>
      <c r="L235" s="3193"/>
      <c r="M235" s="3193"/>
      <c r="N235" s="3193"/>
      <c r="O235" s="3193"/>
      <c r="P235" s="3193"/>
      <c r="Q235" s="3193"/>
      <c r="R235" s="3193"/>
      <c r="S235" s="3193"/>
      <c r="T235" s="3193"/>
      <c r="U235" s="3193"/>
    </row>
    <row r="236" spans="1:21" s="960" customFormat="1" ht="14.25" customHeight="1">
      <c r="A236" s="3158" t="s">
        <v>1155</v>
      </c>
      <c r="B236" s="3158" t="s">
        <v>989</v>
      </c>
      <c r="C236" s="3158">
        <v>6650</v>
      </c>
      <c r="D236" s="3158">
        <v>6630</v>
      </c>
      <c r="E236" s="3158">
        <v>8330</v>
      </c>
      <c r="F236" s="3164">
        <v>1250</v>
      </c>
      <c r="G236" s="3164">
        <v>4070</v>
      </c>
      <c r="I236" s="971"/>
      <c r="J236" s="3193"/>
      <c r="K236" s="3193"/>
      <c r="L236" s="3193"/>
      <c r="M236" s="3193"/>
      <c r="N236" s="3193"/>
      <c r="O236" s="3193"/>
      <c r="P236" s="3193"/>
      <c r="Q236" s="3193"/>
      <c r="R236" s="3193"/>
      <c r="S236" s="3193"/>
      <c r="T236" s="3193"/>
      <c r="U236" s="3193"/>
    </row>
    <row r="237" spans="1:21" s="960" customFormat="1" ht="14.25" customHeight="1">
      <c r="A237" s="3158" t="s">
        <v>1155</v>
      </c>
      <c r="B237" s="3158" t="s">
        <v>998</v>
      </c>
      <c r="C237" s="3158">
        <v>5850</v>
      </c>
      <c r="D237" s="3158">
        <v>5820</v>
      </c>
      <c r="E237" s="3158">
        <v>7260</v>
      </c>
      <c r="F237" s="3164">
        <v>1140</v>
      </c>
      <c r="G237" s="3164">
        <v>3570</v>
      </c>
      <c r="I237" s="971"/>
      <c r="J237" s="3193"/>
      <c r="K237" s="3193"/>
      <c r="L237" s="3193"/>
      <c r="M237" s="3193"/>
      <c r="N237" s="3193"/>
      <c r="O237" s="3193"/>
      <c r="P237" s="3193"/>
      <c r="Q237" s="3193"/>
      <c r="R237" s="3193"/>
      <c r="S237" s="3193"/>
      <c r="T237" s="3193"/>
      <c r="U237" s="3193"/>
    </row>
    <row r="238" spans="1:21" s="960" customFormat="1" ht="14.25" customHeight="1">
      <c r="A238" s="3158" t="s">
        <v>1155</v>
      </c>
      <c r="B238" s="3158" t="s">
        <v>2927</v>
      </c>
      <c r="C238" s="3158">
        <v>6920</v>
      </c>
      <c r="D238" s="3158">
        <v>6890</v>
      </c>
      <c r="E238" s="3158">
        <v>8640</v>
      </c>
      <c r="F238" s="3164">
        <v>1310</v>
      </c>
      <c r="G238" s="3164">
        <v>4230</v>
      </c>
      <c r="I238" s="971"/>
      <c r="J238" s="3193"/>
      <c r="K238" s="3193"/>
      <c r="L238" s="3193"/>
      <c r="M238" s="3193"/>
      <c r="N238" s="3193"/>
      <c r="O238" s="3193"/>
      <c r="P238" s="3193"/>
      <c r="Q238" s="3193"/>
      <c r="R238" s="3193"/>
      <c r="S238" s="3193"/>
      <c r="T238" s="3193"/>
      <c r="U238" s="3193"/>
    </row>
    <row r="239" spans="1:21" s="960" customFormat="1" ht="14.25" customHeight="1">
      <c r="A239" s="3158" t="s">
        <v>1155</v>
      </c>
      <c r="B239" s="3158" t="s">
        <v>2928</v>
      </c>
      <c r="C239" s="3158">
        <v>6780</v>
      </c>
      <c r="D239" s="3158">
        <v>6750</v>
      </c>
      <c r="E239" s="3158">
        <v>8440</v>
      </c>
      <c r="F239" s="3164">
        <v>1160</v>
      </c>
      <c r="G239" s="3164">
        <v>4140</v>
      </c>
      <c r="I239" s="971"/>
      <c r="J239" s="3193"/>
      <c r="K239" s="3193"/>
      <c r="L239" s="3193"/>
      <c r="M239" s="3193"/>
      <c r="N239" s="3193"/>
      <c r="O239" s="3193"/>
      <c r="P239" s="3193"/>
      <c r="Q239" s="3193"/>
      <c r="R239" s="3193"/>
      <c r="S239" s="3193"/>
      <c r="T239" s="3193"/>
      <c r="U239" s="3193"/>
    </row>
    <row r="240" spans="1:21" s="960" customFormat="1" ht="14.25" customHeight="1">
      <c r="A240" s="3158" t="s">
        <v>1155</v>
      </c>
      <c r="B240" s="3158" t="s">
        <v>2929</v>
      </c>
      <c r="C240" s="3158">
        <v>5420</v>
      </c>
      <c r="D240" s="3158">
        <v>5380</v>
      </c>
      <c r="E240" s="3158">
        <v>6640</v>
      </c>
      <c r="F240" s="3164">
        <v>1020</v>
      </c>
      <c r="G240" s="3164">
        <v>3300</v>
      </c>
      <c r="I240" s="971"/>
      <c r="J240" s="3193"/>
      <c r="K240" s="3193"/>
      <c r="L240" s="3193"/>
      <c r="M240" s="3193"/>
      <c r="N240" s="3193"/>
      <c r="O240" s="3193"/>
      <c r="P240" s="3193"/>
      <c r="Q240" s="3193"/>
      <c r="R240" s="3193"/>
      <c r="S240" s="3193"/>
      <c r="T240" s="3193"/>
      <c r="U240" s="3193"/>
    </row>
    <row r="241" spans="1:21" s="960" customFormat="1" ht="14.25" customHeight="1">
      <c r="A241" s="3158" t="s">
        <v>1155</v>
      </c>
      <c r="B241" s="3158" t="s">
        <v>2930</v>
      </c>
      <c r="C241" s="3158">
        <v>6660</v>
      </c>
      <c r="D241" s="3158">
        <v>6640</v>
      </c>
      <c r="E241" s="3158">
        <v>8340</v>
      </c>
      <c r="F241" s="3164">
        <v>1130</v>
      </c>
      <c r="G241" s="3164">
        <v>4080</v>
      </c>
      <c r="I241" s="971"/>
      <c r="J241" s="3193"/>
      <c r="K241" s="3193"/>
      <c r="L241" s="3193"/>
      <c r="M241" s="3193"/>
      <c r="N241" s="3193"/>
      <c r="O241" s="3193"/>
      <c r="P241" s="3193"/>
      <c r="Q241" s="3193"/>
      <c r="R241" s="3193"/>
      <c r="S241" s="3193"/>
      <c r="T241" s="3193"/>
      <c r="U241" s="3193"/>
    </row>
    <row r="242" spans="1:21" s="960" customFormat="1" ht="14.25" customHeight="1">
      <c r="A242" s="3158" t="s">
        <v>1155</v>
      </c>
      <c r="B242" s="3158" t="s">
        <v>1028</v>
      </c>
      <c r="C242" s="3158">
        <v>6580</v>
      </c>
      <c r="D242" s="3158">
        <v>6550</v>
      </c>
      <c r="E242" s="3158">
        <v>8090</v>
      </c>
      <c r="F242" s="3164">
        <v>1240</v>
      </c>
      <c r="G242" s="3164">
        <v>4020</v>
      </c>
      <c r="I242" s="971"/>
      <c r="J242" s="3193"/>
      <c r="K242" s="3193"/>
      <c r="L242" s="3193"/>
      <c r="M242" s="3193"/>
      <c r="N242" s="3193"/>
      <c r="O242" s="3193"/>
      <c r="P242" s="3193"/>
      <c r="Q242" s="3193"/>
      <c r="R242" s="3193"/>
      <c r="S242" s="3193"/>
      <c r="T242" s="3193"/>
      <c r="U242" s="3193"/>
    </row>
    <row r="243" spans="1:21" s="960" customFormat="1" ht="14.25" customHeight="1">
      <c r="A243" s="3158" t="s">
        <v>1155</v>
      </c>
      <c r="B243" s="3158" t="s">
        <v>1038</v>
      </c>
      <c r="C243" s="3158">
        <v>6000</v>
      </c>
      <c r="D243" s="3158">
        <v>5970</v>
      </c>
      <c r="E243" s="3158">
        <v>7370</v>
      </c>
      <c r="F243" s="3164">
        <v>1070</v>
      </c>
      <c r="G243" s="3164">
        <v>3670</v>
      </c>
      <c r="I243" s="971"/>
      <c r="J243" s="3193"/>
      <c r="K243" s="3193"/>
      <c r="L243" s="3193"/>
      <c r="M243" s="3193"/>
      <c r="N243" s="3193"/>
      <c r="O243" s="3193"/>
      <c r="P243" s="3193"/>
      <c r="Q243" s="3193"/>
      <c r="R243" s="3193"/>
      <c r="S243" s="3193"/>
      <c r="T243" s="3193"/>
      <c r="U243" s="3193"/>
    </row>
    <row r="244" spans="1:21" s="960" customFormat="1" ht="14.25" customHeight="1">
      <c r="A244" s="3158" t="s">
        <v>1155</v>
      </c>
      <c r="B244" s="3158" t="s">
        <v>2931</v>
      </c>
      <c r="C244" s="3158">
        <v>5840</v>
      </c>
      <c r="D244" s="3158">
        <v>5810</v>
      </c>
      <c r="E244" s="3158">
        <v>7240</v>
      </c>
      <c r="F244" s="3164">
        <v>1100</v>
      </c>
      <c r="G244" s="3171">
        <v>3560</v>
      </c>
      <c r="I244" s="971"/>
      <c r="J244" s="3193"/>
      <c r="K244" s="3193"/>
      <c r="L244" s="3193"/>
      <c r="M244" s="3193"/>
      <c r="N244" s="3193"/>
      <c r="O244" s="3193"/>
      <c r="P244" s="3193"/>
      <c r="Q244" s="3193"/>
      <c r="R244" s="3193"/>
      <c r="S244" s="3193"/>
      <c r="T244" s="3193"/>
      <c r="U244" s="3193"/>
    </row>
    <row r="245" spans="1:21" s="960" customFormat="1" ht="14.25" customHeight="1">
      <c r="A245" s="1216" t="s">
        <v>1155</v>
      </c>
      <c r="B245" s="1216" t="s">
        <v>1053</v>
      </c>
      <c r="C245" s="1216">
        <v>6040</v>
      </c>
      <c r="D245" s="1216">
        <v>6000</v>
      </c>
      <c r="E245" s="1216">
        <v>7420</v>
      </c>
      <c r="F245" s="3159">
        <v>1140</v>
      </c>
      <c r="G245" s="3159">
        <v>3690</v>
      </c>
      <c r="I245" s="971"/>
      <c r="J245" s="3193"/>
      <c r="K245" s="3193"/>
      <c r="L245" s="3193"/>
      <c r="M245" s="3193"/>
      <c r="N245" s="3193"/>
      <c r="O245" s="3193"/>
      <c r="P245" s="3193"/>
      <c r="Q245" s="3193"/>
      <c r="R245" s="3193"/>
      <c r="S245" s="3193"/>
      <c r="T245" s="3193"/>
      <c r="U245" s="3193"/>
    </row>
    <row r="246" spans="1:21" s="960" customFormat="1" ht="14.25" customHeight="1">
      <c r="A246" s="3158" t="s">
        <v>1155</v>
      </c>
      <c r="B246" s="3158" t="s">
        <v>1060</v>
      </c>
      <c r="C246" s="3158">
        <v>5890</v>
      </c>
      <c r="D246" s="3158">
        <v>5860</v>
      </c>
      <c r="E246" s="3158">
        <v>7300</v>
      </c>
      <c r="F246" s="3164">
        <v>1110</v>
      </c>
      <c r="G246" s="3164">
        <v>3590</v>
      </c>
      <c r="I246" s="971"/>
      <c r="J246" s="3193"/>
      <c r="K246" s="3193"/>
      <c r="L246" s="3193"/>
      <c r="M246" s="3193"/>
      <c r="N246" s="3193"/>
      <c r="O246" s="3193"/>
      <c r="P246" s="3193"/>
      <c r="Q246" s="3193"/>
      <c r="R246" s="3193"/>
      <c r="S246" s="3193"/>
      <c r="T246" s="3193"/>
      <c r="U246" s="3193"/>
    </row>
    <row r="247" spans="1:21" s="960" customFormat="1" ht="14.25" customHeight="1">
      <c r="A247" s="3158" t="s">
        <v>1155</v>
      </c>
      <c r="B247" s="3158" t="s">
        <v>2932</v>
      </c>
      <c r="C247" s="3158">
        <v>6480</v>
      </c>
      <c r="D247" s="3158">
        <v>6450</v>
      </c>
      <c r="E247" s="3158">
        <v>8010</v>
      </c>
      <c r="F247" s="3164">
        <v>1170</v>
      </c>
      <c r="G247" s="3164">
        <v>3960</v>
      </c>
      <c r="I247" s="971"/>
      <c r="J247" s="3193"/>
      <c r="K247" s="3193"/>
      <c r="L247" s="3193"/>
      <c r="M247" s="3193"/>
      <c r="N247" s="3193"/>
      <c r="O247" s="3193"/>
      <c r="P247" s="3193"/>
      <c r="Q247" s="3193"/>
      <c r="R247" s="3193"/>
      <c r="S247" s="3193"/>
      <c r="T247" s="3193"/>
      <c r="U247" s="3193"/>
    </row>
    <row r="248" spans="1:21" s="960" customFormat="1" ht="14.25" customHeight="1">
      <c r="A248" s="3158" t="s">
        <v>1155</v>
      </c>
      <c r="B248" s="3158" t="s">
        <v>1075</v>
      </c>
      <c r="C248" s="3158">
        <v>6860</v>
      </c>
      <c r="D248" s="3158">
        <v>6840</v>
      </c>
      <c r="E248" s="3158">
        <v>8520</v>
      </c>
      <c r="F248" s="3164">
        <v>1240</v>
      </c>
      <c r="G248" s="3164">
        <v>4200</v>
      </c>
      <c r="I248" s="971"/>
      <c r="J248" s="3193"/>
      <c r="K248" s="3193"/>
      <c r="L248" s="3193"/>
      <c r="M248" s="3193"/>
      <c r="N248" s="3193"/>
      <c r="O248" s="3193"/>
      <c r="P248" s="3193"/>
      <c r="Q248" s="3193"/>
      <c r="R248" s="3193"/>
      <c r="S248" s="3193"/>
      <c r="T248" s="3193"/>
      <c r="U248" s="3193"/>
    </row>
    <row r="249" spans="1:21" s="960" customFormat="1" ht="14.25" customHeight="1">
      <c r="A249" s="3158" t="s">
        <v>1155</v>
      </c>
      <c r="B249" s="3158" t="s">
        <v>2933</v>
      </c>
      <c r="C249" s="3158">
        <v>7180</v>
      </c>
      <c r="D249" s="3158">
        <v>7140</v>
      </c>
      <c r="E249" s="3158">
        <v>8900</v>
      </c>
      <c r="F249" s="3164">
        <v>1350</v>
      </c>
      <c r="G249" s="3164">
        <v>4380</v>
      </c>
      <c r="I249" s="971"/>
      <c r="J249" s="3193"/>
      <c r="K249" s="3193"/>
      <c r="L249" s="3193"/>
      <c r="M249" s="3193"/>
      <c r="N249" s="3193"/>
      <c r="O249" s="3193"/>
      <c r="P249" s="3193"/>
      <c r="Q249" s="3193"/>
      <c r="R249" s="3193"/>
      <c r="S249" s="3193"/>
      <c r="T249" s="3193"/>
      <c r="U249" s="3193"/>
    </row>
    <row r="250" spans="1:21" s="960" customFormat="1" ht="14.25" customHeight="1">
      <c r="A250" s="3158" t="s">
        <v>1155</v>
      </c>
      <c r="B250" s="3158" t="s">
        <v>1089</v>
      </c>
      <c r="C250" s="3158">
        <v>6880</v>
      </c>
      <c r="D250" s="3158">
        <v>6860</v>
      </c>
      <c r="E250" s="3158">
        <v>8550</v>
      </c>
      <c r="F250" s="3164">
        <v>1220</v>
      </c>
      <c r="G250" s="3164">
        <v>4210</v>
      </c>
      <c r="I250" s="971"/>
      <c r="J250" s="3193"/>
      <c r="K250" s="3193"/>
      <c r="L250" s="3193"/>
      <c r="M250" s="3193"/>
      <c r="N250" s="3193"/>
      <c r="O250" s="3193"/>
      <c r="P250" s="3193"/>
      <c r="Q250" s="3193"/>
      <c r="R250" s="3193"/>
      <c r="S250" s="3193"/>
      <c r="T250" s="3193"/>
      <c r="U250" s="3193"/>
    </row>
    <row r="251" spans="1:21" s="960" customFormat="1" ht="14.25" customHeight="1">
      <c r="A251" s="3158" t="s">
        <v>1155</v>
      </c>
      <c r="B251" s="3158" t="s">
        <v>1097</v>
      </c>
      <c r="C251" s="3158"/>
      <c r="D251" s="3158"/>
      <c r="E251" s="3158"/>
      <c r="F251" s="3164">
        <v>1100</v>
      </c>
      <c r="G251" s="3164"/>
      <c r="I251" s="971"/>
      <c r="J251" s="3193"/>
      <c r="K251" s="3193"/>
      <c r="L251" s="3193"/>
      <c r="M251" s="3193"/>
      <c r="N251" s="3193"/>
      <c r="O251" s="3193"/>
      <c r="P251" s="3193"/>
      <c r="Q251" s="3193"/>
      <c r="R251" s="3193"/>
      <c r="S251" s="3193"/>
      <c r="T251" s="3193"/>
      <c r="U251" s="3193"/>
    </row>
    <row r="252" spans="1:21" s="960" customFormat="1" ht="14.25" customHeight="1">
      <c r="A252" s="3158" t="s">
        <v>1155</v>
      </c>
      <c r="B252" s="3158" t="s">
        <v>2934</v>
      </c>
      <c r="C252" s="3158">
        <v>7240</v>
      </c>
      <c r="D252" s="3158">
        <v>7200</v>
      </c>
      <c r="E252" s="3158">
        <v>9040</v>
      </c>
      <c r="F252" s="3164">
        <v>1380</v>
      </c>
      <c r="G252" s="3164">
        <v>4420</v>
      </c>
      <c r="I252" s="971"/>
      <c r="J252" s="3193"/>
      <c r="K252" s="3193"/>
      <c r="L252" s="3193"/>
      <c r="M252" s="3193"/>
      <c r="N252" s="3193"/>
      <c r="O252" s="3193"/>
      <c r="P252" s="3193"/>
      <c r="Q252" s="3193"/>
      <c r="R252" s="3193"/>
      <c r="S252" s="3193"/>
      <c r="T252" s="3193"/>
      <c r="U252" s="3193"/>
    </row>
    <row r="253" spans="1:21" s="960" customFormat="1" ht="14.25" customHeight="1">
      <c r="A253" s="3158" t="s">
        <v>1155</v>
      </c>
      <c r="B253" s="3158" t="s">
        <v>1132</v>
      </c>
      <c r="C253" s="3158">
        <v>6670</v>
      </c>
      <c r="D253" s="3158">
        <v>6650</v>
      </c>
      <c r="E253" s="3158">
        <v>8350</v>
      </c>
      <c r="F253" s="3164">
        <v>1260</v>
      </c>
      <c r="G253" s="3164">
        <v>4080</v>
      </c>
      <c r="I253" s="971"/>
      <c r="J253" s="3193"/>
      <c r="K253" s="3193"/>
      <c r="L253" s="3193"/>
      <c r="M253" s="3193"/>
      <c r="N253" s="3193"/>
      <c r="O253" s="3193"/>
      <c r="P253" s="3193"/>
      <c r="Q253" s="3193"/>
      <c r="R253" s="3193"/>
      <c r="S253" s="3193"/>
      <c r="T253" s="3193"/>
      <c r="U253" s="3193"/>
    </row>
    <row r="254" spans="1:21" s="960" customFormat="1" ht="14.25" customHeight="1">
      <c r="A254" s="3158" t="s">
        <v>1155</v>
      </c>
      <c r="B254" s="3158" t="s">
        <v>1135</v>
      </c>
      <c r="C254" s="3167">
        <v>7630</v>
      </c>
      <c r="D254" s="3167">
        <v>7590</v>
      </c>
      <c r="E254" s="3167">
        <v>9380</v>
      </c>
      <c r="F254" s="3166">
        <v>1320</v>
      </c>
      <c r="G254" s="3164">
        <v>4660</v>
      </c>
      <c r="I254" s="971"/>
      <c r="J254" s="3193"/>
      <c r="K254" s="3193"/>
      <c r="L254" s="3193"/>
      <c r="M254" s="3193"/>
      <c r="N254" s="3193"/>
      <c r="O254" s="3193"/>
      <c r="P254" s="3193"/>
      <c r="Q254" s="3193"/>
      <c r="R254" s="3193"/>
      <c r="S254" s="3193"/>
      <c r="T254" s="3193"/>
      <c r="U254" s="3193"/>
    </row>
    <row r="255" spans="1:21" s="960" customFormat="1" ht="14.25" customHeight="1">
      <c r="A255" s="3158" t="s">
        <v>1155</v>
      </c>
      <c r="B255" s="3158" t="s">
        <v>1138</v>
      </c>
      <c r="C255" s="3167">
        <v>6940</v>
      </c>
      <c r="D255" s="3167">
        <v>6890</v>
      </c>
      <c r="E255" s="3167">
        <v>8650</v>
      </c>
      <c r="F255" s="3166">
        <v>1210</v>
      </c>
      <c r="G255" s="3164">
        <v>4230</v>
      </c>
      <c r="I255" s="971"/>
      <c r="J255" s="3193"/>
      <c r="K255" s="3193"/>
      <c r="L255" s="3193"/>
      <c r="M255" s="3193"/>
      <c r="N255" s="3193"/>
      <c r="O255" s="3193"/>
      <c r="P255" s="3193"/>
      <c r="Q255" s="3193"/>
      <c r="R255" s="3193"/>
      <c r="S255" s="3193"/>
      <c r="T255" s="3193"/>
      <c r="U255" s="3193"/>
    </row>
    <row r="256" spans="1:21" s="960" customFormat="1" ht="14.25" customHeight="1">
      <c r="A256" s="3158" t="s">
        <v>1155</v>
      </c>
      <c r="B256" s="3158" t="s">
        <v>2935</v>
      </c>
      <c r="C256" s="3158">
        <v>7520</v>
      </c>
      <c r="D256" s="3158">
        <v>7490</v>
      </c>
      <c r="E256" s="3158">
        <v>9240</v>
      </c>
      <c r="F256" s="3164">
        <v>1270</v>
      </c>
      <c r="G256" s="3164">
        <v>4590</v>
      </c>
      <c r="I256" s="971"/>
      <c r="J256" s="3193"/>
      <c r="K256" s="3193"/>
      <c r="L256" s="3193"/>
      <c r="M256" s="3193"/>
      <c r="N256" s="3193"/>
      <c r="O256" s="3193"/>
      <c r="P256" s="3193"/>
      <c r="Q256" s="3193"/>
      <c r="R256" s="3193"/>
      <c r="S256" s="3193"/>
      <c r="T256" s="3193"/>
      <c r="U256" s="3193"/>
    </row>
    <row r="257" spans="1:21" s="960" customFormat="1" ht="14.25" customHeight="1">
      <c r="A257" s="3158" t="s">
        <v>1155</v>
      </c>
      <c r="B257" s="3158" t="s">
        <v>1124</v>
      </c>
      <c r="C257" s="3158">
        <v>6280</v>
      </c>
      <c r="D257" s="3158">
        <v>6230</v>
      </c>
      <c r="E257" s="3158">
        <v>7740</v>
      </c>
      <c r="F257" s="3164">
        <v>1080</v>
      </c>
      <c r="G257" s="3164">
        <v>3830</v>
      </c>
      <c r="I257" s="971"/>
      <c r="J257" s="3193"/>
      <c r="K257" s="3193"/>
      <c r="L257" s="3193"/>
      <c r="M257" s="3193"/>
      <c r="N257" s="3193"/>
      <c r="O257" s="3193"/>
      <c r="P257" s="3193"/>
      <c r="Q257" s="3193"/>
      <c r="R257" s="3193"/>
      <c r="S257" s="3193"/>
      <c r="T257" s="3193"/>
      <c r="U257" s="3193"/>
    </row>
    <row r="258" spans="1:21" s="960" customFormat="1" ht="14.25" customHeight="1">
      <c r="A258" s="3158" t="s">
        <v>1155</v>
      </c>
      <c r="B258" s="3158" t="s">
        <v>2936</v>
      </c>
      <c r="C258" s="3158">
        <v>6190</v>
      </c>
      <c r="D258" s="3158">
        <v>6160</v>
      </c>
      <c r="E258" s="3158">
        <v>7680</v>
      </c>
      <c r="F258" s="3164">
        <v>1170</v>
      </c>
      <c r="G258" s="3164">
        <v>3780</v>
      </c>
      <c r="I258" s="971"/>
      <c r="J258" s="3193"/>
      <c r="K258" s="3193"/>
      <c r="L258" s="3193"/>
      <c r="M258" s="3193"/>
      <c r="N258" s="3193"/>
      <c r="O258" s="3193"/>
      <c r="P258" s="3193"/>
      <c r="Q258" s="3193"/>
      <c r="R258" s="3193"/>
      <c r="S258" s="3193"/>
      <c r="T258" s="3193"/>
      <c r="U258" s="3193"/>
    </row>
    <row r="259" spans="1:21" s="960" customFormat="1" ht="14.25" customHeight="1">
      <c r="A259" s="3158" t="s">
        <v>1155</v>
      </c>
      <c r="B259" s="3158" t="s">
        <v>2937</v>
      </c>
      <c r="C259" s="3158">
        <v>7610</v>
      </c>
      <c r="D259" s="3158">
        <v>7570</v>
      </c>
      <c r="E259" s="3158">
        <v>9350</v>
      </c>
      <c r="F259" s="3164">
        <v>1350</v>
      </c>
      <c r="G259" s="3164">
        <v>4650</v>
      </c>
      <c r="I259" s="971"/>
      <c r="J259" s="3193"/>
      <c r="K259" s="3193"/>
      <c r="L259" s="3193"/>
      <c r="M259" s="3193"/>
      <c r="N259" s="3193"/>
      <c r="O259" s="3193"/>
      <c r="P259" s="3193"/>
      <c r="Q259" s="3193"/>
      <c r="R259" s="3193"/>
      <c r="S259" s="3193"/>
      <c r="T259" s="3193"/>
      <c r="U259" s="3193"/>
    </row>
    <row r="260" spans="1:21" s="960" customFormat="1" ht="14.25" customHeight="1">
      <c r="A260" s="3158" t="s">
        <v>1155</v>
      </c>
      <c r="B260" s="3158" t="s">
        <v>2938</v>
      </c>
      <c r="C260" s="3158">
        <v>6920</v>
      </c>
      <c r="D260" s="3158">
        <v>6880</v>
      </c>
      <c r="E260" s="3158">
        <v>8380</v>
      </c>
      <c r="F260" s="3164">
        <v>1160</v>
      </c>
      <c r="G260" s="3164">
        <v>4220</v>
      </c>
      <c r="I260" s="971"/>
      <c r="J260" s="3193"/>
      <c r="K260" s="3193"/>
      <c r="L260" s="3193"/>
      <c r="M260" s="3193"/>
      <c r="N260" s="3193"/>
      <c r="O260" s="3193"/>
      <c r="P260" s="3193"/>
      <c r="Q260" s="3193"/>
      <c r="R260" s="3193"/>
      <c r="S260" s="3193"/>
      <c r="T260" s="3193"/>
      <c r="U260" s="3193"/>
    </row>
    <row r="261" spans="1:21" s="960" customFormat="1" ht="14.25" customHeight="1">
      <c r="A261" s="3158" t="s">
        <v>1155</v>
      </c>
      <c r="B261" s="3158" t="s">
        <v>2939</v>
      </c>
      <c r="C261" s="3158">
        <v>6850</v>
      </c>
      <c r="D261" s="3158">
        <v>6810</v>
      </c>
      <c r="E261" s="3158">
        <v>8290</v>
      </c>
      <c r="F261" s="3164">
        <v>1130</v>
      </c>
      <c r="G261" s="3164">
        <v>4180</v>
      </c>
      <c r="I261" s="971"/>
      <c r="J261" s="3193"/>
      <c r="K261" s="3193"/>
      <c r="L261" s="3193"/>
      <c r="M261" s="3193"/>
      <c r="N261" s="3193"/>
      <c r="O261" s="3193"/>
      <c r="P261" s="3193"/>
      <c r="Q261" s="3193"/>
      <c r="R261" s="3193"/>
      <c r="S261" s="3193"/>
      <c r="T261" s="3193"/>
      <c r="U261" s="3193"/>
    </row>
    <row r="262" spans="1:21" s="960" customFormat="1" ht="14.25" customHeight="1">
      <c r="A262" s="3158" t="s">
        <v>1155</v>
      </c>
      <c r="B262" s="3158" t="s">
        <v>2940</v>
      </c>
      <c r="C262" s="3158">
        <v>5860</v>
      </c>
      <c r="D262" s="3158">
        <v>5820</v>
      </c>
      <c r="E262" s="3158">
        <v>7640</v>
      </c>
      <c r="F262" s="3164">
        <v>1070</v>
      </c>
      <c r="G262" s="3166">
        <v>3570</v>
      </c>
      <c r="I262" s="971"/>
      <c r="J262" s="3193"/>
      <c r="K262" s="3193"/>
      <c r="L262" s="3193"/>
      <c r="M262" s="3193"/>
      <c r="N262" s="3193"/>
      <c r="O262" s="3193"/>
      <c r="P262" s="3193"/>
      <c r="Q262" s="3193"/>
      <c r="R262" s="3193"/>
      <c r="S262" s="3193"/>
      <c r="T262" s="3193"/>
      <c r="U262" s="3193"/>
    </row>
    <row r="263" spans="1:21" s="960" customFormat="1" ht="14.25" customHeight="1">
      <c r="A263" s="3158" t="s">
        <v>1155</v>
      </c>
      <c r="B263" s="3158" t="s">
        <v>2941</v>
      </c>
      <c r="C263" s="3158">
        <v>5870</v>
      </c>
      <c r="D263" s="3158">
        <v>5840</v>
      </c>
      <c r="E263" s="3158">
        <v>7270</v>
      </c>
      <c r="F263" s="3164">
        <v>1190</v>
      </c>
      <c r="G263" s="3164">
        <v>3580</v>
      </c>
      <c r="I263" s="971"/>
      <c r="J263" s="3193"/>
      <c r="K263" s="3193"/>
      <c r="L263" s="3193"/>
      <c r="M263" s="3193"/>
      <c r="N263" s="3193"/>
      <c r="O263" s="3193"/>
      <c r="P263" s="3193"/>
      <c r="Q263" s="3193"/>
      <c r="R263" s="3193"/>
      <c r="S263" s="3193"/>
      <c r="T263" s="3193"/>
      <c r="U263" s="3193"/>
    </row>
    <row r="264" spans="1:21" s="960" customFormat="1" ht="14.25" customHeight="1">
      <c r="A264" s="3158" t="s">
        <v>1155</v>
      </c>
      <c r="B264" s="3158" t="s">
        <v>1148</v>
      </c>
      <c r="C264" s="3158">
        <v>6190</v>
      </c>
      <c r="D264" s="3158">
        <v>6150</v>
      </c>
      <c r="E264" s="3158">
        <v>7660</v>
      </c>
      <c r="F264" s="3164">
        <v>1160</v>
      </c>
      <c r="G264" s="3164">
        <v>3770</v>
      </c>
      <c r="I264" s="971"/>
      <c r="J264" s="3193"/>
      <c r="K264" s="3193"/>
      <c r="L264" s="3193"/>
      <c r="M264" s="3193"/>
      <c r="N264" s="3193"/>
      <c r="O264" s="3193"/>
      <c r="P264" s="3193"/>
      <c r="Q264" s="3193"/>
      <c r="R264" s="3193"/>
      <c r="S264" s="3193"/>
      <c r="T264" s="3193"/>
      <c r="U264" s="3193"/>
    </row>
    <row r="265" spans="1:21" s="960" customFormat="1" ht="14.25" customHeight="1">
      <c r="A265" s="3158" t="s">
        <v>1155</v>
      </c>
      <c r="B265" s="3158" t="s">
        <v>2942</v>
      </c>
      <c r="C265" s="3158"/>
      <c r="D265" s="3158"/>
      <c r="E265" s="3158"/>
      <c r="F265" s="3164">
        <v>1500</v>
      </c>
      <c r="G265" s="3164"/>
      <c r="I265" s="971"/>
      <c r="J265" s="3193"/>
      <c r="K265" s="3193"/>
      <c r="L265" s="3193"/>
      <c r="M265" s="3193"/>
      <c r="N265" s="3193"/>
      <c r="O265" s="3193"/>
      <c r="P265" s="3193"/>
      <c r="Q265" s="3193"/>
      <c r="R265" s="3193"/>
      <c r="S265" s="3193"/>
      <c r="T265" s="3193"/>
      <c r="U265" s="3193"/>
    </row>
    <row r="266" spans="1:21" s="960" customFormat="1" ht="14.25" customHeight="1">
      <c r="A266" s="3158" t="s">
        <v>1155</v>
      </c>
      <c r="B266" s="3158" t="s">
        <v>2943</v>
      </c>
      <c r="C266" s="3158"/>
      <c r="D266" s="3158"/>
      <c r="E266" s="3158"/>
      <c r="F266" s="3164">
        <v>1500</v>
      </c>
      <c r="G266" s="3164"/>
      <c r="I266" s="971"/>
      <c r="J266" s="3193"/>
      <c r="K266" s="3193"/>
      <c r="L266" s="3193"/>
      <c r="M266" s="3193"/>
      <c r="N266" s="3193"/>
      <c r="O266" s="3193"/>
      <c r="P266" s="3193"/>
      <c r="Q266" s="3193"/>
      <c r="R266" s="3193"/>
      <c r="S266" s="3193"/>
      <c r="T266" s="3193"/>
      <c r="U266" s="3193"/>
    </row>
    <row r="267" spans="1:21" s="960" customFormat="1" ht="14.25" customHeight="1">
      <c r="A267" s="3158" t="s">
        <v>1155</v>
      </c>
      <c r="B267" s="3158" t="s">
        <v>2944</v>
      </c>
      <c r="C267" s="3158"/>
      <c r="D267" s="3158"/>
      <c r="E267" s="3158"/>
      <c r="F267" s="3164">
        <v>1500</v>
      </c>
      <c r="G267" s="3166"/>
      <c r="I267" s="971"/>
      <c r="J267" s="3193"/>
      <c r="K267" s="3193"/>
      <c r="L267" s="3193"/>
      <c r="M267" s="3193"/>
      <c r="N267" s="3193"/>
      <c r="O267" s="3193"/>
      <c r="P267" s="3193"/>
      <c r="Q267" s="3193"/>
      <c r="R267" s="3193"/>
      <c r="S267" s="3193"/>
      <c r="T267" s="3193"/>
      <c r="U267" s="3193"/>
    </row>
    <row r="268" spans="1:21" s="960" customFormat="1" ht="14.25" customHeight="1">
      <c r="A268" s="3158" t="s">
        <v>1155</v>
      </c>
      <c r="B268" s="3158" t="s">
        <v>2945</v>
      </c>
      <c r="C268" s="3158"/>
      <c r="D268" s="3158"/>
      <c r="E268" s="3158"/>
      <c r="F268" s="3164">
        <v>1290</v>
      </c>
      <c r="G268" s="3164"/>
      <c r="I268" s="971"/>
      <c r="J268" s="3193"/>
      <c r="K268" s="3193"/>
      <c r="L268" s="3193"/>
      <c r="M268" s="3193"/>
      <c r="N268" s="3193"/>
      <c r="O268" s="3193"/>
      <c r="P268" s="3193"/>
      <c r="Q268" s="3193"/>
      <c r="R268" s="3193"/>
      <c r="S268" s="3193"/>
      <c r="T268" s="3193"/>
      <c r="U268" s="3193"/>
    </row>
    <row r="269" spans="1:21" s="960" customFormat="1" ht="14.25" customHeight="1">
      <c r="A269" s="3158" t="s">
        <v>1155</v>
      </c>
      <c r="B269" s="3158" t="s">
        <v>2946</v>
      </c>
      <c r="C269" s="3158"/>
      <c r="D269" s="3158"/>
      <c r="E269" s="3158"/>
      <c r="F269" s="3164">
        <v>1150</v>
      </c>
      <c r="G269" s="3164"/>
      <c r="I269" s="971"/>
      <c r="J269" s="3193"/>
      <c r="K269" s="3193"/>
      <c r="L269" s="3193"/>
      <c r="M269" s="3193"/>
      <c r="N269" s="3193"/>
      <c r="O269" s="3193"/>
      <c r="P269" s="3193"/>
      <c r="Q269" s="3193"/>
      <c r="R269" s="3193"/>
      <c r="S269" s="3193"/>
      <c r="T269" s="3193"/>
      <c r="U269" s="3193"/>
    </row>
    <row r="270" spans="1:21" s="960" customFormat="1" ht="14.25" customHeight="1">
      <c r="A270" s="3158" t="s">
        <v>1155</v>
      </c>
      <c r="B270" s="3158" t="s">
        <v>2947</v>
      </c>
      <c r="C270" s="3158"/>
      <c r="D270" s="3158"/>
      <c r="E270" s="3158"/>
      <c r="F270" s="3164">
        <v>1380</v>
      </c>
      <c r="G270" s="3164"/>
      <c r="I270" s="971"/>
      <c r="J270" s="3193"/>
      <c r="K270" s="3193"/>
      <c r="L270" s="3193"/>
      <c r="M270" s="3193"/>
      <c r="N270" s="3193"/>
      <c r="O270" s="3193"/>
      <c r="P270" s="3193"/>
      <c r="Q270" s="3193"/>
      <c r="R270" s="3193"/>
      <c r="S270" s="3193"/>
      <c r="T270" s="3193"/>
      <c r="U270" s="3193"/>
    </row>
    <row r="271" spans="1:21" s="960" customFormat="1" ht="14.25" customHeight="1">
      <c r="A271" s="3158" t="s">
        <v>1155</v>
      </c>
      <c r="B271" s="3158" t="s">
        <v>2948</v>
      </c>
      <c r="C271" s="3158"/>
      <c r="D271" s="3158"/>
      <c r="E271" s="3158"/>
      <c r="F271" s="3164">
        <v>1460</v>
      </c>
      <c r="G271" s="3164"/>
      <c r="I271" s="971"/>
      <c r="J271" s="3193"/>
      <c r="K271" s="3193"/>
      <c r="L271" s="3193"/>
      <c r="M271" s="3193"/>
      <c r="N271" s="3193"/>
      <c r="O271" s="3193"/>
      <c r="P271" s="3193"/>
      <c r="Q271" s="3193"/>
      <c r="R271" s="3193"/>
      <c r="S271" s="3193"/>
      <c r="T271" s="3193"/>
      <c r="U271" s="3193"/>
    </row>
    <row r="272" spans="1:21" s="960" customFormat="1" ht="14.25" customHeight="1">
      <c r="A272" s="3158" t="s">
        <v>1155</v>
      </c>
      <c r="B272" s="3158" t="s">
        <v>2949</v>
      </c>
      <c r="C272" s="3167"/>
      <c r="D272" s="3167"/>
      <c r="E272" s="3167"/>
      <c r="F272" s="3166">
        <v>1460</v>
      </c>
      <c r="G272" s="3164"/>
      <c r="I272" s="971"/>
      <c r="J272" s="3193"/>
      <c r="K272" s="3193"/>
      <c r="L272" s="3193"/>
      <c r="M272" s="3193"/>
      <c r="N272" s="3193"/>
      <c r="O272" s="3193"/>
      <c r="P272" s="3193"/>
      <c r="Q272" s="3193"/>
      <c r="R272" s="3193"/>
      <c r="S272" s="3193"/>
      <c r="T272" s="3193"/>
      <c r="U272" s="3193"/>
    </row>
    <row r="273" spans="1:21" s="960" customFormat="1" ht="14.25" customHeight="1">
      <c r="A273" s="3158" t="s">
        <v>1155</v>
      </c>
      <c r="B273" s="3158" t="s">
        <v>2950</v>
      </c>
      <c r="C273" s="3158"/>
      <c r="D273" s="3158"/>
      <c r="E273" s="3158"/>
      <c r="F273" s="3164">
        <v>1490</v>
      </c>
      <c r="G273" s="3164"/>
      <c r="I273" s="971"/>
      <c r="J273" s="3193"/>
      <c r="K273" s="3193"/>
      <c r="L273" s="3193"/>
      <c r="M273" s="3193"/>
      <c r="N273" s="3193"/>
      <c r="O273" s="3193"/>
      <c r="P273" s="3193"/>
      <c r="Q273" s="3193"/>
      <c r="R273" s="3193"/>
      <c r="S273" s="3193"/>
      <c r="T273" s="3193"/>
      <c r="U273" s="3193"/>
    </row>
    <row r="274" spans="1:21" s="960" customFormat="1" ht="14.25" customHeight="1">
      <c r="A274" s="3158" t="s">
        <v>1155</v>
      </c>
      <c r="B274" s="3158" t="s">
        <v>2951</v>
      </c>
      <c r="C274" s="3158"/>
      <c r="D274" s="3158"/>
      <c r="E274" s="3158"/>
      <c r="F274" s="3164">
        <v>1490</v>
      </c>
      <c r="G274" s="3164"/>
      <c r="I274" s="971"/>
      <c r="J274" s="3193"/>
      <c r="K274" s="3193"/>
      <c r="L274" s="3193"/>
      <c r="M274" s="3193"/>
      <c r="N274" s="3193"/>
      <c r="O274" s="3193"/>
      <c r="P274" s="3193"/>
      <c r="Q274" s="3193"/>
      <c r="R274" s="3193"/>
      <c r="S274" s="3193"/>
      <c r="T274" s="3193"/>
      <c r="U274" s="3193"/>
    </row>
    <row r="275" spans="1:21" s="960" customFormat="1" ht="14.25" customHeight="1">
      <c r="A275" s="3158" t="s">
        <v>1155</v>
      </c>
      <c r="B275" s="3158" t="s">
        <v>2952</v>
      </c>
      <c r="C275" s="3158"/>
      <c r="D275" s="3158"/>
      <c r="E275" s="3158"/>
      <c r="F275" s="3164">
        <v>1220</v>
      </c>
      <c r="G275" s="3164"/>
      <c r="I275" s="971"/>
      <c r="J275" s="3193"/>
      <c r="K275" s="3193"/>
      <c r="L275" s="3193"/>
      <c r="M275" s="3193"/>
      <c r="N275" s="3193"/>
      <c r="O275" s="3193"/>
      <c r="P275" s="3193"/>
      <c r="Q275" s="3193"/>
      <c r="R275" s="3193"/>
      <c r="S275" s="3193"/>
      <c r="T275" s="3193"/>
      <c r="U275" s="3193"/>
    </row>
    <row r="276" spans="1:21" s="960" customFormat="1" ht="14.25" customHeight="1" thickBot="1">
      <c r="A276" s="3173" t="s">
        <v>1155</v>
      </c>
      <c r="B276" s="3161" t="s">
        <v>2953</v>
      </c>
      <c r="C276" s="3161"/>
      <c r="D276" s="3161"/>
      <c r="E276" s="3161"/>
      <c r="F276" s="3162">
        <v>1380</v>
      </c>
      <c r="G276" s="3174"/>
      <c r="I276" s="971"/>
      <c r="J276" s="3193"/>
      <c r="K276" s="3193"/>
      <c r="L276" s="3193"/>
      <c r="M276" s="3193"/>
      <c r="N276" s="3193"/>
      <c r="O276" s="3193"/>
      <c r="P276" s="3193"/>
      <c r="Q276" s="3193"/>
      <c r="R276" s="3193"/>
      <c r="S276" s="3193"/>
      <c r="T276" s="3193"/>
      <c r="U276" s="3193"/>
    </row>
    <row r="277" spans="1:21" s="960" customFormat="1" ht="14.25" customHeight="1">
      <c r="A277" s="3172" t="s">
        <v>1156</v>
      </c>
      <c r="B277" s="1216" t="s">
        <v>2954</v>
      </c>
      <c r="C277" s="1216">
        <v>5790</v>
      </c>
      <c r="D277" s="1216">
        <v>5740</v>
      </c>
      <c r="E277" s="1216">
        <v>6730</v>
      </c>
      <c r="F277" s="3159">
        <v>1110</v>
      </c>
      <c r="G277" s="3159">
        <v>3460</v>
      </c>
      <c r="I277" s="971"/>
      <c r="J277" s="3193"/>
      <c r="K277" s="3193"/>
      <c r="L277" s="3193"/>
      <c r="M277" s="3193"/>
      <c r="N277" s="3193"/>
      <c r="O277" s="3193"/>
      <c r="P277" s="3193"/>
      <c r="Q277" s="3193"/>
      <c r="R277" s="3193"/>
      <c r="S277" s="3193"/>
      <c r="T277" s="3193"/>
      <c r="U277" s="3193"/>
    </row>
    <row r="278" spans="1:21" s="960" customFormat="1" ht="14.25" customHeight="1">
      <c r="A278" s="3158" t="s">
        <v>1156</v>
      </c>
      <c r="B278" s="3158" t="s">
        <v>980</v>
      </c>
      <c r="C278" s="3158">
        <v>5740</v>
      </c>
      <c r="D278" s="3158">
        <v>5670</v>
      </c>
      <c r="E278" s="3158">
        <v>6680</v>
      </c>
      <c r="F278" s="3164">
        <v>1070</v>
      </c>
      <c r="G278" s="3164">
        <v>3420</v>
      </c>
      <c r="I278" s="971"/>
      <c r="J278" s="3193"/>
      <c r="K278" s="3193"/>
      <c r="L278" s="3193"/>
      <c r="M278" s="3193"/>
      <c r="N278" s="3193"/>
      <c r="O278" s="3193"/>
      <c r="P278" s="3193"/>
      <c r="Q278" s="3193"/>
      <c r="R278" s="3193"/>
      <c r="S278" s="3193"/>
      <c r="T278" s="3193"/>
      <c r="U278" s="3193"/>
    </row>
    <row r="279" spans="1:21" s="960" customFormat="1" ht="14.25" customHeight="1">
      <c r="A279" s="3158" t="s">
        <v>1156</v>
      </c>
      <c r="B279" s="3158" t="s">
        <v>2955</v>
      </c>
      <c r="C279" s="3158">
        <v>4760</v>
      </c>
      <c r="D279" s="3158">
        <v>4720</v>
      </c>
      <c r="E279" s="3158">
        <v>5540</v>
      </c>
      <c r="F279" s="3164">
        <v>810</v>
      </c>
      <c r="G279" s="3164">
        <v>2850</v>
      </c>
      <c r="I279" s="971"/>
      <c r="J279" s="3193"/>
      <c r="K279" s="3193"/>
      <c r="L279" s="3193"/>
      <c r="M279" s="3193"/>
      <c r="N279" s="3193"/>
      <c r="O279" s="3193"/>
      <c r="P279" s="3193"/>
      <c r="Q279" s="3193"/>
      <c r="R279" s="3193"/>
      <c r="S279" s="3193"/>
      <c r="T279" s="3193"/>
      <c r="U279" s="3193"/>
    </row>
    <row r="280" spans="1:21" s="960" customFormat="1" ht="14.25" customHeight="1">
      <c r="A280" s="3158" t="s">
        <v>1156</v>
      </c>
      <c r="B280" s="3158" t="s">
        <v>2956</v>
      </c>
      <c r="C280" s="3158">
        <v>4010</v>
      </c>
      <c r="D280" s="3158">
        <v>3950</v>
      </c>
      <c r="E280" s="3158">
        <v>4710</v>
      </c>
      <c r="F280" s="3164">
        <v>800</v>
      </c>
      <c r="G280" s="3164">
        <v>2390</v>
      </c>
      <c r="I280" s="971"/>
      <c r="J280" s="3193"/>
      <c r="K280" s="3193"/>
      <c r="L280" s="3193"/>
      <c r="M280" s="3193"/>
      <c r="N280" s="3193"/>
      <c r="O280" s="3193"/>
      <c r="P280" s="3193"/>
      <c r="Q280" s="3193"/>
      <c r="R280" s="3193"/>
      <c r="S280" s="3193"/>
      <c r="T280" s="3193"/>
      <c r="U280" s="3193"/>
    </row>
    <row r="281" spans="1:21" s="960" customFormat="1" ht="14.25" customHeight="1">
      <c r="A281" s="3158" t="s">
        <v>1156</v>
      </c>
      <c r="B281" s="3158" t="s">
        <v>2957</v>
      </c>
      <c r="C281" s="3158">
        <v>4480</v>
      </c>
      <c r="D281" s="3158">
        <v>4420</v>
      </c>
      <c r="E281" s="3158">
        <v>5230</v>
      </c>
      <c r="F281" s="3164">
        <v>870</v>
      </c>
      <c r="G281" s="3164">
        <v>2660</v>
      </c>
      <c r="I281" s="971"/>
      <c r="J281" s="3193"/>
      <c r="K281" s="3193"/>
      <c r="L281" s="3193"/>
      <c r="M281" s="3193"/>
      <c r="N281" s="3193"/>
      <c r="O281" s="3193"/>
      <c r="P281" s="3193"/>
      <c r="Q281" s="3193"/>
      <c r="R281" s="3193"/>
      <c r="S281" s="3193"/>
      <c r="T281" s="3193"/>
      <c r="U281" s="3193"/>
    </row>
    <row r="282" spans="1:21" s="960" customFormat="1" ht="14.25" customHeight="1">
      <c r="A282" s="3158" t="s">
        <v>1156</v>
      </c>
      <c r="B282" s="3158" t="s">
        <v>2958</v>
      </c>
      <c r="C282" s="3158">
        <v>5360</v>
      </c>
      <c r="D282" s="3158">
        <v>5300</v>
      </c>
      <c r="E282" s="3158">
        <v>6190</v>
      </c>
      <c r="F282" s="3164">
        <v>950</v>
      </c>
      <c r="G282" s="3164">
        <v>3190</v>
      </c>
      <c r="I282" s="971"/>
      <c r="J282" s="3193"/>
      <c r="K282" s="3193"/>
      <c r="L282" s="3193"/>
      <c r="M282" s="3193"/>
      <c r="N282" s="3193"/>
      <c r="O282" s="3193"/>
      <c r="P282" s="3193"/>
      <c r="Q282" s="3193"/>
      <c r="R282" s="3193"/>
      <c r="S282" s="3193"/>
      <c r="T282" s="3193"/>
      <c r="U282" s="3193"/>
    </row>
    <row r="283" spans="1:21" s="960" customFormat="1" ht="14.25" customHeight="1">
      <c r="A283" s="3158" t="s">
        <v>1156</v>
      </c>
      <c r="B283" s="3158" t="s">
        <v>1021</v>
      </c>
      <c r="C283" s="3158">
        <v>4950</v>
      </c>
      <c r="D283" s="3158">
        <v>4900</v>
      </c>
      <c r="E283" s="3158">
        <v>5720</v>
      </c>
      <c r="F283" s="3164">
        <v>920</v>
      </c>
      <c r="G283" s="3164">
        <v>2950</v>
      </c>
      <c r="I283" s="971"/>
      <c r="J283" s="3193"/>
      <c r="K283" s="3193"/>
      <c r="L283" s="3193"/>
      <c r="M283" s="3193"/>
      <c r="N283" s="3193"/>
      <c r="O283" s="3193"/>
      <c r="P283" s="3193"/>
      <c r="Q283" s="3193"/>
      <c r="R283" s="3193"/>
      <c r="S283" s="3193"/>
      <c r="T283" s="3193"/>
      <c r="U283" s="3193"/>
    </row>
    <row r="284" spans="1:21" s="960" customFormat="1" ht="14.25" customHeight="1">
      <c r="A284" s="3158" t="s">
        <v>1156</v>
      </c>
      <c r="B284" s="3158" t="s">
        <v>1029</v>
      </c>
      <c r="C284" s="3158">
        <v>5610</v>
      </c>
      <c r="D284" s="3158">
        <v>5560</v>
      </c>
      <c r="E284" s="3158">
        <v>6520</v>
      </c>
      <c r="F284" s="3164">
        <v>1030</v>
      </c>
      <c r="G284" s="3164">
        <v>3360</v>
      </c>
      <c r="I284" s="971"/>
      <c r="J284" s="3193"/>
      <c r="K284" s="3193"/>
      <c r="L284" s="3193"/>
      <c r="M284" s="3193"/>
      <c r="N284" s="3193"/>
      <c r="O284" s="3193"/>
      <c r="P284" s="3193"/>
      <c r="Q284" s="3193"/>
      <c r="R284" s="3193"/>
      <c r="S284" s="3193"/>
      <c r="T284" s="3193"/>
      <c r="U284" s="3193"/>
    </row>
    <row r="285" spans="1:21" s="960" customFormat="1" ht="14.25" customHeight="1">
      <c r="A285" s="3158" t="s">
        <v>1156</v>
      </c>
      <c r="B285" s="3158" t="s">
        <v>1039</v>
      </c>
      <c r="C285" s="3158">
        <v>5340</v>
      </c>
      <c r="D285" s="3158">
        <v>5290</v>
      </c>
      <c r="E285" s="3158">
        <v>6170</v>
      </c>
      <c r="F285" s="3164">
        <v>1080</v>
      </c>
      <c r="G285" s="3164">
        <v>3180</v>
      </c>
      <c r="I285" s="971"/>
      <c r="J285" s="3193"/>
      <c r="K285" s="3193"/>
      <c r="L285" s="3193"/>
      <c r="M285" s="3193"/>
      <c r="N285" s="3193"/>
      <c r="O285" s="3193"/>
      <c r="P285" s="3193"/>
      <c r="Q285" s="3193"/>
      <c r="R285" s="3193"/>
      <c r="S285" s="3193"/>
      <c r="T285" s="3193"/>
      <c r="U285" s="3193"/>
    </row>
    <row r="286" spans="1:21" s="960" customFormat="1" ht="14.25" customHeight="1">
      <c r="A286" s="3158" t="s">
        <v>1156</v>
      </c>
      <c r="B286" s="3158" t="s">
        <v>1046</v>
      </c>
      <c r="C286" s="3158">
        <v>4890</v>
      </c>
      <c r="D286" s="3158">
        <v>4840</v>
      </c>
      <c r="E286" s="3158">
        <v>5640</v>
      </c>
      <c r="F286" s="3164">
        <v>960</v>
      </c>
      <c r="G286" s="3164">
        <v>2910</v>
      </c>
      <c r="I286" s="971"/>
      <c r="J286" s="3193"/>
      <c r="K286" s="3193"/>
      <c r="L286" s="3193"/>
      <c r="M286" s="3193"/>
      <c r="N286" s="3193"/>
      <c r="O286" s="3193"/>
      <c r="P286" s="3193"/>
      <c r="Q286" s="3193"/>
      <c r="R286" s="3193"/>
      <c r="S286" s="3193"/>
      <c r="T286" s="3193"/>
      <c r="U286" s="3193"/>
    </row>
    <row r="287" spans="1:21" s="960" customFormat="1" ht="14.25" customHeight="1">
      <c r="A287" s="3158" t="s">
        <v>1156</v>
      </c>
      <c r="B287" s="3158" t="s">
        <v>2959</v>
      </c>
      <c r="C287" s="3158">
        <v>4960</v>
      </c>
      <c r="D287" s="3158">
        <v>4920</v>
      </c>
      <c r="E287" s="3158">
        <v>5730</v>
      </c>
      <c r="F287" s="3164">
        <v>930</v>
      </c>
      <c r="G287" s="3164">
        <v>2960</v>
      </c>
      <c r="I287" s="971"/>
      <c r="J287" s="3193"/>
      <c r="K287" s="3193"/>
      <c r="L287" s="3193"/>
      <c r="M287" s="3193"/>
      <c r="N287" s="3193"/>
      <c r="O287" s="3193"/>
      <c r="P287" s="3193"/>
      <c r="Q287" s="3193"/>
      <c r="R287" s="3193"/>
      <c r="S287" s="3193"/>
      <c r="T287" s="3193"/>
      <c r="U287" s="3193"/>
    </row>
    <row r="288" spans="1:21" s="960" customFormat="1" ht="14.25" customHeight="1">
      <c r="A288" s="3158" t="s">
        <v>1156</v>
      </c>
      <c r="B288" s="3158" t="s">
        <v>1067</v>
      </c>
      <c r="C288" s="3158">
        <v>4350</v>
      </c>
      <c r="D288" s="3158">
        <v>4300</v>
      </c>
      <c r="E288" s="3158">
        <v>4900</v>
      </c>
      <c r="F288" s="3164">
        <v>820</v>
      </c>
      <c r="G288" s="3164">
        <v>2590</v>
      </c>
      <c r="I288" s="971"/>
      <c r="J288" s="3193"/>
      <c r="K288" s="3193"/>
      <c r="L288" s="3193"/>
      <c r="M288" s="3193"/>
      <c r="N288" s="3193"/>
      <c r="O288" s="3193"/>
      <c r="P288" s="3193"/>
      <c r="Q288" s="3193"/>
      <c r="R288" s="3193"/>
      <c r="S288" s="3193"/>
      <c r="T288" s="3193"/>
      <c r="U288" s="3193"/>
    </row>
    <row r="289" spans="1:21" s="960" customFormat="1" ht="14.25" customHeight="1">
      <c r="A289" s="3158" t="s">
        <v>1156</v>
      </c>
      <c r="B289" s="3158" t="s">
        <v>2960</v>
      </c>
      <c r="C289" s="3158">
        <v>5230</v>
      </c>
      <c r="D289" s="3158">
        <v>5170</v>
      </c>
      <c r="E289" s="3158">
        <v>6060</v>
      </c>
      <c r="F289" s="3158">
        <v>900</v>
      </c>
      <c r="G289" s="3158">
        <v>3120</v>
      </c>
      <c r="H289" s="957"/>
      <c r="I289" s="971"/>
      <c r="J289" s="3193"/>
      <c r="K289" s="3193"/>
      <c r="L289" s="3193"/>
      <c r="M289" s="3193"/>
      <c r="N289" s="3193"/>
      <c r="O289" s="3193"/>
      <c r="P289" s="3193"/>
      <c r="Q289" s="3193"/>
      <c r="R289" s="3193"/>
      <c r="S289" s="3193"/>
      <c r="T289" s="3193"/>
      <c r="U289" s="3193"/>
    </row>
    <row r="290" spans="1:21" s="960" customFormat="1" ht="14.25" customHeight="1">
      <c r="A290" s="1216" t="s">
        <v>1156</v>
      </c>
      <c r="B290" s="1216" t="s">
        <v>1090</v>
      </c>
      <c r="C290" s="1216">
        <v>5550</v>
      </c>
      <c r="D290" s="1216">
        <v>5500</v>
      </c>
      <c r="E290" s="1216">
        <v>6440</v>
      </c>
      <c r="F290" s="3159">
        <v>960</v>
      </c>
      <c r="G290" s="3175">
        <v>3320</v>
      </c>
      <c r="I290" s="971"/>
      <c r="J290" s="3193"/>
      <c r="K290" s="3193"/>
      <c r="L290" s="3193"/>
      <c r="M290" s="3193"/>
      <c r="N290" s="3193"/>
      <c r="O290" s="3193"/>
      <c r="P290" s="3193"/>
      <c r="Q290" s="3193"/>
      <c r="R290" s="3193"/>
      <c r="S290" s="3193"/>
      <c r="T290" s="3193"/>
      <c r="U290" s="3193"/>
    </row>
    <row r="291" spans="1:21" s="960" customFormat="1" ht="14.25" customHeight="1">
      <c r="A291" s="3158" t="s">
        <v>1156</v>
      </c>
      <c r="B291" s="3158" t="s">
        <v>1098</v>
      </c>
      <c r="C291" s="3158">
        <v>5440</v>
      </c>
      <c r="D291" s="3158">
        <v>5400</v>
      </c>
      <c r="E291" s="3158">
        <v>6320</v>
      </c>
      <c r="F291" s="3164">
        <v>930</v>
      </c>
      <c r="G291" s="3166">
        <v>3250</v>
      </c>
      <c r="I291" s="971"/>
      <c r="J291" s="3193"/>
      <c r="K291" s="3193"/>
      <c r="L291" s="3193"/>
      <c r="M291" s="3193"/>
      <c r="N291" s="3193"/>
      <c r="O291" s="3193"/>
      <c r="P291" s="3193"/>
      <c r="Q291" s="3193"/>
      <c r="R291" s="3193"/>
      <c r="S291" s="3193"/>
      <c r="T291" s="3193"/>
      <c r="U291" s="3193"/>
    </row>
    <row r="292" spans="1:21" s="960" customFormat="1" ht="14.25" customHeight="1">
      <c r="A292" s="3158" t="s">
        <v>1156</v>
      </c>
      <c r="B292" s="3158" t="s">
        <v>1104</v>
      </c>
      <c r="C292" s="3158">
        <v>5400</v>
      </c>
      <c r="D292" s="3158">
        <v>5360</v>
      </c>
      <c r="E292" s="3158">
        <v>6270</v>
      </c>
      <c r="F292" s="3164">
        <v>1040</v>
      </c>
      <c r="G292" s="3164">
        <v>3230</v>
      </c>
      <c r="I292" s="971"/>
      <c r="J292" s="3193"/>
      <c r="K292" s="3193"/>
      <c r="L292" s="3193"/>
      <c r="M292" s="3193"/>
      <c r="N292" s="3193"/>
      <c r="O292" s="3193"/>
      <c r="P292" s="3193"/>
      <c r="Q292" s="3193"/>
      <c r="R292" s="3193"/>
      <c r="S292" s="3193"/>
      <c r="T292" s="3193"/>
      <c r="U292" s="3193"/>
    </row>
    <row r="293" spans="1:21" s="960" customFormat="1" ht="14.25" customHeight="1">
      <c r="A293" s="3158" t="s">
        <v>1156</v>
      </c>
      <c r="B293" s="3158" t="s">
        <v>2961</v>
      </c>
      <c r="C293" s="3158">
        <v>5320</v>
      </c>
      <c r="D293" s="3158">
        <v>5270</v>
      </c>
      <c r="E293" s="3158">
        <v>6160</v>
      </c>
      <c r="F293" s="3164">
        <v>990</v>
      </c>
      <c r="G293" s="3164">
        <v>3170</v>
      </c>
      <c r="I293" s="971"/>
      <c r="J293" s="3193"/>
      <c r="K293" s="3193"/>
      <c r="L293" s="3193"/>
      <c r="M293" s="3193"/>
      <c r="N293" s="3193"/>
      <c r="O293" s="3193"/>
      <c r="P293" s="3193"/>
      <c r="Q293" s="3193"/>
      <c r="R293" s="3193"/>
      <c r="S293" s="3193"/>
      <c r="T293" s="3193"/>
      <c r="U293" s="3193"/>
    </row>
    <row r="294" spans="1:21" s="960" customFormat="1" ht="14.25" customHeight="1">
      <c r="A294" s="3158" t="s">
        <v>1156</v>
      </c>
      <c r="B294" s="3158" t="s">
        <v>2962</v>
      </c>
      <c r="C294" s="3158">
        <v>5260</v>
      </c>
      <c r="D294" s="3158">
        <v>5210</v>
      </c>
      <c r="E294" s="3158">
        <v>6100</v>
      </c>
      <c r="F294" s="3164">
        <v>950</v>
      </c>
      <c r="G294" s="3164">
        <v>3150</v>
      </c>
      <c r="I294" s="971"/>
      <c r="J294" s="3193"/>
      <c r="K294" s="3193"/>
      <c r="L294" s="3193"/>
      <c r="M294" s="3193"/>
      <c r="N294" s="3193"/>
      <c r="O294" s="3193"/>
      <c r="P294" s="3193"/>
      <c r="Q294" s="3193"/>
      <c r="R294" s="3193"/>
      <c r="S294" s="3193"/>
      <c r="T294" s="3193"/>
      <c r="U294" s="3193"/>
    </row>
    <row r="295" spans="1:21" s="960" customFormat="1" ht="14.25" customHeight="1">
      <c r="A295" s="3158" t="s">
        <v>1156</v>
      </c>
      <c r="B295" s="3158" t="s">
        <v>1139</v>
      </c>
      <c r="C295" s="3158">
        <v>5610</v>
      </c>
      <c r="D295" s="3158">
        <v>5570</v>
      </c>
      <c r="E295" s="3158">
        <v>6530</v>
      </c>
      <c r="F295" s="3164">
        <v>960</v>
      </c>
      <c r="G295" s="3164">
        <v>3360</v>
      </c>
      <c r="I295" s="971"/>
      <c r="J295" s="3193"/>
      <c r="K295" s="3193"/>
      <c r="L295" s="3193"/>
      <c r="M295" s="3193"/>
      <c r="N295" s="3193"/>
      <c r="O295" s="3193"/>
      <c r="P295" s="3193"/>
      <c r="Q295" s="3193"/>
      <c r="R295" s="3193"/>
      <c r="S295" s="3193"/>
      <c r="T295" s="3193"/>
      <c r="U295" s="3193"/>
    </row>
    <row r="296" spans="1:21" s="960" customFormat="1" ht="14.25" customHeight="1">
      <c r="A296" s="3158" t="s">
        <v>1156</v>
      </c>
      <c r="B296" s="3158" t="s">
        <v>1142</v>
      </c>
      <c r="C296" s="3158">
        <v>5540</v>
      </c>
      <c r="D296" s="3158">
        <v>5490</v>
      </c>
      <c r="E296" s="3158">
        <v>6430</v>
      </c>
      <c r="F296" s="3164">
        <v>980</v>
      </c>
      <c r="G296" s="3164">
        <v>3310</v>
      </c>
      <c r="I296" s="971"/>
      <c r="J296" s="3193"/>
      <c r="K296" s="3193"/>
      <c r="L296" s="3193"/>
      <c r="M296" s="3193"/>
      <c r="N296" s="3193"/>
      <c r="O296" s="3193"/>
      <c r="P296" s="3193"/>
      <c r="Q296" s="3193"/>
      <c r="R296" s="3193"/>
      <c r="S296" s="3193"/>
      <c r="T296" s="3193"/>
      <c r="U296" s="3193"/>
    </row>
    <row r="297" spans="1:21" s="960" customFormat="1" ht="14.25" customHeight="1">
      <c r="A297" s="3158" t="s">
        <v>1156</v>
      </c>
      <c r="B297" s="3158" t="s">
        <v>1144</v>
      </c>
      <c r="C297" s="3158">
        <v>5480</v>
      </c>
      <c r="D297" s="3158">
        <v>5420</v>
      </c>
      <c r="E297" s="3158">
        <v>6370</v>
      </c>
      <c r="F297" s="3164">
        <v>990</v>
      </c>
      <c r="G297" s="3164">
        <v>3270</v>
      </c>
      <c r="I297" s="971"/>
      <c r="J297" s="3193"/>
      <c r="K297" s="3193"/>
      <c r="L297" s="3193"/>
      <c r="M297" s="3193"/>
      <c r="N297" s="3193"/>
      <c r="O297" s="3193"/>
      <c r="P297" s="3193"/>
      <c r="Q297" s="3193"/>
      <c r="R297" s="3193"/>
      <c r="S297" s="3193"/>
      <c r="T297" s="3193"/>
      <c r="U297" s="3193"/>
    </row>
    <row r="298" spans="1:21" s="960" customFormat="1" ht="14.25" customHeight="1">
      <c r="A298" s="3158" t="s">
        <v>1156</v>
      </c>
      <c r="B298" s="3158" t="s">
        <v>1147</v>
      </c>
      <c r="C298" s="3158">
        <v>5090</v>
      </c>
      <c r="D298" s="3158">
        <v>5050</v>
      </c>
      <c r="E298" s="3158">
        <v>5910</v>
      </c>
      <c r="F298" s="3164">
        <v>900</v>
      </c>
      <c r="G298" s="3164">
        <v>3040</v>
      </c>
      <c r="I298" s="971"/>
      <c r="J298" s="3193"/>
      <c r="K298" s="3193"/>
      <c r="L298" s="3193"/>
      <c r="M298" s="3193"/>
      <c r="N298" s="3193"/>
      <c r="O298" s="3193"/>
      <c r="P298" s="3193"/>
      <c r="Q298" s="3193"/>
      <c r="R298" s="3193"/>
      <c r="S298" s="3193"/>
      <c r="T298" s="3193"/>
      <c r="U298" s="3193"/>
    </row>
    <row r="299" spans="1:21" s="960" customFormat="1" ht="14.25" customHeight="1">
      <c r="A299" s="3158" t="s">
        <v>1156</v>
      </c>
      <c r="B299" s="3158" t="s">
        <v>2963</v>
      </c>
      <c r="C299" s="3158">
        <v>5430</v>
      </c>
      <c r="D299" s="3158">
        <v>5380</v>
      </c>
      <c r="E299" s="3158">
        <v>6280</v>
      </c>
      <c r="F299" s="3164">
        <v>1000</v>
      </c>
      <c r="G299" s="3166">
        <v>3240</v>
      </c>
      <c r="I299" s="971"/>
      <c r="J299" s="3193"/>
      <c r="K299" s="3193"/>
      <c r="L299" s="3193"/>
      <c r="M299" s="3193"/>
      <c r="N299" s="3193"/>
      <c r="O299" s="3193"/>
      <c r="P299" s="3193"/>
      <c r="Q299" s="3193"/>
      <c r="R299" s="3193"/>
      <c r="S299" s="3193"/>
      <c r="T299" s="3193"/>
      <c r="U299" s="3193"/>
    </row>
    <row r="300" spans="1:21" s="960" customFormat="1" ht="14.25" customHeight="1">
      <c r="A300" s="3158" t="s">
        <v>1156</v>
      </c>
      <c r="B300" s="3158" t="s">
        <v>1119</v>
      </c>
      <c r="C300" s="3158">
        <v>4740</v>
      </c>
      <c r="D300" s="3158">
        <v>4680</v>
      </c>
      <c r="E300" s="3158">
        <v>5450</v>
      </c>
      <c r="F300" s="3164">
        <v>900</v>
      </c>
      <c r="G300" s="3164">
        <v>2830</v>
      </c>
      <c r="I300" s="971"/>
      <c r="J300" s="3193"/>
      <c r="K300" s="3193"/>
      <c r="L300" s="3193"/>
      <c r="M300" s="3193"/>
      <c r="N300" s="3193"/>
      <c r="O300" s="3193"/>
      <c r="P300" s="3193"/>
      <c r="Q300" s="3193"/>
      <c r="R300" s="3193"/>
      <c r="S300" s="3193"/>
      <c r="T300" s="3193"/>
      <c r="U300" s="3193"/>
    </row>
    <row r="301" spans="1:21" s="960" customFormat="1" ht="14.25" customHeight="1">
      <c r="A301" s="3158" t="s">
        <v>1156</v>
      </c>
      <c r="B301" s="3158" t="s">
        <v>1125</v>
      </c>
      <c r="C301" s="3158">
        <v>4870</v>
      </c>
      <c r="D301" s="3158">
        <v>4810</v>
      </c>
      <c r="E301" s="3158">
        <v>5560</v>
      </c>
      <c r="F301" s="3164">
        <v>990</v>
      </c>
      <c r="G301" s="3166">
        <v>2910</v>
      </c>
      <c r="I301" s="971"/>
      <c r="J301" s="3193"/>
      <c r="K301" s="3193"/>
      <c r="L301" s="3193"/>
      <c r="M301" s="3193"/>
      <c r="N301" s="3193"/>
      <c r="O301" s="3193"/>
      <c r="P301" s="3193"/>
      <c r="Q301" s="3193"/>
      <c r="R301" s="3193"/>
      <c r="S301" s="3193"/>
      <c r="T301" s="3193"/>
      <c r="U301" s="3193"/>
    </row>
    <row r="302" spans="1:21" s="960" customFormat="1" ht="14.25" customHeight="1">
      <c r="A302" s="3158" t="s">
        <v>1156</v>
      </c>
      <c r="B302" s="3158" t="s">
        <v>2964</v>
      </c>
      <c r="C302" s="3158">
        <v>5520</v>
      </c>
      <c r="D302" s="3158">
        <v>5470</v>
      </c>
      <c r="E302" s="3158">
        <v>6410</v>
      </c>
      <c r="F302" s="3164">
        <v>950</v>
      </c>
      <c r="G302" s="3164">
        <v>3300</v>
      </c>
      <c r="I302" s="971"/>
      <c r="J302" s="3193"/>
      <c r="K302" s="3193"/>
      <c r="L302" s="3193"/>
      <c r="M302" s="3193"/>
      <c r="N302" s="3193"/>
      <c r="O302" s="3193"/>
      <c r="P302" s="3193"/>
      <c r="Q302" s="3193"/>
      <c r="R302" s="3193"/>
      <c r="S302" s="3193"/>
      <c r="T302" s="3193"/>
      <c r="U302" s="3193"/>
    </row>
    <row r="303" spans="1:21" s="960" customFormat="1" ht="14.25" customHeight="1">
      <c r="A303" s="3158" t="s">
        <v>1156</v>
      </c>
      <c r="B303" s="3158" t="s">
        <v>2965</v>
      </c>
      <c r="C303" s="3158">
        <v>5630</v>
      </c>
      <c r="D303" s="3158">
        <v>5590</v>
      </c>
      <c r="E303" s="3158">
        <v>6550</v>
      </c>
      <c r="F303" s="3164">
        <v>1010</v>
      </c>
      <c r="G303" s="3164">
        <v>3370</v>
      </c>
      <c r="I303" s="971"/>
      <c r="J303" s="3193"/>
      <c r="K303" s="3193"/>
      <c r="L303" s="3193"/>
      <c r="M303" s="3193"/>
      <c r="N303" s="3193"/>
      <c r="O303" s="3193"/>
      <c r="P303" s="3193"/>
      <c r="Q303" s="3193"/>
      <c r="R303" s="3193"/>
      <c r="S303" s="3193"/>
      <c r="T303" s="3193"/>
      <c r="U303" s="3193"/>
    </row>
    <row r="304" spans="1:21" s="960" customFormat="1" ht="14.25" customHeight="1">
      <c r="A304" s="3158" t="s">
        <v>1156</v>
      </c>
      <c r="B304" s="3158" t="s">
        <v>2966</v>
      </c>
      <c r="C304" s="3158">
        <v>5680</v>
      </c>
      <c r="D304" s="3158">
        <v>5620</v>
      </c>
      <c r="E304" s="3158">
        <v>6620</v>
      </c>
      <c r="F304" s="3164">
        <v>1050</v>
      </c>
      <c r="G304" s="3166">
        <v>3390</v>
      </c>
      <c r="I304" s="971"/>
      <c r="J304" s="3193"/>
      <c r="K304" s="3193"/>
      <c r="L304" s="3193"/>
      <c r="M304" s="3193"/>
      <c r="N304" s="3193"/>
      <c r="O304" s="3193"/>
      <c r="P304" s="3193"/>
      <c r="Q304" s="3193"/>
      <c r="R304" s="3193"/>
      <c r="S304" s="3193"/>
      <c r="T304" s="3193"/>
      <c r="U304" s="3193"/>
    </row>
    <row r="305" spans="1:21" s="960" customFormat="1" ht="14.25" customHeight="1">
      <c r="A305" s="3158" t="s">
        <v>1156</v>
      </c>
      <c r="B305" s="3158" t="s">
        <v>2967</v>
      </c>
      <c r="C305" s="3158">
        <v>5590</v>
      </c>
      <c r="D305" s="3158">
        <v>5530</v>
      </c>
      <c r="E305" s="3158">
        <v>6460</v>
      </c>
      <c r="F305" s="3164">
        <v>900</v>
      </c>
      <c r="G305" s="3164">
        <v>3340</v>
      </c>
      <c r="I305" s="971"/>
      <c r="J305" s="3193"/>
      <c r="K305" s="3193"/>
      <c r="L305" s="3193"/>
      <c r="M305" s="3193"/>
      <c r="N305" s="3193"/>
      <c r="O305" s="3193"/>
      <c r="P305" s="3193"/>
      <c r="Q305" s="3193"/>
      <c r="R305" s="3193"/>
      <c r="S305" s="3193"/>
      <c r="T305" s="3193"/>
      <c r="U305" s="3193"/>
    </row>
    <row r="306" spans="1:21" s="960" customFormat="1" ht="14.25" customHeight="1">
      <c r="A306" s="3158" t="s">
        <v>1156</v>
      </c>
      <c r="B306" s="3158" t="s">
        <v>2968</v>
      </c>
      <c r="C306" s="3158">
        <v>5560</v>
      </c>
      <c r="D306" s="3158">
        <v>5510</v>
      </c>
      <c r="E306" s="3158">
        <v>6440</v>
      </c>
      <c r="F306" s="3164">
        <v>900</v>
      </c>
      <c r="G306" s="3166">
        <v>3320</v>
      </c>
      <c r="I306" s="971"/>
      <c r="J306" s="3193"/>
      <c r="K306" s="3193"/>
      <c r="L306" s="3193"/>
      <c r="M306" s="3193"/>
      <c r="N306" s="3193"/>
      <c r="O306" s="3193"/>
      <c r="P306" s="3193"/>
      <c r="Q306" s="3193"/>
      <c r="R306" s="3193"/>
      <c r="S306" s="3193"/>
      <c r="T306" s="3193"/>
      <c r="U306" s="3193"/>
    </row>
    <row r="307" spans="1:21" s="960" customFormat="1" ht="14.25" customHeight="1">
      <c r="A307" s="3158" t="s">
        <v>1156</v>
      </c>
      <c r="B307" s="3158" t="s">
        <v>2969</v>
      </c>
      <c r="C307" s="3158">
        <v>5650</v>
      </c>
      <c r="D307" s="3158">
        <v>5600</v>
      </c>
      <c r="E307" s="3158">
        <v>6590</v>
      </c>
      <c r="F307" s="3164">
        <v>930</v>
      </c>
      <c r="G307" s="3164">
        <v>3380</v>
      </c>
      <c r="I307" s="971"/>
      <c r="J307" s="3193"/>
      <c r="K307" s="3193"/>
      <c r="L307" s="3193"/>
      <c r="M307" s="3193"/>
      <c r="N307" s="3193"/>
      <c r="O307" s="3193"/>
      <c r="P307" s="3193"/>
      <c r="Q307" s="3193"/>
      <c r="R307" s="3193"/>
      <c r="S307" s="3193"/>
      <c r="T307" s="3193"/>
      <c r="U307" s="3193"/>
    </row>
    <row r="308" spans="1:21" s="960" customFormat="1" ht="14.25" customHeight="1">
      <c r="A308" s="3158" t="s">
        <v>1156</v>
      </c>
      <c r="B308" s="3158" t="s">
        <v>2970</v>
      </c>
      <c r="C308" s="3158">
        <v>5620</v>
      </c>
      <c r="D308" s="3158">
        <v>5580</v>
      </c>
      <c r="E308" s="3158">
        <v>6540</v>
      </c>
      <c r="F308" s="3164">
        <v>910</v>
      </c>
      <c r="G308" s="3164">
        <v>3370</v>
      </c>
      <c r="I308" s="971"/>
      <c r="J308" s="3193"/>
      <c r="K308" s="3193"/>
      <c r="L308" s="3193"/>
      <c r="M308" s="3193"/>
      <c r="N308" s="3193"/>
      <c r="O308" s="3193"/>
      <c r="P308" s="3193"/>
      <c r="Q308" s="3193"/>
      <c r="R308" s="3193"/>
      <c r="S308" s="3193"/>
      <c r="T308" s="3193"/>
      <c r="U308" s="3193"/>
    </row>
    <row r="309" spans="1:21" s="960" customFormat="1" ht="14.25" customHeight="1">
      <c r="A309" s="3158" t="s">
        <v>1156</v>
      </c>
      <c r="B309" s="3158" t="s">
        <v>2971</v>
      </c>
      <c r="C309" s="3158">
        <v>5060</v>
      </c>
      <c r="D309" s="3158">
        <v>5020</v>
      </c>
      <c r="E309" s="3158">
        <v>6370</v>
      </c>
      <c r="F309" s="3164">
        <v>800</v>
      </c>
      <c r="G309" s="3166">
        <v>3020</v>
      </c>
      <c r="I309" s="971"/>
      <c r="J309" s="3193"/>
      <c r="K309" s="3193"/>
      <c r="L309" s="3193"/>
      <c r="M309" s="3193"/>
      <c r="N309" s="3193"/>
      <c r="O309" s="3193"/>
      <c r="P309" s="3193"/>
      <c r="Q309" s="3193"/>
      <c r="R309" s="3193"/>
      <c r="S309" s="3193"/>
      <c r="T309" s="3193"/>
      <c r="U309" s="3193"/>
    </row>
    <row r="310" spans="1:21" s="960" customFormat="1" ht="14.25" customHeight="1">
      <c r="A310" s="3158" t="s">
        <v>1156</v>
      </c>
      <c r="B310" s="3158" t="s">
        <v>2972</v>
      </c>
      <c r="C310" s="3158">
        <v>5150</v>
      </c>
      <c r="D310" s="3158">
        <v>5110</v>
      </c>
      <c r="E310" s="3158">
        <v>6500</v>
      </c>
      <c r="F310" s="3164">
        <v>880</v>
      </c>
      <c r="G310" s="3164">
        <v>3080</v>
      </c>
      <c r="I310" s="971"/>
      <c r="J310" s="3193"/>
      <c r="K310" s="3193"/>
      <c r="L310" s="3193"/>
      <c r="M310" s="3193"/>
      <c r="N310" s="3193"/>
      <c r="O310" s="3193"/>
      <c r="P310" s="3193"/>
      <c r="Q310" s="3193"/>
      <c r="R310" s="3193"/>
      <c r="S310" s="3193"/>
      <c r="T310" s="3193"/>
      <c r="U310" s="3193"/>
    </row>
    <row r="311" spans="1:21" s="960" customFormat="1" ht="14.25" customHeight="1">
      <c r="A311" s="3158" t="s">
        <v>1156</v>
      </c>
      <c r="B311" s="3158" t="s">
        <v>2973</v>
      </c>
      <c r="C311" s="3158">
        <v>4750</v>
      </c>
      <c r="D311" s="3158">
        <v>4710</v>
      </c>
      <c r="E311" s="3158">
        <v>5510</v>
      </c>
      <c r="F311" s="3164">
        <v>880</v>
      </c>
      <c r="G311" s="3164">
        <v>2840</v>
      </c>
      <c r="I311" s="971"/>
      <c r="J311" s="3193"/>
      <c r="K311" s="3193"/>
      <c r="L311" s="3193"/>
      <c r="M311" s="3193"/>
      <c r="N311" s="3193"/>
      <c r="O311" s="3193"/>
      <c r="P311" s="3193"/>
      <c r="Q311" s="3193"/>
      <c r="R311" s="3193"/>
      <c r="S311" s="3193"/>
      <c r="T311" s="3193"/>
      <c r="U311" s="3193"/>
    </row>
    <row r="312" spans="1:21" s="960" customFormat="1" ht="14.25" customHeight="1">
      <c r="A312" s="3158" t="s">
        <v>1156</v>
      </c>
      <c r="B312" s="3158" t="s">
        <v>2974</v>
      </c>
      <c r="C312" s="3158">
        <v>4690</v>
      </c>
      <c r="D312" s="3158">
        <v>4640</v>
      </c>
      <c r="E312" s="3158">
        <v>5420</v>
      </c>
      <c r="F312" s="3164">
        <v>800</v>
      </c>
      <c r="G312" s="3164">
        <v>2800</v>
      </c>
      <c r="I312" s="971"/>
      <c r="J312" s="3193"/>
      <c r="K312" s="3193"/>
      <c r="L312" s="3193"/>
      <c r="M312" s="3193"/>
      <c r="N312" s="3193"/>
      <c r="O312" s="3193"/>
      <c r="P312" s="3193"/>
      <c r="Q312" s="3193"/>
      <c r="R312" s="3193"/>
      <c r="S312" s="3193"/>
      <c r="T312" s="3193"/>
      <c r="U312" s="3193"/>
    </row>
    <row r="313" spans="1:21" s="960" customFormat="1" ht="14.25" customHeight="1">
      <c r="A313" s="3158" t="s">
        <v>1156</v>
      </c>
      <c r="B313" s="3158" t="s">
        <v>2975</v>
      </c>
      <c r="C313" s="3158">
        <v>4810</v>
      </c>
      <c r="D313" s="3158">
        <v>4760</v>
      </c>
      <c r="E313" s="3158">
        <v>5550</v>
      </c>
      <c r="F313" s="3164">
        <v>920</v>
      </c>
      <c r="G313" s="3164">
        <v>2870</v>
      </c>
      <c r="I313" s="971"/>
      <c r="J313" s="3193"/>
      <c r="K313" s="3193"/>
      <c r="L313" s="3193"/>
      <c r="M313" s="3193"/>
      <c r="N313" s="3193"/>
      <c r="O313" s="3193"/>
      <c r="P313" s="3193"/>
      <c r="Q313" s="3193"/>
      <c r="R313" s="3193"/>
      <c r="S313" s="3193"/>
      <c r="T313" s="3193"/>
      <c r="U313" s="3193"/>
    </row>
    <row r="314" spans="1:21" s="960" customFormat="1" ht="14.25" customHeight="1">
      <c r="A314" s="3158" t="s">
        <v>1156</v>
      </c>
      <c r="B314" s="3158" t="s">
        <v>2976</v>
      </c>
      <c r="C314" s="3158"/>
      <c r="D314" s="3158"/>
      <c r="E314" s="3158"/>
      <c r="F314" s="3164">
        <v>1020</v>
      </c>
      <c r="G314" s="3164"/>
      <c r="I314" s="971"/>
      <c r="J314" s="3193"/>
      <c r="K314" s="3193"/>
      <c r="L314" s="3193"/>
      <c r="M314" s="3193"/>
      <c r="N314" s="3193"/>
      <c r="O314" s="3193"/>
      <c r="P314" s="3193"/>
      <c r="Q314" s="3193"/>
      <c r="R314" s="3193"/>
      <c r="S314" s="3193"/>
      <c r="T314" s="3193"/>
      <c r="U314" s="3193"/>
    </row>
    <row r="315" spans="1:21" s="960" customFormat="1" ht="14.25" customHeight="1">
      <c r="A315" s="3158" t="s">
        <v>1156</v>
      </c>
      <c r="B315" s="3158" t="s">
        <v>2977</v>
      </c>
      <c r="C315" s="3158"/>
      <c r="D315" s="3158"/>
      <c r="E315" s="3158"/>
      <c r="F315" s="3164">
        <v>1050</v>
      </c>
      <c r="G315" s="3164"/>
      <c r="I315" s="971"/>
      <c r="J315" s="3193"/>
      <c r="K315" s="3193"/>
      <c r="L315" s="3193"/>
      <c r="M315" s="3193"/>
      <c r="N315" s="3193"/>
      <c r="O315" s="3193"/>
      <c r="P315" s="3193"/>
      <c r="Q315" s="3193"/>
      <c r="R315" s="3193"/>
      <c r="S315" s="3193"/>
      <c r="T315" s="3193"/>
      <c r="U315" s="3193"/>
    </row>
    <row r="316" spans="1:21" s="960" customFormat="1" ht="14.25" customHeight="1">
      <c r="A316" s="3158" t="s">
        <v>1156</v>
      </c>
      <c r="B316" s="3158" t="s">
        <v>2978</v>
      </c>
      <c r="C316" s="3158"/>
      <c r="D316" s="3158"/>
      <c r="E316" s="3158"/>
      <c r="F316" s="3164">
        <v>900</v>
      </c>
      <c r="G316" s="3171"/>
      <c r="I316" s="971"/>
      <c r="J316" s="3193"/>
      <c r="K316" s="3193"/>
      <c r="L316" s="3193"/>
      <c r="M316" s="3193"/>
      <c r="N316" s="3193"/>
      <c r="O316" s="3193"/>
      <c r="P316" s="3193"/>
      <c r="Q316" s="3193"/>
      <c r="R316" s="3193"/>
      <c r="S316" s="3193"/>
      <c r="T316" s="3193"/>
      <c r="U316" s="3193"/>
    </row>
    <row r="317" spans="1:21" s="960" customFormat="1" ht="14.25" customHeight="1">
      <c r="A317" s="1216" t="s">
        <v>1156</v>
      </c>
      <c r="B317" s="1216" t="s">
        <v>2979</v>
      </c>
      <c r="C317" s="1216"/>
      <c r="D317" s="1216"/>
      <c r="E317" s="1216"/>
      <c r="F317" s="3159">
        <v>920</v>
      </c>
      <c r="G317" s="3159"/>
      <c r="I317" s="957"/>
      <c r="J317" s="3193"/>
      <c r="K317" s="3193"/>
      <c r="L317" s="3193"/>
      <c r="M317" s="3193"/>
      <c r="N317" s="3193"/>
      <c r="O317" s="3193"/>
      <c r="P317" s="3193"/>
      <c r="Q317" s="3193"/>
      <c r="R317" s="3193"/>
      <c r="S317" s="3193"/>
      <c r="T317" s="3193"/>
      <c r="U317" s="3193"/>
    </row>
    <row r="318" spans="1:21" s="960" customFormat="1" ht="14.25" customHeight="1">
      <c r="A318" s="3158" t="s">
        <v>1156</v>
      </c>
      <c r="B318" s="3158" t="s">
        <v>2980</v>
      </c>
      <c r="C318" s="3158"/>
      <c r="D318" s="3158"/>
      <c r="E318" s="3158"/>
      <c r="F318" s="3164">
        <v>1080</v>
      </c>
      <c r="G318" s="3166"/>
      <c r="I318" s="957"/>
      <c r="J318" s="3193"/>
      <c r="K318" s="3193"/>
      <c r="L318" s="3193"/>
      <c r="M318" s="3193"/>
      <c r="N318" s="3193"/>
      <c r="O318" s="3193"/>
      <c r="P318" s="3193"/>
      <c r="Q318" s="3193"/>
      <c r="R318" s="3193"/>
      <c r="S318" s="3193"/>
      <c r="T318" s="3193"/>
      <c r="U318" s="3193"/>
    </row>
    <row r="319" spans="1:21" s="960" customFormat="1" ht="14.25" customHeight="1">
      <c r="A319" s="3158" t="s">
        <v>1156</v>
      </c>
      <c r="B319" s="3158" t="s">
        <v>2981</v>
      </c>
      <c r="C319" s="3158"/>
      <c r="D319" s="3158"/>
      <c r="E319" s="3158"/>
      <c r="F319" s="3164">
        <v>1020</v>
      </c>
      <c r="G319" s="3164"/>
      <c r="I319" s="957"/>
      <c r="J319" s="3193"/>
      <c r="K319" s="3193"/>
      <c r="L319" s="3193"/>
      <c r="M319" s="3193"/>
      <c r="N319" s="3193"/>
      <c r="O319" s="3193"/>
      <c r="P319" s="3193"/>
      <c r="Q319" s="3193"/>
      <c r="R319" s="3193"/>
      <c r="S319" s="3193"/>
      <c r="T319" s="3193"/>
      <c r="U319" s="3193"/>
    </row>
    <row r="320" spans="1:21" s="960" customFormat="1" ht="14.25" customHeight="1">
      <c r="A320" s="3158" t="s">
        <v>1156</v>
      </c>
      <c r="B320" s="3158" t="s">
        <v>2982</v>
      </c>
      <c r="C320" s="3158"/>
      <c r="D320" s="3158"/>
      <c r="E320" s="3158"/>
      <c r="F320" s="3164">
        <v>1050</v>
      </c>
      <c r="G320" s="3166"/>
      <c r="I320" s="957"/>
      <c r="J320" s="3193"/>
      <c r="K320" s="3193"/>
      <c r="L320" s="3193"/>
      <c r="M320" s="3193"/>
      <c r="N320" s="3193"/>
      <c r="O320" s="3193"/>
      <c r="P320" s="3193"/>
      <c r="Q320" s="3193"/>
      <c r="R320" s="3193"/>
      <c r="S320" s="3193"/>
      <c r="T320" s="3193"/>
      <c r="U320" s="3193"/>
    </row>
    <row r="321" spans="1:21" s="960" customFormat="1" ht="14.25" customHeight="1">
      <c r="A321" s="3158" t="s">
        <v>1156</v>
      </c>
      <c r="B321" s="3158" t="s">
        <v>2983</v>
      </c>
      <c r="C321" s="3158"/>
      <c r="D321" s="3158"/>
      <c r="E321" s="3158"/>
      <c r="F321" s="3164">
        <v>960</v>
      </c>
      <c r="G321" s="3166"/>
      <c r="I321" s="957"/>
      <c r="J321" s="3193"/>
      <c r="K321" s="3193"/>
      <c r="L321" s="3193"/>
      <c r="M321" s="3193"/>
      <c r="N321" s="3193"/>
      <c r="O321" s="3193"/>
      <c r="P321" s="3193"/>
      <c r="Q321" s="3193"/>
      <c r="R321" s="3193"/>
      <c r="S321" s="3193"/>
      <c r="T321" s="3193"/>
      <c r="U321" s="3193"/>
    </row>
    <row r="322" spans="1:21" s="960" customFormat="1" ht="14.25" customHeight="1">
      <c r="A322" s="3158" t="s">
        <v>1156</v>
      </c>
      <c r="B322" s="3158" t="s">
        <v>2984</v>
      </c>
      <c r="C322" s="3158"/>
      <c r="D322" s="3158"/>
      <c r="E322" s="3158"/>
      <c r="F322" s="3164">
        <v>960</v>
      </c>
      <c r="G322" s="3164"/>
      <c r="I322" s="957"/>
      <c r="J322" s="3193"/>
      <c r="K322" s="3193"/>
      <c r="L322" s="3193"/>
      <c r="M322" s="3193"/>
      <c r="N322" s="3193"/>
      <c r="O322" s="3193"/>
      <c r="P322" s="3193"/>
      <c r="Q322" s="3193"/>
      <c r="R322" s="3193"/>
      <c r="S322" s="3193"/>
      <c r="T322" s="3193"/>
      <c r="U322" s="3193"/>
    </row>
    <row r="323" spans="1:21" s="960" customFormat="1" ht="14.25" customHeight="1">
      <c r="A323" s="3158" t="s">
        <v>1156</v>
      </c>
      <c r="B323" s="3158" t="s">
        <v>2985</v>
      </c>
      <c r="C323" s="3158"/>
      <c r="D323" s="3158"/>
      <c r="E323" s="3158"/>
      <c r="F323" s="3164">
        <v>880</v>
      </c>
      <c r="G323" s="3166"/>
      <c r="I323" s="957"/>
      <c r="J323" s="3193"/>
      <c r="K323" s="3193"/>
      <c r="L323" s="3193"/>
      <c r="M323" s="3193"/>
      <c r="N323" s="3193"/>
      <c r="O323" s="3193"/>
      <c r="P323" s="3193"/>
      <c r="Q323" s="3193"/>
      <c r="R323" s="3193"/>
      <c r="S323" s="3193"/>
      <c r="T323" s="3193"/>
      <c r="U323" s="3193"/>
    </row>
    <row r="324" spans="1:21" s="960" customFormat="1" ht="14.25" customHeight="1">
      <c r="A324" s="3158" t="s">
        <v>1156</v>
      </c>
      <c r="B324" s="3158" t="s">
        <v>2986</v>
      </c>
      <c r="C324" s="3158"/>
      <c r="D324" s="3158"/>
      <c r="E324" s="3158"/>
      <c r="F324" s="3164">
        <v>930</v>
      </c>
      <c r="G324" s="3166"/>
      <c r="I324" s="957"/>
      <c r="J324" s="3193"/>
      <c r="K324" s="3193"/>
      <c r="L324" s="3193"/>
      <c r="M324" s="3193"/>
      <c r="N324" s="3193"/>
      <c r="O324" s="3193"/>
      <c r="P324" s="3193"/>
      <c r="Q324" s="3193"/>
      <c r="R324" s="3193"/>
      <c r="S324" s="3193"/>
      <c r="T324" s="3193"/>
      <c r="U324" s="3193"/>
    </row>
    <row r="325" spans="1:21" s="960" customFormat="1" ht="14.25" customHeight="1">
      <c r="A325" s="3158" t="s">
        <v>1156</v>
      </c>
      <c r="B325" s="3158" t="s">
        <v>2987</v>
      </c>
      <c r="C325" s="3158"/>
      <c r="D325" s="3158"/>
      <c r="E325" s="3158"/>
      <c r="F325" s="3164">
        <v>900</v>
      </c>
      <c r="G325" s="3164"/>
      <c r="I325" s="957"/>
      <c r="J325" s="3193"/>
      <c r="K325" s="3193"/>
      <c r="L325" s="3193"/>
      <c r="M325" s="3193"/>
      <c r="N325" s="3193"/>
      <c r="O325" s="3193"/>
      <c r="P325" s="3193"/>
      <c r="Q325" s="3193"/>
      <c r="R325" s="3193"/>
      <c r="S325" s="3193"/>
      <c r="T325" s="3193"/>
      <c r="U325" s="3193"/>
    </row>
    <row r="326" spans="1:21" s="960" customFormat="1" ht="14.25" customHeight="1" thickBot="1">
      <c r="A326" s="3173" t="s">
        <v>1156</v>
      </c>
      <c r="B326" s="3161" t="s">
        <v>2988</v>
      </c>
      <c r="C326" s="3161"/>
      <c r="D326" s="3161"/>
      <c r="E326" s="3161"/>
      <c r="F326" s="3162">
        <v>790</v>
      </c>
      <c r="G326" s="3177"/>
      <c r="I326" s="957"/>
      <c r="J326" s="3193"/>
      <c r="K326" s="3193"/>
      <c r="L326" s="3193"/>
      <c r="M326" s="3193"/>
      <c r="N326" s="3193"/>
      <c r="O326" s="3193"/>
      <c r="P326" s="3193"/>
      <c r="Q326" s="3193"/>
      <c r="R326" s="3193"/>
      <c r="S326" s="3193"/>
      <c r="T326" s="3193"/>
      <c r="U326" s="3193"/>
    </row>
    <row r="327" spans="1:21" s="960" customFormat="1" ht="14.25" customHeight="1">
      <c r="A327" s="3172" t="s">
        <v>1157</v>
      </c>
      <c r="B327" s="2406" t="s">
        <v>2989</v>
      </c>
      <c r="C327" s="2406">
        <v>3750</v>
      </c>
      <c r="D327" s="2406">
        <v>3710</v>
      </c>
      <c r="E327" s="2406">
        <v>4080</v>
      </c>
      <c r="F327" s="3180">
        <v>860</v>
      </c>
      <c r="G327" s="3180">
        <v>2210</v>
      </c>
      <c r="I327" s="957"/>
      <c r="J327" s="3193"/>
      <c r="K327" s="3193"/>
      <c r="L327" s="3193"/>
      <c r="M327" s="3193"/>
      <c r="N327" s="3193"/>
      <c r="O327" s="3193"/>
      <c r="P327" s="3193"/>
      <c r="Q327" s="3193"/>
      <c r="R327" s="3193"/>
      <c r="S327" s="3193"/>
      <c r="T327" s="3193"/>
      <c r="U327" s="3193"/>
    </row>
    <row r="328" spans="1:21" s="960" customFormat="1" ht="14.25" customHeight="1">
      <c r="A328" s="3158" t="s">
        <v>1157</v>
      </c>
      <c r="B328" s="3158" t="s">
        <v>981</v>
      </c>
      <c r="C328" s="3158">
        <v>3330</v>
      </c>
      <c r="D328" s="3158">
        <v>3290</v>
      </c>
      <c r="E328" s="3158">
        <v>3610</v>
      </c>
      <c r="F328" s="3158">
        <v>850</v>
      </c>
      <c r="G328" s="3158">
        <v>1960</v>
      </c>
      <c r="H328" s="957"/>
      <c r="I328" s="957"/>
      <c r="J328" s="3193"/>
      <c r="K328" s="3193"/>
      <c r="L328" s="3193"/>
      <c r="M328" s="3193"/>
      <c r="N328" s="3193"/>
      <c r="O328" s="3193"/>
      <c r="P328" s="3193"/>
      <c r="Q328" s="3193"/>
      <c r="R328" s="3193"/>
      <c r="S328" s="3193"/>
      <c r="T328" s="3193"/>
      <c r="U328" s="3193"/>
    </row>
    <row r="329" spans="1:21" s="960" customFormat="1" ht="14.25" customHeight="1">
      <c r="A329" s="3158" t="s">
        <v>1157</v>
      </c>
      <c r="B329" s="3158" t="s">
        <v>2990</v>
      </c>
      <c r="C329" s="3158">
        <v>2730</v>
      </c>
      <c r="D329" s="3158">
        <v>2690</v>
      </c>
      <c r="E329" s="3158">
        <v>3100</v>
      </c>
      <c r="F329" s="3158">
        <v>660</v>
      </c>
      <c r="G329" s="3158">
        <v>1610</v>
      </c>
      <c r="H329" s="957"/>
      <c r="I329" s="957"/>
      <c r="J329" s="3193"/>
      <c r="K329" s="3193"/>
      <c r="L329" s="3193"/>
      <c r="M329" s="3193"/>
      <c r="N329" s="3193"/>
      <c r="O329" s="3193"/>
      <c r="P329" s="3193"/>
      <c r="Q329" s="3193"/>
      <c r="R329" s="3193"/>
      <c r="S329" s="3193"/>
      <c r="T329" s="3193"/>
      <c r="U329" s="3193"/>
    </row>
    <row r="330" spans="1:21" s="960" customFormat="1" ht="14.25" customHeight="1">
      <c r="A330" s="3158" t="s">
        <v>1157</v>
      </c>
      <c r="B330" s="3158" t="s">
        <v>2991</v>
      </c>
      <c r="C330" s="3158">
        <v>3270</v>
      </c>
      <c r="D330" s="3158">
        <v>3240</v>
      </c>
      <c r="E330" s="3158">
        <v>3560</v>
      </c>
      <c r="F330" s="3158">
        <v>680</v>
      </c>
      <c r="G330" s="3167">
        <v>1940</v>
      </c>
      <c r="H330" s="957"/>
      <c r="I330" s="957"/>
      <c r="J330" s="3193"/>
      <c r="K330" s="3193"/>
      <c r="L330" s="3193"/>
      <c r="M330" s="3193"/>
      <c r="N330" s="3193"/>
      <c r="O330" s="3193"/>
      <c r="P330" s="3193"/>
      <c r="Q330" s="3193"/>
      <c r="R330" s="3193"/>
      <c r="S330" s="3193"/>
      <c r="T330" s="3193"/>
      <c r="U330" s="3193"/>
    </row>
    <row r="331" spans="1:21" s="960" customFormat="1" ht="14.25" customHeight="1">
      <c r="A331" s="3158" t="s">
        <v>1157</v>
      </c>
      <c r="B331" s="3158" t="s">
        <v>1008</v>
      </c>
      <c r="C331" s="3158">
        <v>3770</v>
      </c>
      <c r="D331" s="3158">
        <v>3740</v>
      </c>
      <c r="E331" s="3158">
        <v>4110</v>
      </c>
      <c r="F331" s="3158">
        <v>730</v>
      </c>
      <c r="G331" s="3158">
        <v>2230</v>
      </c>
      <c r="H331" s="957"/>
      <c r="I331" s="957"/>
      <c r="J331" s="3193"/>
      <c r="K331" s="3193"/>
      <c r="L331" s="3193"/>
      <c r="M331" s="3193"/>
      <c r="N331" s="3193"/>
      <c r="O331" s="3193"/>
      <c r="P331" s="3193"/>
      <c r="Q331" s="3193"/>
      <c r="R331" s="3193"/>
      <c r="S331" s="3193"/>
      <c r="T331" s="3193"/>
      <c r="U331" s="3193"/>
    </row>
    <row r="332" spans="1:21" s="960" customFormat="1" ht="14.25" customHeight="1">
      <c r="A332" s="3158" t="s">
        <v>1157</v>
      </c>
      <c r="B332" s="3158" t="s">
        <v>2992</v>
      </c>
      <c r="C332" s="3158">
        <v>3520</v>
      </c>
      <c r="D332" s="3158">
        <v>3480</v>
      </c>
      <c r="E332" s="3158">
        <v>3830</v>
      </c>
      <c r="F332" s="3158">
        <v>720</v>
      </c>
      <c r="G332" s="3158">
        <v>2090</v>
      </c>
      <c r="H332" s="957"/>
      <c r="I332" s="957"/>
      <c r="J332" s="3193"/>
      <c r="K332" s="3193"/>
      <c r="L332" s="3193"/>
      <c r="M332" s="3193"/>
      <c r="N332" s="3193"/>
      <c r="O332" s="3193"/>
      <c r="P332" s="3193"/>
      <c r="Q332" s="3193"/>
      <c r="R332" s="3193"/>
      <c r="S332" s="3193"/>
      <c r="T332" s="3193"/>
      <c r="U332" s="3193"/>
    </row>
    <row r="333" spans="1:21" s="960" customFormat="1" ht="14.25" customHeight="1">
      <c r="A333" s="3158" t="s">
        <v>1157</v>
      </c>
      <c r="B333" s="3158" t="s">
        <v>2993</v>
      </c>
      <c r="C333" s="3158">
        <v>3840</v>
      </c>
      <c r="D333" s="3158">
        <v>3800</v>
      </c>
      <c r="E333" s="3158">
        <v>4200</v>
      </c>
      <c r="F333" s="3158">
        <v>760</v>
      </c>
      <c r="G333" s="3158">
        <v>2270</v>
      </c>
      <c r="H333" s="957"/>
      <c r="I333" s="957"/>
      <c r="J333" s="3193"/>
      <c r="K333" s="3193"/>
      <c r="L333" s="3193"/>
      <c r="M333" s="3193"/>
      <c r="N333" s="3193"/>
      <c r="O333" s="3193"/>
      <c r="P333" s="3193"/>
      <c r="Q333" s="3193"/>
      <c r="R333" s="3193"/>
      <c r="S333" s="3193"/>
      <c r="T333" s="3193"/>
      <c r="U333" s="3193"/>
    </row>
    <row r="334" spans="1:21" s="960" customFormat="1" ht="14.25" customHeight="1">
      <c r="A334" s="3158" t="s">
        <v>1157</v>
      </c>
      <c r="B334" s="3158" t="s">
        <v>1030</v>
      </c>
      <c r="C334" s="3158">
        <v>3960</v>
      </c>
      <c r="D334" s="3158">
        <v>3910</v>
      </c>
      <c r="E334" s="3158">
        <v>4340</v>
      </c>
      <c r="F334" s="3158">
        <v>780</v>
      </c>
      <c r="G334" s="3158">
        <v>2340</v>
      </c>
      <c r="H334" s="957"/>
      <c r="I334" s="957"/>
      <c r="J334" s="3193"/>
      <c r="K334" s="3193"/>
      <c r="L334" s="3193"/>
      <c r="M334" s="3193"/>
      <c r="N334" s="3193"/>
      <c r="O334" s="3193"/>
      <c r="P334" s="3193"/>
      <c r="Q334" s="3193"/>
      <c r="R334" s="3193"/>
      <c r="S334" s="3193"/>
      <c r="T334" s="3193"/>
      <c r="U334" s="3193"/>
    </row>
    <row r="335" spans="1:21" s="960" customFormat="1" ht="14.25" customHeight="1">
      <c r="A335" s="3158" t="s">
        <v>1157</v>
      </c>
      <c r="B335" s="3158" t="s">
        <v>1040</v>
      </c>
      <c r="C335" s="3158">
        <v>3710</v>
      </c>
      <c r="D335" s="3158">
        <v>3670</v>
      </c>
      <c r="E335" s="3158">
        <v>4030</v>
      </c>
      <c r="F335" s="3158">
        <v>750</v>
      </c>
      <c r="G335" s="3167">
        <v>2200</v>
      </c>
      <c r="H335" s="957"/>
      <c r="I335" s="957"/>
      <c r="J335" s="3193"/>
      <c r="K335" s="3193"/>
      <c r="L335" s="3193"/>
      <c r="M335" s="3193"/>
      <c r="N335" s="3193"/>
      <c r="O335" s="3193"/>
      <c r="P335" s="3193"/>
      <c r="Q335" s="3193"/>
      <c r="R335" s="3193"/>
      <c r="S335" s="3193"/>
      <c r="T335" s="3193"/>
      <c r="U335" s="3193"/>
    </row>
    <row r="336" spans="1:21" s="960" customFormat="1" ht="14.25" customHeight="1">
      <c r="A336" s="3158" t="s">
        <v>1157</v>
      </c>
      <c r="B336" s="3158" t="s">
        <v>2994</v>
      </c>
      <c r="C336" s="3158">
        <v>3570</v>
      </c>
      <c r="D336" s="3158">
        <v>3530</v>
      </c>
      <c r="E336" s="3158">
        <v>3880</v>
      </c>
      <c r="F336" s="3158">
        <v>770</v>
      </c>
      <c r="G336" s="3158">
        <v>2110</v>
      </c>
      <c r="H336" s="957"/>
      <c r="I336" s="957"/>
      <c r="J336" s="3193"/>
      <c r="K336" s="3193"/>
      <c r="L336" s="3193"/>
      <c r="M336" s="3193"/>
      <c r="N336" s="3193"/>
      <c r="O336" s="3193"/>
      <c r="P336" s="3193"/>
      <c r="Q336" s="3193"/>
      <c r="R336" s="3193"/>
      <c r="S336" s="3193"/>
      <c r="T336" s="3193"/>
      <c r="U336" s="3193"/>
    </row>
    <row r="337" spans="1:21" s="960" customFormat="1" ht="14.25" customHeight="1">
      <c r="A337" s="3158" t="s">
        <v>1157</v>
      </c>
      <c r="B337" s="3158" t="s">
        <v>2995</v>
      </c>
      <c r="C337" s="3158">
        <v>3780</v>
      </c>
      <c r="D337" s="3158">
        <v>3750</v>
      </c>
      <c r="E337" s="3158">
        <v>4130</v>
      </c>
      <c r="F337" s="3158">
        <v>750</v>
      </c>
      <c r="G337" s="3158">
        <v>2240</v>
      </c>
      <c r="H337" s="957"/>
      <c r="I337" s="957"/>
      <c r="J337" s="3193"/>
      <c r="K337" s="3193"/>
      <c r="L337" s="3193"/>
      <c r="M337" s="3193"/>
      <c r="N337" s="3193"/>
      <c r="O337" s="3193"/>
      <c r="P337" s="3193"/>
      <c r="Q337" s="3193"/>
      <c r="R337" s="3193"/>
      <c r="S337" s="3193"/>
      <c r="T337" s="3193"/>
      <c r="U337" s="3193"/>
    </row>
    <row r="338" spans="1:21" s="960" customFormat="1" ht="14.25" customHeight="1">
      <c r="A338" s="3158" t="s">
        <v>1157</v>
      </c>
      <c r="B338" s="3158" t="s">
        <v>1068</v>
      </c>
      <c r="C338" s="3158">
        <v>3600</v>
      </c>
      <c r="D338" s="3158">
        <v>3570</v>
      </c>
      <c r="E338" s="3158">
        <v>3920</v>
      </c>
      <c r="F338" s="3158">
        <v>790</v>
      </c>
      <c r="G338" s="3167">
        <v>2140</v>
      </c>
      <c r="H338" s="957"/>
      <c r="I338" s="957"/>
      <c r="J338" s="3193"/>
      <c r="K338" s="3193"/>
      <c r="L338" s="3193"/>
      <c r="M338" s="3193"/>
      <c r="N338" s="3193"/>
      <c r="O338" s="3193"/>
      <c r="P338" s="3193"/>
      <c r="Q338" s="3193"/>
      <c r="R338" s="3193"/>
      <c r="S338" s="3193"/>
      <c r="T338" s="3193"/>
      <c r="U338" s="3193"/>
    </row>
    <row r="339" spans="1:21" s="960" customFormat="1" ht="14.25" customHeight="1">
      <c r="A339" s="3158" t="s">
        <v>1157</v>
      </c>
      <c r="B339" s="3158" t="s">
        <v>1076</v>
      </c>
      <c r="C339" s="3158">
        <v>3540</v>
      </c>
      <c r="D339" s="3158">
        <v>3500</v>
      </c>
      <c r="E339" s="3158">
        <v>3850</v>
      </c>
      <c r="F339" s="3158">
        <v>780</v>
      </c>
      <c r="G339" s="3167">
        <v>2100</v>
      </c>
      <c r="H339" s="957"/>
      <c r="I339" s="957"/>
      <c r="J339" s="3193"/>
      <c r="K339" s="3193"/>
      <c r="L339" s="3193"/>
      <c r="M339" s="3193"/>
      <c r="N339" s="3193"/>
      <c r="O339" s="3193"/>
      <c r="P339" s="3193"/>
      <c r="Q339" s="3193"/>
      <c r="R339" s="3193"/>
      <c r="S339" s="3193"/>
      <c r="T339" s="3193"/>
      <c r="U339" s="3193"/>
    </row>
    <row r="340" spans="1:21" s="960" customFormat="1" ht="14.25" customHeight="1">
      <c r="A340" s="3158" t="s">
        <v>1157</v>
      </c>
      <c r="B340" s="3158" t="s">
        <v>2996</v>
      </c>
      <c r="C340" s="3158">
        <v>3850</v>
      </c>
      <c r="D340" s="3158">
        <v>3810</v>
      </c>
      <c r="E340" s="3158">
        <v>4210</v>
      </c>
      <c r="F340" s="3158">
        <v>750</v>
      </c>
      <c r="G340" s="3167">
        <v>2280</v>
      </c>
      <c r="H340" s="957"/>
      <c r="I340" s="957"/>
      <c r="J340" s="3193"/>
      <c r="K340" s="3193"/>
      <c r="L340" s="3193"/>
      <c r="M340" s="3193"/>
      <c r="N340" s="3193"/>
      <c r="O340" s="3193"/>
      <c r="P340" s="3193"/>
      <c r="Q340" s="3193"/>
      <c r="R340" s="3193"/>
      <c r="S340" s="3193"/>
      <c r="T340" s="3193"/>
      <c r="U340" s="3193"/>
    </row>
    <row r="341" spans="1:21" s="960" customFormat="1" ht="14.25" customHeight="1">
      <c r="A341" s="3158" t="s">
        <v>1157</v>
      </c>
      <c r="B341" s="3158" t="s">
        <v>1054</v>
      </c>
      <c r="C341" s="3158">
        <v>3780</v>
      </c>
      <c r="D341" s="3158">
        <v>3750</v>
      </c>
      <c r="E341" s="3158">
        <v>4140</v>
      </c>
      <c r="F341" s="3158">
        <v>720</v>
      </c>
      <c r="G341" s="3158">
        <v>2240</v>
      </c>
      <c r="H341" s="957"/>
      <c r="I341" s="957"/>
      <c r="J341" s="3193"/>
      <c r="K341" s="3193"/>
      <c r="L341" s="3193"/>
      <c r="M341" s="3193"/>
      <c r="N341" s="3193"/>
      <c r="O341" s="3193"/>
      <c r="P341" s="3193"/>
      <c r="Q341" s="3193"/>
      <c r="R341" s="3193"/>
      <c r="S341" s="3193"/>
      <c r="T341" s="3193"/>
      <c r="U341" s="3193"/>
    </row>
    <row r="342" spans="1:21" s="960" customFormat="1" ht="14.25" customHeight="1">
      <c r="A342" s="3158" t="s">
        <v>1157</v>
      </c>
      <c r="B342" s="3158" t="s">
        <v>2997</v>
      </c>
      <c r="C342" s="3158">
        <v>3670</v>
      </c>
      <c r="D342" s="3158">
        <v>3620</v>
      </c>
      <c r="E342" s="3158">
        <v>3990</v>
      </c>
      <c r="F342" s="3158">
        <v>760</v>
      </c>
      <c r="G342" s="3158">
        <v>2170</v>
      </c>
      <c r="H342" s="957"/>
      <c r="I342" s="957"/>
      <c r="J342" s="3193"/>
      <c r="K342" s="3193"/>
      <c r="L342" s="3193"/>
      <c r="M342" s="3193"/>
      <c r="N342" s="3193"/>
      <c r="O342" s="3193"/>
      <c r="P342" s="3193"/>
      <c r="Q342" s="3193"/>
      <c r="R342" s="3193"/>
      <c r="S342" s="3193"/>
      <c r="T342" s="3193"/>
      <c r="U342" s="3193"/>
    </row>
    <row r="343" spans="1:21" s="960" customFormat="1" ht="14.25" customHeight="1">
      <c r="A343" s="3158" t="s">
        <v>1157</v>
      </c>
      <c r="B343" s="3158" t="s">
        <v>1105</v>
      </c>
      <c r="C343" s="3158">
        <v>3760</v>
      </c>
      <c r="D343" s="3158">
        <v>3720</v>
      </c>
      <c r="E343" s="3158">
        <v>4090</v>
      </c>
      <c r="F343" s="3158">
        <v>780</v>
      </c>
      <c r="G343" s="3158">
        <v>2220</v>
      </c>
      <c r="H343" s="957"/>
      <c r="I343" s="957"/>
      <c r="J343" s="3193"/>
      <c r="K343" s="3193"/>
      <c r="L343" s="3193"/>
      <c r="M343" s="3193"/>
      <c r="N343" s="3193"/>
      <c r="O343" s="3193"/>
      <c r="P343" s="3193"/>
      <c r="Q343" s="3193"/>
      <c r="R343" s="3193"/>
      <c r="S343" s="3193"/>
      <c r="T343" s="3193"/>
      <c r="U343" s="3193"/>
    </row>
    <row r="344" spans="1:21" s="960" customFormat="1" ht="14.25" customHeight="1">
      <c r="A344" s="3158" t="s">
        <v>1157</v>
      </c>
      <c r="B344" s="3158" t="s">
        <v>1113</v>
      </c>
      <c r="C344" s="3158">
        <v>3680</v>
      </c>
      <c r="D344" s="3158">
        <v>3640</v>
      </c>
      <c r="E344" s="3158">
        <v>4010</v>
      </c>
      <c r="F344" s="3158">
        <v>750</v>
      </c>
      <c r="G344" s="3158">
        <v>2180</v>
      </c>
      <c r="H344" s="957"/>
      <c r="I344" s="957"/>
      <c r="J344" s="3193"/>
      <c r="K344" s="3193"/>
      <c r="L344" s="3193"/>
      <c r="M344" s="3193"/>
      <c r="N344" s="3193"/>
      <c r="O344" s="3193"/>
      <c r="P344" s="3193"/>
      <c r="Q344" s="3193"/>
      <c r="R344" s="3193"/>
      <c r="S344" s="3193"/>
      <c r="T344" s="3193"/>
      <c r="U344" s="3193"/>
    </row>
    <row r="345" spans="1:21">
      <c r="A345" s="3167" t="s">
        <v>1157</v>
      </c>
      <c r="B345" s="3167" t="s">
        <v>2998</v>
      </c>
      <c r="C345" s="3167">
        <v>3190</v>
      </c>
      <c r="D345" s="3167">
        <v>3140</v>
      </c>
      <c r="E345" s="3167">
        <v>3450</v>
      </c>
      <c r="F345" s="3167">
        <v>720</v>
      </c>
      <c r="G345" s="3167">
        <v>1880</v>
      </c>
      <c r="H345" s="957"/>
    </row>
    <row r="346" spans="1:21">
      <c r="A346" s="3167" t="s">
        <v>1157</v>
      </c>
      <c r="B346" s="3167" t="s">
        <v>2999</v>
      </c>
      <c r="C346" s="3167">
        <v>3630</v>
      </c>
      <c r="D346" s="3167">
        <v>3590</v>
      </c>
      <c r="E346" s="3167">
        <v>3940</v>
      </c>
      <c r="F346" s="3167">
        <v>730</v>
      </c>
      <c r="G346" s="3167">
        <v>2150</v>
      </c>
      <c r="H346" s="957"/>
    </row>
    <row r="347" spans="1:21">
      <c r="A347" s="3167" t="s">
        <v>1157</v>
      </c>
      <c r="B347" s="3167" t="s">
        <v>1091</v>
      </c>
      <c r="C347" s="3167">
        <v>3860</v>
      </c>
      <c r="D347" s="3167">
        <v>3820</v>
      </c>
      <c r="E347" s="3167">
        <v>4220</v>
      </c>
      <c r="F347" s="3167">
        <v>750</v>
      </c>
      <c r="G347" s="3167">
        <v>2280</v>
      </c>
      <c r="H347" s="957"/>
    </row>
    <row r="348" spans="1:21">
      <c r="A348" s="3167" t="s">
        <v>1157</v>
      </c>
      <c r="B348" s="3167" t="s">
        <v>3000</v>
      </c>
      <c r="C348" s="3167">
        <v>4000</v>
      </c>
      <c r="D348" s="3167">
        <v>3950</v>
      </c>
      <c r="E348" s="3167">
        <v>4430</v>
      </c>
      <c r="F348" s="3167">
        <v>760</v>
      </c>
      <c r="G348" s="3167">
        <v>2360</v>
      </c>
      <c r="H348" s="957"/>
    </row>
    <row r="349" spans="1:21">
      <c r="A349" s="3167" t="s">
        <v>1157</v>
      </c>
      <c r="B349" s="3167" t="s">
        <v>3001</v>
      </c>
      <c r="C349" s="3167">
        <v>3820</v>
      </c>
      <c r="D349" s="3167">
        <v>3780</v>
      </c>
      <c r="E349" s="3167">
        <v>4170</v>
      </c>
      <c r="F349" s="3167">
        <v>710</v>
      </c>
      <c r="G349" s="3167">
        <v>2260</v>
      </c>
      <c r="H349" s="957"/>
    </row>
    <row r="350" spans="1:21">
      <c r="A350" s="3167" t="s">
        <v>1157</v>
      </c>
      <c r="B350" s="3167" t="s">
        <v>3002</v>
      </c>
      <c r="C350" s="3167">
        <v>3760</v>
      </c>
      <c r="D350" s="3167">
        <v>3730</v>
      </c>
      <c r="E350" s="3167">
        <v>4100</v>
      </c>
      <c r="F350" s="3167">
        <v>800</v>
      </c>
      <c r="G350" s="3167">
        <v>2230</v>
      </c>
      <c r="H350" s="957"/>
    </row>
    <row r="351" spans="1:21">
      <c r="A351" s="3167" t="s">
        <v>1157</v>
      </c>
      <c r="B351" s="3167" t="s">
        <v>3003</v>
      </c>
      <c r="C351" s="3167">
        <v>3610</v>
      </c>
      <c r="D351" s="3167">
        <v>3580</v>
      </c>
      <c r="E351" s="3167">
        <v>3930</v>
      </c>
      <c r="F351" s="3167">
        <v>700</v>
      </c>
      <c r="G351" s="3167">
        <v>2140</v>
      </c>
      <c r="H351" s="957"/>
    </row>
    <row r="352" spans="1:21">
      <c r="A352" s="3167" t="s">
        <v>1157</v>
      </c>
      <c r="B352" s="3167" t="s">
        <v>3004</v>
      </c>
      <c r="C352" s="3167">
        <v>3670</v>
      </c>
      <c r="D352" s="3167">
        <v>3630</v>
      </c>
      <c r="E352" s="3167">
        <v>4000</v>
      </c>
      <c r="F352" s="3167">
        <v>750</v>
      </c>
      <c r="G352" s="3167">
        <v>2180</v>
      </c>
      <c r="H352" s="957"/>
    </row>
    <row r="353" spans="1:8">
      <c r="A353" s="3167" t="s">
        <v>1157</v>
      </c>
      <c r="B353" s="3167" t="s">
        <v>3005</v>
      </c>
      <c r="C353" s="3167">
        <v>3190</v>
      </c>
      <c r="D353" s="3167">
        <v>3150</v>
      </c>
      <c r="E353" s="3167">
        <v>3640</v>
      </c>
      <c r="F353" s="3167">
        <v>630</v>
      </c>
      <c r="G353" s="3167">
        <v>1890</v>
      </c>
      <c r="H353" s="957"/>
    </row>
    <row r="354" spans="1:8">
      <c r="A354" s="3167" t="s">
        <v>1157</v>
      </c>
      <c r="B354" s="3167" t="s">
        <v>1129</v>
      </c>
      <c r="C354" s="3167">
        <v>3450</v>
      </c>
      <c r="D354" s="3167">
        <v>3420</v>
      </c>
      <c r="E354" s="3167">
        <v>3960</v>
      </c>
      <c r="F354" s="3167">
        <v>660</v>
      </c>
      <c r="G354" s="3167">
        <v>2050</v>
      </c>
      <c r="H354" s="957"/>
    </row>
    <row r="355" spans="1:8">
      <c r="A355" s="3167" t="s">
        <v>1157</v>
      </c>
      <c r="B355" s="3167" t="s">
        <v>3006</v>
      </c>
      <c r="C355" s="3167">
        <v>3650</v>
      </c>
      <c r="D355" s="3167">
        <v>3610</v>
      </c>
      <c r="E355" s="3167">
        <v>4200</v>
      </c>
      <c r="F355" s="3167">
        <v>640</v>
      </c>
      <c r="G355" s="3167">
        <v>2160</v>
      </c>
      <c r="H355" s="957"/>
    </row>
    <row r="356" spans="1:8">
      <c r="A356" s="3167" t="s">
        <v>1157</v>
      </c>
      <c r="B356" s="3167" t="s">
        <v>3007</v>
      </c>
      <c r="C356" s="3167">
        <v>3260</v>
      </c>
      <c r="D356" s="3167">
        <v>3230</v>
      </c>
      <c r="E356" s="3167">
        <v>3740</v>
      </c>
      <c r="F356" s="3167">
        <v>600</v>
      </c>
      <c r="G356" s="3167">
        <v>1930</v>
      </c>
      <c r="H356" s="957"/>
    </row>
    <row r="357" spans="1:8" ht="14.25" thickBot="1">
      <c r="A357" s="3182" t="s">
        <v>1157</v>
      </c>
      <c r="B357" s="3182" t="s">
        <v>3008</v>
      </c>
      <c r="C357" s="3182">
        <v>3690</v>
      </c>
      <c r="D357" s="3182">
        <v>3650</v>
      </c>
      <c r="E357" s="3182">
        <v>4020</v>
      </c>
      <c r="F357" s="3182">
        <v>700</v>
      </c>
      <c r="G357" s="3182">
        <v>2190</v>
      </c>
      <c r="H357" s="957"/>
    </row>
    <row r="358" spans="1:8">
      <c r="A358" s="3183" t="s">
        <v>2760</v>
      </c>
      <c r="B358" s="3184" t="s">
        <v>3009</v>
      </c>
      <c r="C358" s="3184">
        <v>2080</v>
      </c>
      <c r="D358" s="3184">
        <v>2040</v>
      </c>
      <c r="E358" s="3184">
        <v>2010</v>
      </c>
      <c r="F358" s="3184">
        <v>530</v>
      </c>
      <c r="G358" s="3185">
        <v>1230</v>
      </c>
      <c r="H358" s="957"/>
    </row>
    <row r="359" spans="1:8">
      <c r="A359" s="3186" t="s">
        <v>2760</v>
      </c>
      <c r="B359" s="3167" t="s">
        <v>3010</v>
      </c>
      <c r="C359" s="3167">
        <v>1850</v>
      </c>
      <c r="D359" s="3167">
        <v>1820</v>
      </c>
      <c r="E359" s="3167">
        <v>1780</v>
      </c>
      <c r="F359" s="3167">
        <v>520</v>
      </c>
      <c r="G359" s="3179">
        <v>1100</v>
      </c>
      <c r="H359" s="957"/>
    </row>
    <row r="360" spans="1:8">
      <c r="A360" s="3186" t="s">
        <v>2760</v>
      </c>
      <c r="B360" s="3167" t="s">
        <v>3011</v>
      </c>
      <c r="C360" s="3167">
        <v>2020</v>
      </c>
      <c r="D360" s="3167">
        <v>1990</v>
      </c>
      <c r="E360" s="3167">
        <v>1950</v>
      </c>
      <c r="F360" s="3167">
        <v>500</v>
      </c>
      <c r="G360" s="3179">
        <v>1200</v>
      </c>
      <c r="H360" s="957"/>
    </row>
    <row r="361" spans="1:8">
      <c r="A361" s="3186" t="s">
        <v>2760</v>
      </c>
      <c r="B361" s="3167" t="s">
        <v>999</v>
      </c>
      <c r="C361" s="3167">
        <v>2260</v>
      </c>
      <c r="D361" s="3167">
        <v>2220</v>
      </c>
      <c r="E361" s="3167">
        <v>2180</v>
      </c>
      <c r="F361" s="3167">
        <v>580</v>
      </c>
      <c r="G361" s="3179">
        <v>1340</v>
      </c>
      <c r="H361" s="957"/>
    </row>
    <row r="362" spans="1:8">
      <c r="A362" s="3186" t="s">
        <v>2760</v>
      </c>
      <c r="B362" s="3167" t="s">
        <v>3012</v>
      </c>
      <c r="C362" s="3167">
        <v>2650</v>
      </c>
      <c r="D362" s="3167">
        <v>2610</v>
      </c>
      <c r="E362" s="3167">
        <v>2570</v>
      </c>
      <c r="F362" s="3167">
        <v>630</v>
      </c>
      <c r="G362" s="3179">
        <v>1570</v>
      </c>
      <c r="H362" s="957"/>
    </row>
    <row r="363" spans="1:8">
      <c r="A363" s="3186" t="s">
        <v>2760</v>
      </c>
      <c r="B363" s="3167" t="s">
        <v>3013</v>
      </c>
      <c r="C363" s="3167">
        <v>2390</v>
      </c>
      <c r="D363" s="3167">
        <v>2360</v>
      </c>
      <c r="E363" s="3167">
        <v>2320</v>
      </c>
      <c r="F363" s="3167">
        <v>600</v>
      </c>
      <c r="G363" s="3179">
        <v>1420</v>
      </c>
      <c r="H363" s="957"/>
    </row>
    <row r="364" spans="1:8">
      <c r="A364" s="3186" t="s">
        <v>2760</v>
      </c>
      <c r="B364" s="3167" t="s">
        <v>3014</v>
      </c>
      <c r="C364" s="3167">
        <v>2050</v>
      </c>
      <c r="D364" s="3167">
        <v>2030</v>
      </c>
      <c r="E364" s="3167">
        <v>1990</v>
      </c>
      <c r="F364" s="3167">
        <v>550</v>
      </c>
      <c r="G364" s="3179">
        <v>1220</v>
      </c>
      <c r="H364" s="957"/>
    </row>
    <row r="365" spans="1:8">
      <c r="A365" s="3186" t="s">
        <v>2760</v>
      </c>
      <c r="B365" s="3167" t="s">
        <v>1047</v>
      </c>
      <c r="C365" s="3167">
        <v>2140</v>
      </c>
      <c r="D365" s="3167">
        <v>2100</v>
      </c>
      <c r="E365" s="3167">
        <v>2060</v>
      </c>
      <c r="F365" s="3167">
        <v>540</v>
      </c>
      <c r="G365" s="3179">
        <v>1270</v>
      </c>
      <c r="H365" s="957"/>
    </row>
    <row r="366" spans="1:8">
      <c r="A366" s="3186" t="s">
        <v>2760</v>
      </c>
      <c r="B366" s="3167" t="s">
        <v>3015</v>
      </c>
      <c r="C366" s="3167">
        <v>2410</v>
      </c>
      <c r="D366" s="3167">
        <v>2370</v>
      </c>
      <c r="E366" s="3167">
        <v>2330</v>
      </c>
      <c r="F366" s="3167">
        <v>570</v>
      </c>
      <c r="G366" s="3179">
        <v>1440</v>
      </c>
      <c r="H366" s="957"/>
    </row>
    <row r="367" spans="1:8">
      <c r="A367" s="3186" t="s">
        <v>2760</v>
      </c>
      <c r="B367" s="3167" t="s">
        <v>3016</v>
      </c>
      <c r="C367" s="3167">
        <v>2300</v>
      </c>
      <c r="D367" s="3167">
        <v>2260</v>
      </c>
      <c r="E367" s="3167">
        <v>2220</v>
      </c>
      <c r="F367" s="3167">
        <v>560</v>
      </c>
      <c r="G367" s="3179">
        <v>1370</v>
      </c>
      <c r="H367" s="957"/>
    </row>
    <row r="368" spans="1:8">
      <c r="A368" s="3186" t="s">
        <v>2760</v>
      </c>
      <c r="B368" s="3167" t="s">
        <v>3017</v>
      </c>
      <c r="C368" s="3167">
        <v>2430</v>
      </c>
      <c r="D368" s="3167">
        <v>2390</v>
      </c>
      <c r="E368" s="3167">
        <v>2350</v>
      </c>
      <c r="F368" s="3167">
        <v>570</v>
      </c>
      <c r="G368" s="3179">
        <v>1450</v>
      </c>
      <c r="H368" s="957"/>
    </row>
    <row r="369" spans="1:8">
      <c r="A369" s="3186" t="s">
        <v>2760</v>
      </c>
      <c r="B369" s="3167" t="s">
        <v>1061</v>
      </c>
      <c r="C369" s="3167">
        <v>2320</v>
      </c>
      <c r="D369" s="3167">
        <v>2290</v>
      </c>
      <c r="E369" s="3167">
        <v>2250</v>
      </c>
      <c r="F369" s="3167">
        <v>550</v>
      </c>
      <c r="G369" s="3179">
        <v>1380</v>
      </c>
      <c r="H369" s="957"/>
    </row>
    <row r="370" spans="1:8">
      <c r="A370" s="3186" t="s">
        <v>2760</v>
      </c>
      <c r="B370" s="3167" t="s">
        <v>1069</v>
      </c>
      <c r="C370" s="3167">
        <v>2190</v>
      </c>
      <c r="D370" s="3167">
        <v>2170</v>
      </c>
      <c r="E370" s="3167">
        <v>2130</v>
      </c>
      <c r="F370" s="3167">
        <v>530</v>
      </c>
      <c r="G370" s="3179">
        <v>1310</v>
      </c>
      <c r="H370" s="957"/>
    </row>
    <row r="371" spans="1:8">
      <c r="A371" s="3186" t="s">
        <v>2760</v>
      </c>
      <c r="B371" s="3167" t="s">
        <v>1077</v>
      </c>
      <c r="C371" s="3167">
        <v>2460</v>
      </c>
      <c r="D371" s="3167">
        <v>2420</v>
      </c>
      <c r="E371" s="3167">
        <v>2370</v>
      </c>
      <c r="F371" s="3167">
        <v>560</v>
      </c>
      <c r="G371" s="3179">
        <v>1470</v>
      </c>
      <c r="H371" s="957"/>
    </row>
    <row r="372" spans="1:8">
      <c r="A372" s="3186" t="s">
        <v>2760</v>
      </c>
      <c r="B372" s="3167" t="s">
        <v>3018</v>
      </c>
      <c r="C372" s="3167">
        <v>2250</v>
      </c>
      <c r="D372" s="3167">
        <v>2210</v>
      </c>
      <c r="E372" s="3167">
        <v>2180</v>
      </c>
      <c r="F372" s="3167">
        <v>550</v>
      </c>
      <c r="G372" s="3179">
        <v>1340</v>
      </c>
      <c r="H372" s="957"/>
    </row>
    <row r="373" spans="1:8">
      <c r="A373" s="3186" t="s">
        <v>2760</v>
      </c>
      <c r="B373" s="3167" t="s">
        <v>1106</v>
      </c>
      <c r="C373" s="3167">
        <v>2210</v>
      </c>
      <c r="D373" s="3167">
        <v>2190</v>
      </c>
      <c r="E373" s="3167">
        <v>2150</v>
      </c>
      <c r="F373" s="3167">
        <v>530</v>
      </c>
      <c r="G373" s="3179">
        <v>1320</v>
      </c>
      <c r="H373" s="957"/>
    </row>
    <row r="374" spans="1:8">
      <c r="A374" s="3186" t="s">
        <v>2760</v>
      </c>
      <c r="B374" s="3167" t="s">
        <v>1114</v>
      </c>
      <c r="C374" s="3167">
        <v>2320</v>
      </c>
      <c r="D374" s="3167">
        <v>2280</v>
      </c>
      <c r="E374" s="3167">
        <v>2230</v>
      </c>
      <c r="F374" s="3167">
        <v>580</v>
      </c>
      <c r="G374" s="3179">
        <v>1380</v>
      </c>
      <c r="H374" s="957"/>
    </row>
    <row r="375" spans="1:8">
      <c r="A375" s="3186" t="s">
        <v>2760</v>
      </c>
      <c r="B375" s="3167" t="s">
        <v>3019</v>
      </c>
      <c r="C375" s="3167">
        <v>2090</v>
      </c>
      <c r="D375" s="3167">
        <v>2050</v>
      </c>
      <c r="E375" s="3167">
        <v>2020</v>
      </c>
      <c r="F375" s="3167">
        <v>520</v>
      </c>
      <c r="G375" s="3179">
        <v>1240</v>
      </c>
      <c r="H375" s="957"/>
    </row>
    <row r="376" spans="1:8">
      <c r="A376" s="3186" t="s">
        <v>2760</v>
      </c>
      <c r="B376" s="3167" t="s">
        <v>1126</v>
      </c>
      <c r="C376" s="3167">
        <v>2010</v>
      </c>
      <c r="D376" s="3167">
        <v>1980</v>
      </c>
      <c r="E376" s="3167">
        <v>1940</v>
      </c>
      <c r="F376" s="3167">
        <v>540</v>
      </c>
      <c r="G376" s="3179">
        <v>1190</v>
      </c>
      <c r="H376" s="957"/>
    </row>
    <row r="377" spans="1:8" ht="14.25" thickBot="1">
      <c r="A377" s="3188" t="s">
        <v>2760</v>
      </c>
      <c r="B377" s="3182" t="s">
        <v>3020</v>
      </c>
      <c r="C377" s="3182">
        <v>1930</v>
      </c>
      <c r="D377" s="3182">
        <v>1890</v>
      </c>
      <c r="E377" s="3182">
        <v>1860</v>
      </c>
      <c r="F377" s="3182">
        <v>530</v>
      </c>
      <c r="G377" s="3189">
        <v>1150</v>
      </c>
      <c r="H377" s="957"/>
    </row>
    <row r="378" spans="1:8">
      <c r="A378" s="3183" t="s">
        <v>2761</v>
      </c>
      <c r="B378" s="3184" t="s">
        <v>3021</v>
      </c>
      <c r="C378" s="3184">
        <v>1520</v>
      </c>
      <c r="D378" s="3184">
        <v>1490</v>
      </c>
      <c r="E378" s="3184">
        <v>1460</v>
      </c>
      <c r="F378" s="3184">
        <v>460</v>
      </c>
      <c r="G378" s="3185">
        <v>940</v>
      </c>
      <c r="H378" s="957"/>
    </row>
    <row r="379" spans="1:8">
      <c r="A379" s="3186" t="s">
        <v>2761</v>
      </c>
      <c r="B379" s="3167" t="s">
        <v>3022</v>
      </c>
      <c r="C379" s="3167">
        <v>1500</v>
      </c>
      <c r="D379" s="3167">
        <v>1470</v>
      </c>
      <c r="E379" s="3167">
        <v>1430</v>
      </c>
      <c r="F379" s="3167">
        <v>460</v>
      </c>
      <c r="G379" s="3179">
        <v>920</v>
      </c>
      <c r="H379" s="957"/>
    </row>
    <row r="380" spans="1:8">
      <c r="A380" s="3186" t="s">
        <v>2761</v>
      </c>
      <c r="B380" s="3167" t="s">
        <v>3023</v>
      </c>
      <c r="C380" s="3167">
        <v>1620</v>
      </c>
      <c r="D380" s="3167">
        <v>1590</v>
      </c>
      <c r="E380" s="3167">
        <v>1560</v>
      </c>
      <c r="F380" s="3167">
        <v>480</v>
      </c>
      <c r="G380" s="3179">
        <v>1000</v>
      </c>
      <c r="H380" s="957"/>
    </row>
    <row r="381" spans="1:8">
      <c r="A381" s="3186" t="s">
        <v>2761</v>
      </c>
      <c r="B381" s="3167" t="s">
        <v>3024</v>
      </c>
      <c r="C381" s="3167">
        <v>1460</v>
      </c>
      <c r="D381" s="3167">
        <v>1430</v>
      </c>
      <c r="E381" s="3167">
        <v>1390</v>
      </c>
      <c r="F381" s="3167">
        <v>450</v>
      </c>
      <c r="G381" s="3179">
        <v>900</v>
      </c>
      <c r="H381" s="957"/>
    </row>
    <row r="382" spans="1:8">
      <c r="A382" s="3186" t="s">
        <v>2761</v>
      </c>
      <c r="B382" s="3167" t="s">
        <v>3025</v>
      </c>
      <c r="C382" s="3167">
        <v>1310</v>
      </c>
      <c r="D382" s="3167">
        <v>1280</v>
      </c>
      <c r="E382" s="3167">
        <v>1250</v>
      </c>
      <c r="F382" s="3167">
        <v>440</v>
      </c>
      <c r="G382" s="3179">
        <v>800</v>
      </c>
      <c r="H382" s="957"/>
    </row>
    <row r="383" spans="1:8">
      <c r="A383" s="3186" t="s">
        <v>2761</v>
      </c>
      <c r="B383" s="3167" t="s">
        <v>3026</v>
      </c>
      <c r="C383" s="3167">
        <v>1260</v>
      </c>
      <c r="D383" s="3167">
        <v>1230</v>
      </c>
      <c r="E383" s="3167">
        <v>1200</v>
      </c>
      <c r="F383" s="3167">
        <v>420</v>
      </c>
      <c r="G383" s="3179">
        <v>770</v>
      </c>
      <c r="H383" s="957"/>
    </row>
    <row r="384" spans="1:8" ht="14.25" thickBot="1">
      <c r="A384" s="3187" t="s">
        <v>2761</v>
      </c>
      <c r="B384" s="3181" t="s">
        <v>3027</v>
      </c>
      <c r="C384" s="3181">
        <v>1170</v>
      </c>
      <c r="D384" s="3181">
        <v>1140</v>
      </c>
      <c r="E384" s="3181">
        <v>1120</v>
      </c>
      <c r="F384" s="3181">
        <v>400</v>
      </c>
      <c r="G384" s="3177">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65" t="s">
        <v>3190</v>
      </c>
      <c r="B1" s="3665"/>
      <c r="C1" s="3665"/>
      <c r="D1" s="3665"/>
      <c r="E1" s="3665"/>
      <c r="F1" s="3666"/>
    </row>
    <row r="2" spans="1:6">
      <c r="A2" s="3232" t="s">
        <v>3191</v>
      </c>
      <c r="B2" s="1490"/>
      <c r="C2" s="1490"/>
      <c r="D2" s="1490"/>
      <c r="E2" s="1490"/>
      <c r="F2" s="1490"/>
    </row>
    <row r="3" spans="1:6">
      <c r="A3" s="3232" t="s">
        <v>3192</v>
      </c>
      <c r="B3" s="1490"/>
      <c r="C3" s="1490"/>
      <c r="D3" s="1490"/>
      <c r="E3" s="1490"/>
      <c r="F3" s="3233" t="s">
        <v>3193</v>
      </c>
    </row>
    <row r="4" spans="1:6">
      <c r="A4" s="3234" t="s">
        <v>3188</v>
      </c>
      <c r="B4" s="3234" t="s">
        <v>2736</v>
      </c>
      <c r="C4" s="3234" t="s">
        <v>1212</v>
      </c>
      <c r="D4" s="3234" t="s">
        <v>3189</v>
      </c>
      <c r="E4" s="3234" t="s">
        <v>905</v>
      </c>
      <c r="F4" s="3234" t="s">
        <v>3194</v>
      </c>
    </row>
    <row r="5" spans="1:6">
      <c r="A5" s="3235" t="s">
        <v>2759</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2760</v>
      </c>
      <c r="B16" s="3237">
        <v>2230</v>
      </c>
      <c r="C16" s="3237">
        <v>2200</v>
      </c>
      <c r="D16" s="3237">
        <v>2180</v>
      </c>
      <c r="E16" s="3237">
        <v>570</v>
      </c>
      <c r="F16" s="3237">
        <v>1330</v>
      </c>
    </row>
    <row r="17" spans="1:6">
      <c r="A17" s="3235" t="s">
        <v>2761</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5" t="s">
        <v>2773</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2760</v>
      </c>
      <c r="M2" s="925" t="s">
        <v>2761</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5" t="s">
        <v>2774</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2760</v>
      </c>
      <c r="M94" s="931" t="s">
        <v>2761</v>
      </c>
      <c r="N94" s="921" t="e">
        <f>SUMPRODUCT((A95:A184=ROUNDDOWN([3]基准地价修正!G3,1))*(B94:M94=[3]基准地价修正!G2)*(B95:M184))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5" t="s">
        <v>2775</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2760</v>
      </c>
      <c r="M186" s="931" t="s">
        <v>2761</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5" t="s">
        <v>2776</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2760</v>
      </c>
      <c r="M278" s="931" t="s">
        <v>2761</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5" t="s">
        <v>2777</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2760</v>
      </c>
      <c r="M370" s="931" t="s">
        <v>2761</v>
      </c>
      <c r="N370" s="921" t="e">
        <f>SUMPRODUCT((A371:A460=ROUNDDOWN([3]基准地价修正!G3,1))*(B370:M370=[3]基准地价修正!G2)*(B371:M460))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667" t="s">
        <v>3028</v>
      </c>
      <c r="B1" s="3667"/>
    </row>
    <row r="2" spans="1:7" ht="14.25" thickBot="1">
      <c r="A2" s="3198"/>
      <c r="B2" s="3198"/>
    </row>
    <row r="3" spans="1:7" ht="14.25" thickBot="1">
      <c r="A3" s="3198"/>
      <c r="B3" s="3198"/>
      <c r="C3" s="3199" t="s">
        <v>3029</v>
      </c>
      <c r="D3" s="3199" t="s">
        <v>3030</v>
      </c>
      <c r="E3" s="3199" t="s">
        <v>3031</v>
      </c>
      <c r="F3" s="3199" t="s">
        <v>3032</v>
      </c>
      <c r="G3" s="3199" t="s">
        <v>3033</v>
      </c>
    </row>
    <row r="4" spans="1:7" ht="14.25" thickBot="1">
      <c r="A4" s="3200" t="s">
        <v>3034</v>
      </c>
      <c r="B4" s="3201" t="s">
        <v>3035</v>
      </c>
      <c r="C4" s="3199"/>
      <c r="D4" s="3199"/>
      <c r="E4" s="3199"/>
      <c r="F4" s="3199"/>
      <c r="G4" s="3199"/>
    </row>
    <row r="5" spans="1:7">
      <c r="A5" s="3202" t="s">
        <v>3036</v>
      </c>
      <c r="B5" s="3203" t="s">
        <v>3037</v>
      </c>
      <c r="C5" s="3204">
        <v>9.8000000000000004E-2</v>
      </c>
      <c r="D5" s="3204">
        <v>8.6999999999999994E-2</v>
      </c>
      <c r="E5" s="3204">
        <v>8.6999999999999994E-2</v>
      </c>
      <c r="F5" s="3204">
        <v>9.8000000000000004E-2</v>
      </c>
      <c r="G5" s="3205">
        <v>9.5000000000000001E-2</v>
      </c>
    </row>
    <row r="6" spans="1:7">
      <c r="A6" s="3206" t="s">
        <v>990</v>
      </c>
      <c r="B6" s="3207" t="s">
        <v>3038</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3039</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3040</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2826</v>
      </c>
      <c r="C29" s="3216"/>
      <c r="D29" s="3212">
        <v>5.1999999999999998E-2</v>
      </c>
      <c r="E29" s="3212">
        <v>7.0000000000000007E-2</v>
      </c>
      <c r="F29" s="3216"/>
      <c r="G29" s="3214">
        <v>7.0999999999999994E-2</v>
      </c>
    </row>
    <row r="30" spans="1:7">
      <c r="A30" s="3217" t="s">
        <v>1145</v>
      </c>
      <c r="B30" s="3203" t="s">
        <v>3041</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3042</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2828</v>
      </c>
      <c r="C50" s="3208">
        <v>9.8000000000000004E-2</v>
      </c>
      <c r="D50" s="3208">
        <v>7.2999999999999995E-2</v>
      </c>
      <c r="E50" s="3208">
        <v>7.0999999999999994E-2</v>
      </c>
      <c r="F50" s="3219"/>
      <c r="G50" s="3209">
        <v>7.2999999999999995E-2</v>
      </c>
    </row>
    <row r="51" spans="1:7">
      <c r="A51" s="3218" t="s">
        <v>1145</v>
      </c>
      <c r="B51" s="3207" t="s">
        <v>2829</v>
      </c>
      <c r="C51" s="3208">
        <v>9.9000000000000005E-2</v>
      </c>
      <c r="D51" s="3208">
        <v>8.5000000000000006E-2</v>
      </c>
      <c r="E51" s="3208">
        <v>6.3E-2</v>
      </c>
      <c r="F51" s="3219"/>
      <c r="G51" s="3209">
        <v>9.6000000000000002E-2</v>
      </c>
    </row>
    <row r="52" spans="1:7">
      <c r="A52" s="3218" t="s">
        <v>1145</v>
      </c>
      <c r="B52" s="3207" t="s">
        <v>2830</v>
      </c>
      <c r="C52" s="3208">
        <v>7.3999999999999996E-2</v>
      </c>
      <c r="D52" s="3208">
        <v>9.6000000000000002E-2</v>
      </c>
      <c r="E52" s="3208">
        <v>0.05</v>
      </c>
      <c r="F52" s="3219"/>
      <c r="G52" s="3209">
        <v>9.8000000000000004E-2</v>
      </c>
    </row>
    <row r="53" spans="1:7">
      <c r="A53" s="3218" t="s">
        <v>1145</v>
      </c>
      <c r="B53" s="3207" t="s">
        <v>2831</v>
      </c>
      <c r="C53" s="3208">
        <v>8.5999999999999993E-2</v>
      </c>
      <c r="D53" s="3219"/>
      <c r="E53" s="3208">
        <v>9.1999999999999998E-2</v>
      </c>
      <c r="F53" s="3219"/>
      <c r="G53" s="3220"/>
    </row>
    <row r="54" spans="1:7" ht="14.25" thickBot="1">
      <c r="A54" s="3221" t="s">
        <v>1145</v>
      </c>
      <c r="B54" s="3211" t="s">
        <v>2832</v>
      </c>
      <c r="C54" s="3212">
        <v>9.6000000000000002E-2</v>
      </c>
      <c r="D54" s="3213"/>
      <c r="E54" s="3222"/>
      <c r="F54" s="3213"/>
      <c r="G54" s="3223"/>
    </row>
    <row r="55" spans="1:7">
      <c r="A55" s="3217" t="s">
        <v>853</v>
      </c>
      <c r="B55" s="3203" t="s">
        <v>3043</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2834</v>
      </c>
      <c r="C78" s="3208">
        <v>0.1</v>
      </c>
      <c r="D78" s="3208">
        <v>8.5000000000000006E-2</v>
      </c>
      <c r="E78" s="3208">
        <v>9.6000000000000002E-2</v>
      </c>
      <c r="F78" s="3219"/>
      <c r="G78" s="3209">
        <v>9.6000000000000002E-2</v>
      </c>
    </row>
    <row r="79" spans="1:7">
      <c r="A79" s="3218" t="s">
        <v>853</v>
      </c>
      <c r="B79" s="3207" t="s">
        <v>2835</v>
      </c>
      <c r="C79" s="3208">
        <v>0.05</v>
      </c>
      <c r="D79" s="3208">
        <v>9.6000000000000002E-2</v>
      </c>
      <c r="E79" s="3208">
        <v>9.5000000000000001E-2</v>
      </c>
      <c r="F79" s="3219"/>
      <c r="G79" s="3209">
        <v>9.8000000000000004E-2</v>
      </c>
    </row>
    <row r="80" spans="1:7">
      <c r="A80" s="3218" t="s">
        <v>853</v>
      </c>
      <c r="B80" s="3207" t="s">
        <v>2836</v>
      </c>
      <c r="C80" s="3208">
        <v>8.5999999999999993E-2</v>
      </c>
      <c r="D80" s="3224"/>
      <c r="E80" s="3208">
        <v>0.1</v>
      </c>
      <c r="F80" s="3219"/>
      <c r="G80" s="3220"/>
    </row>
    <row r="81" spans="1:7">
      <c r="A81" s="3218" t="s">
        <v>853</v>
      </c>
      <c r="B81" s="3207" t="s">
        <v>2837</v>
      </c>
      <c r="C81" s="3208">
        <v>9.6000000000000002E-2</v>
      </c>
      <c r="D81" s="3219"/>
      <c r="E81" s="3208">
        <v>9.8000000000000004E-2</v>
      </c>
      <c r="F81" s="3219"/>
      <c r="G81" s="3220"/>
    </row>
    <row r="82" spans="1:7">
      <c r="A82" s="3218" t="s">
        <v>853</v>
      </c>
      <c r="B82" s="3207" t="s">
        <v>2838</v>
      </c>
      <c r="C82" s="3224"/>
      <c r="D82" s="3219"/>
      <c r="E82" s="3208">
        <v>7.6999999999999999E-2</v>
      </c>
      <c r="F82" s="3219"/>
      <c r="G82" s="3220"/>
    </row>
    <row r="83" spans="1:7">
      <c r="A83" s="3218" t="s">
        <v>853</v>
      </c>
      <c r="B83" s="3207" t="s">
        <v>3044</v>
      </c>
      <c r="C83" s="3219"/>
      <c r="D83" s="3219"/>
      <c r="E83" s="3219"/>
      <c r="F83" s="3208">
        <v>0.1</v>
      </c>
      <c r="G83" s="3225"/>
    </row>
    <row r="84" spans="1:7">
      <c r="A84" s="3218" t="s">
        <v>853</v>
      </c>
      <c r="B84" s="3207" t="s">
        <v>3045</v>
      </c>
      <c r="C84" s="3219"/>
      <c r="D84" s="3219"/>
      <c r="E84" s="3219"/>
      <c r="F84" s="3208">
        <v>0.1</v>
      </c>
      <c r="G84" s="3225"/>
    </row>
    <row r="85" spans="1:7">
      <c r="A85" s="3218" t="s">
        <v>853</v>
      </c>
      <c r="B85" s="3207" t="s">
        <v>3046</v>
      </c>
      <c r="C85" s="3219"/>
      <c r="D85" s="3219"/>
      <c r="E85" s="3219"/>
      <c r="F85" s="3208">
        <v>0.1</v>
      </c>
      <c r="G85" s="3225"/>
    </row>
    <row r="86" spans="1:7" ht="14.25" thickBot="1">
      <c r="A86" s="3221" t="s">
        <v>853</v>
      </c>
      <c r="B86" s="3211" t="s">
        <v>3047</v>
      </c>
      <c r="C86" s="3212">
        <v>9.8000000000000004E-2</v>
      </c>
      <c r="D86" s="3212">
        <v>9.8000000000000004E-2</v>
      </c>
      <c r="E86" s="3212">
        <v>9.6000000000000002E-2</v>
      </c>
      <c r="F86" s="3222"/>
      <c r="G86" s="3214">
        <v>0.1</v>
      </c>
    </row>
    <row r="87" spans="1:7">
      <c r="A87" s="3217" t="s">
        <v>1152</v>
      </c>
      <c r="B87" s="3203" t="s">
        <v>3048</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2844</v>
      </c>
      <c r="C113" s="3208">
        <v>0.1</v>
      </c>
      <c r="D113" s="3208">
        <v>0.1</v>
      </c>
      <c r="E113" s="3219"/>
      <c r="F113" s="3219"/>
      <c r="G113" s="3209">
        <v>0.1</v>
      </c>
    </row>
    <row r="114" spans="1:7">
      <c r="A114" s="3218" t="s">
        <v>1152</v>
      </c>
      <c r="B114" s="3207" t="s">
        <v>2845</v>
      </c>
      <c r="C114" s="3208">
        <v>9.7000000000000003E-2</v>
      </c>
      <c r="D114" s="3208">
        <v>9.7000000000000003E-2</v>
      </c>
      <c r="E114" s="3219"/>
      <c r="F114" s="3219"/>
      <c r="G114" s="3209">
        <v>9.9000000000000005E-2</v>
      </c>
    </row>
    <row r="115" spans="1:7">
      <c r="A115" s="3218" t="s">
        <v>1152</v>
      </c>
      <c r="B115" s="3207" t="s">
        <v>2846</v>
      </c>
      <c r="C115" s="3208">
        <v>0.1</v>
      </c>
      <c r="D115" s="3208">
        <v>0.1</v>
      </c>
      <c r="E115" s="3219"/>
      <c r="F115" s="3219"/>
      <c r="G115" s="3209">
        <v>0.1</v>
      </c>
    </row>
    <row r="116" spans="1:7">
      <c r="A116" s="3218" t="s">
        <v>1152</v>
      </c>
      <c r="B116" s="3207" t="s">
        <v>2847</v>
      </c>
      <c r="C116" s="3208">
        <v>0.1</v>
      </c>
      <c r="D116" s="3208">
        <v>0.1</v>
      </c>
      <c r="E116" s="3219"/>
      <c r="F116" s="3219"/>
      <c r="G116" s="3209">
        <v>0.1</v>
      </c>
    </row>
    <row r="117" spans="1:7">
      <c r="A117" s="3218" t="s">
        <v>1152</v>
      </c>
      <c r="B117" s="3207" t="s">
        <v>2848</v>
      </c>
      <c r="C117" s="3208">
        <v>9.7000000000000003E-2</v>
      </c>
      <c r="D117" s="3208">
        <v>9.7000000000000003E-2</v>
      </c>
      <c r="E117" s="3219"/>
      <c r="F117" s="3219"/>
      <c r="G117" s="3209">
        <v>9.7000000000000003E-2</v>
      </c>
    </row>
    <row r="118" spans="1:7">
      <c r="A118" s="3218" t="s">
        <v>1152</v>
      </c>
      <c r="B118" s="3207" t="s">
        <v>2849</v>
      </c>
      <c r="C118" s="3208">
        <v>0.1</v>
      </c>
      <c r="D118" s="3208">
        <v>0.1</v>
      </c>
      <c r="E118" s="3219"/>
      <c r="F118" s="3219"/>
      <c r="G118" s="3209">
        <v>0.1</v>
      </c>
    </row>
    <row r="119" spans="1:7">
      <c r="A119" s="3218" t="s">
        <v>1152</v>
      </c>
      <c r="B119" s="3207" t="s">
        <v>2850</v>
      </c>
      <c r="C119" s="3208">
        <v>5.0999999999999997E-2</v>
      </c>
      <c r="D119" s="3208">
        <v>5.1999999999999998E-2</v>
      </c>
      <c r="E119" s="3219"/>
      <c r="F119" s="3224"/>
      <c r="G119" s="3209">
        <v>0.06</v>
      </c>
    </row>
    <row r="120" spans="1:7">
      <c r="A120" s="3218" t="s">
        <v>1152</v>
      </c>
      <c r="B120" s="3207" t="s">
        <v>3049</v>
      </c>
      <c r="C120" s="3219"/>
      <c r="D120" s="3219"/>
      <c r="E120" s="3219"/>
      <c r="F120" s="3208">
        <v>0.1</v>
      </c>
      <c r="G120" s="3225"/>
    </row>
    <row r="121" spans="1:7">
      <c r="A121" s="3218" t="s">
        <v>1152</v>
      </c>
      <c r="B121" s="3207" t="s">
        <v>3050</v>
      </c>
      <c r="C121" s="3219"/>
      <c r="D121" s="3219"/>
      <c r="E121" s="3219"/>
      <c r="F121" s="3208">
        <v>0.1</v>
      </c>
      <c r="G121" s="3225"/>
    </row>
    <row r="122" spans="1:7">
      <c r="A122" s="3218" t="s">
        <v>1152</v>
      </c>
      <c r="B122" s="3207" t="s">
        <v>3051</v>
      </c>
      <c r="C122" s="3208">
        <v>0.1</v>
      </c>
      <c r="D122" s="3208">
        <v>0.1</v>
      </c>
      <c r="E122" s="3208">
        <v>9.8000000000000004E-2</v>
      </c>
      <c r="F122" s="3208">
        <v>0.1</v>
      </c>
      <c r="G122" s="3209">
        <v>0.1</v>
      </c>
    </row>
    <row r="123" spans="1:7">
      <c r="A123" s="3218" t="s">
        <v>1152</v>
      </c>
      <c r="B123" s="3207" t="s">
        <v>2854</v>
      </c>
      <c r="C123" s="3208">
        <v>0.1</v>
      </c>
      <c r="D123" s="3208">
        <v>0.1</v>
      </c>
      <c r="E123" s="3208">
        <v>9.8000000000000004E-2</v>
      </c>
      <c r="F123" s="3208">
        <v>0.1</v>
      </c>
      <c r="G123" s="3209">
        <v>0.1</v>
      </c>
    </row>
    <row r="124" spans="1:7">
      <c r="A124" s="3218" t="s">
        <v>1152</v>
      </c>
      <c r="B124" s="3207" t="s">
        <v>2855</v>
      </c>
      <c r="C124" s="3208">
        <v>0.1</v>
      </c>
      <c r="D124" s="3208">
        <v>0.1</v>
      </c>
      <c r="E124" s="3208">
        <v>9.8000000000000004E-2</v>
      </c>
      <c r="F124" s="3224"/>
      <c r="G124" s="3209">
        <v>0.1</v>
      </c>
    </row>
    <row r="125" spans="1:7">
      <c r="A125" s="3218" t="s">
        <v>1152</v>
      </c>
      <c r="B125" s="3207" t="s">
        <v>2856</v>
      </c>
      <c r="C125" s="3208">
        <v>9.8000000000000004E-2</v>
      </c>
      <c r="D125" s="3208">
        <v>9.8000000000000004E-2</v>
      </c>
      <c r="E125" s="3208">
        <v>9.6000000000000002E-2</v>
      </c>
      <c r="F125" s="3224"/>
      <c r="G125" s="3209">
        <v>0.1</v>
      </c>
    </row>
    <row r="126" spans="1:7" ht="14.25" thickBot="1">
      <c r="A126" s="3221" t="s">
        <v>1152</v>
      </c>
      <c r="B126" s="3211" t="s">
        <v>3052</v>
      </c>
      <c r="C126" s="3212">
        <v>0.1</v>
      </c>
      <c r="D126" s="3212">
        <v>0.1</v>
      </c>
      <c r="E126" s="3212">
        <v>9.8000000000000004E-2</v>
      </c>
      <c r="F126" s="3212">
        <v>0.1</v>
      </c>
      <c r="G126" s="3214">
        <v>0.1</v>
      </c>
    </row>
    <row r="127" spans="1:7">
      <c r="A127" s="3217" t="s">
        <v>1153</v>
      </c>
      <c r="B127" s="3203" t="s">
        <v>3053</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3054</v>
      </c>
      <c r="C148" s="3208">
        <v>0.13</v>
      </c>
      <c r="D148" s="3208">
        <v>0.13</v>
      </c>
      <c r="E148" s="3208">
        <v>0.13</v>
      </c>
      <c r="F148" s="3219"/>
      <c r="G148" s="3209">
        <v>0.13</v>
      </c>
    </row>
    <row r="149" spans="1:7">
      <c r="A149" s="3218" t="s">
        <v>1153</v>
      </c>
      <c r="B149" s="3207" t="s">
        <v>3055</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2861</v>
      </c>
      <c r="C153" s="3208">
        <v>0.13</v>
      </c>
      <c r="D153" s="3208">
        <v>0.13</v>
      </c>
      <c r="E153" s="3208">
        <v>0.13</v>
      </c>
      <c r="F153" s="3208">
        <v>0.13</v>
      </c>
      <c r="G153" s="3209">
        <v>0.13</v>
      </c>
    </row>
    <row r="154" spans="1:7">
      <c r="A154" s="3218" t="s">
        <v>1153</v>
      </c>
      <c r="B154" s="3207" t="s">
        <v>3056</v>
      </c>
      <c r="C154" s="3208">
        <v>0.121</v>
      </c>
      <c r="D154" s="3208">
        <v>0.121</v>
      </c>
      <c r="E154" s="3208">
        <v>0.105</v>
      </c>
      <c r="F154" s="3208">
        <v>0.121</v>
      </c>
      <c r="G154" s="3209">
        <v>0.123</v>
      </c>
    </row>
    <row r="155" spans="1:7">
      <c r="A155" s="3218" t="s">
        <v>1153</v>
      </c>
      <c r="B155" s="3207" t="s">
        <v>2863</v>
      </c>
      <c r="C155" s="3208">
        <v>0.1</v>
      </c>
      <c r="D155" s="3208">
        <v>0.1</v>
      </c>
      <c r="E155" s="3208">
        <v>0.1</v>
      </c>
      <c r="F155" s="3208">
        <v>0.1</v>
      </c>
      <c r="G155" s="3209">
        <v>0.1</v>
      </c>
    </row>
    <row r="156" spans="1:7">
      <c r="A156" s="3218" t="s">
        <v>1153</v>
      </c>
      <c r="B156" s="3207" t="s">
        <v>3057</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3058</v>
      </c>
      <c r="C160" s="3208">
        <v>0.13</v>
      </c>
      <c r="D160" s="3208">
        <v>0.13</v>
      </c>
      <c r="E160" s="3208">
        <v>0.124</v>
      </c>
      <c r="F160" s="3208">
        <v>0.126</v>
      </c>
      <c r="G160" s="3209">
        <v>0.13</v>
      </c>
    </row>
    <row r="161" spans="1:7">
      <c r="A161" s="3218" t="s">
        <v>1153</v>
      </c>
      <c r="B161" s="3207" t="s">
        <v>2866</v>
      </c>
      <c r="C161" s="3208">
        <v>0.13</v>
      </c>
      <c r="D161" s="3208">
        <v>0.13</v>
      </c>
      <c r="E161" s="3208">
        <v>0.124</v>
      </c>
      <c r="F161" s="3208">
        <v>0.127</v>
      </c>
      <c r="G161" s="3209">
        <v>0.13</v>
      </c>
    </row>
    <row r="162" spans="1:7">
      <c r="A162" s="3218" t="s">
        <v>1153</v>
      </c>
      <c r="B162" s="3207" t="s">
        <v>2867</v>
      </c>
      <c r="C162" s="3208">
        <v>0.1</v>
      </c>
      <c r="D162" s="3208">
        <v>0.1</v>
      </c>
      <c r="E162" s="3208">
        <v>0.1</v>
      </c>
      <c r="F162" s="3208">
        <v>0.121</v>
      </c>
      <c r="G162" s="3209">
        <v>0.105</v>
      </c>
    </row>
    <row r="163" spans="1:7">
      <c r="A163" s="3218" t="s">
        <v>1153</v>
      </c>
      <c r="B163" s="3207" t="s">
        <v>2868</v>
      </c>
      <c r="C163" s="3208">
        <v>0.1</v>
      </c>
      <c r="D163" s="3208">
        <v>0.1</v>
      </c>
      <c r="E163" s="3208">
        <v>0.1</v>
      </c>
      <c r="F163" s="3208">
        <v>0.1</v>
      </c>
      <c r="G163" s="3209">
        <v>0.1</v>
      </c>
    </row>
    <row r="164" spans="1:7">
      <c r="A164" s="3218" t="s">
        <v>1153</v>
      </c>
      <c r="B164" s="3207" t="s">
        <v>2869</v>
      </c>
      <c r="C164" s="3224"/>
      <c r="D164" s="3224"/>
      <c r="E164" s="3224"/>
      <c r="F164" s="3208">
        <v>0.1</v>
      </c>
      <c r="G164" s="3220"/>
    </row>
    <row r="165" spans="1:7">
      <c r="A165" s="3218" t="s">
        <v>1153</v>
      </c>
      <c r="B165" s="3207" t="s">
        <v>3059</v>
      </c>
      <c r="C165" s="3208">
        <v>0.126</v>
      </c>
      <c r="D165" s="3208">
        <v>0.126</v>
      </c>
      <c r="E165" s="3208">
        <v>0.11899999999999999</v>
      </c>
      <c r="F165" s="3208">
        <v>0.13</v>
      </c>
      <c r="G165" s="3209">
        <v>0.128</v>
      </c>
    </row>
    <row r="166" spans="1:7">
      <c r="A166" s="3218" t="s">
        <v>1153</v>
      </c>
      <c r="B166" s="3207" t="s">
        <v>2871</v>
      </c>
      <c r="C166" s="3208">
        <v>0.129</v>
      </c>
      <c r="D166" s="3208">
        <v>0.129</v>
      </c>
      <c r="E166" s="3208">
        <v>0.123</v>
      </c>
      <c r="F166" s="3208">
        <v>0.128</v>
      </c>
      <c r="G166" s="3209">
        <v>0.13</v>
      </c>
    </row>
    <row r="167" spans="1:7">
      <c r="A167" s="3218" t="s">
        <v>1153</v>
      </c>
      <c r="B167" s="3207" t="s">
        <v>2872</v>
      </c>
      <c r="C167" s="3208">
        <v>0.125</v>
      </c>
      <c r="D167" s="3208">
        <v>0.125</v>
      </c>
      <c r="E167" s="3208">
        <v>0.11700000000000001</v>
      </c>
      <c r="F167" s="3208">
        <v>0.13</v>
      </c>
      <c r="G167" s="3209">
        <v>0.126</v>
      </c>
    </row>
    <row r="168" spans="1:7">
      <c r="A168" s="3218" t="s">
        <v>1153</v>
      </c>
      <c r="B168" s="3207" t="s">
        <v>2873</v>
      </c>
      <c r="C168" s="3208">
        <v>0.128</v>
      </c>
      <c r="D168" s="3208">
        <v>0.128</v>
      </c>
      <c r="E168" s="3208">
        <v>0.123</v>
      </c>
      <c r="F168" s="3219"/>
      <c r="G168" s="3209">
        <v>0.13</v>
      </c>
    </row>
    <row r="169" spans="1:7">
      <c r="A169" s="3218" t="s">
        <v>1153</v>
      </c>
      <c r="B169" s="3207" t="s">
        <v>3060</v>
      </c>
      <c r="C169" s="3224"/>
      <c r="D169" s="3224"/>
      <c r="E169" s="3224"/>
      <c r="F169" s="3208">
        <v>0.05</v>
      </c>
      <c r="G169" s="3220"/>
    </row>
    <row r="170" spans="1:7">
      <c r="A170" s="3218" t="s">
        <v>1153</v>
      </c>
      <c r="B170" s="3207" t="s">
        <v>3061</v>
      </c>
      <c r="C170" s="3224"/>
      <c r="D170" s="3224"/>
      <c r="E170" s="3224"/>
      <c r="F170" s="3208">
        <v>0.05</v>
      </c>
      <c r="G170" s="3220"/>
    </row>
    <row r="171" spans="1:7">
      <c r="A171" s="3218" t="s">
        <v>1153</v>
      </c>
      <c r="B171" s="3207" t="s">
        <v>3062</v>
      </c>
      <c r="C171" s="3224"/>
      <c r="D171" s="3224"/>
      <c r="E171" s="3224"/>
      <c r="F171" s="3208">
        <v>0.05</v>
      </c>
      <c r="G171" s="3225"/>
    </row>
    <row r="172" spans="1:7">
      <c r="A172" s="3218" t="s">
        <v>1153</v>
      </c>
      <c r="B172" s="3207" t="s">
        <v>3063</v>
      </c>
      <c r="C172" s="3224"/>
      <c r="D172" s="3224"/>
      <c r="E172" s="3224"/>
      <c r="F172" s="3208">
        <v>0.05</v>
      </c>
      <c r="G172" s="3225"/>
    </row>
    <row r="173" spans="1:7">
      <c r="A173" s="3218" t="s">
        <v>1153</v>
      </c>
      <c r="B173" s="3207" t="s">
        <v>3064</v>
      </c>
      <c r="C173" s="3224"/>
      <c r="D173" s="3224"/>
      <c r="E173" s="3224"/>
      <c r="F173" s="3208">
        <v>0.05</v>
      </c>
      <c r="G173" s="3220"/>
    </row>
    <row r="174" spans="1:7">
      <c r="A174" s="3218" t="s">
        <v>1153</v>
      </c>
      <c r="B174" s="3207" t="s">
        <v>3065</v>
      </c>
      <c r="C174" s="3224"/>
      <c r="D174" s="3224"/>
      <c r="E174" s="3224"/>
      <c r="F174" s="3208">
        <v>0.05</v>
      </c>
      <c r="G174" s="3220"/>
    </row>
    <row r="175" spans="1:7">
      <c r="A175" s="3218" t="s">
        <v>1153</v>
      </c>
      <c r="B175" s="3207" t="s">
        <v>3066</v>
      </c>
      <c r="C175" s="3224"/>
      <c r="D175" s="3224"/>
      <c r="E175" s="3224"/>
      <c r="F175" s="3208">
        <v>0.05</v>
      </c>
      <c r="G175" s="3220"/>
    </row>
    <row r="176" spans="1:7">
      <c r="A176" s="3218" t="s">
        <v>1153</v>
      </c>
      <c r="B176" s="3207" t="s">
        <v>3067</v>
      </c>
      <c r="C176" s="3224"/>
      <c r="D176" s="3224"/>
      <c r="E176" s="3224"/>
      <c r="F176" s="3208">
        <v>0.05</v>
      </c>
      <c r="G176" s="3220"/>
    </row>
    <row r="177" spans="1:7">
      <c r="A177" s="3218" t="s">
        <v>1153</v>
      </c>
      <c r="B177" s="3207" t="s">
        <v>3068</v>
      </c>
      <c r="C177" s="3219"/>
      <c r="D177" s="3219"/>
      <c r="E177" s="3219"/>
      <c r="F177" s="3208">
        <v>0.05</v>
      </c>
      <c r="G177" s="3225"/>
    </row>
    <row r="178" spans="1:7">
      <c r="A178" s="3218" t="s">
        <v>1153</v>
      </c>
      <c r="B178" s="3207" t="s">
        <v>3069</v>
      </c>
      <c r="C178" s="3219"/>
      <c r="D178" s="3219"/>
      <c r="E178" s="3219"/>
      <c r="F178" s="3208">
        <v>0.05</v>
      </c>
      <c r="G178" s="3225"/>
    </row>
    <row r="179" spans="1:7">
      <c r="A179" s="3218" t="s">
        <v>1153</v>
      </c>
      <c r="B179" s="3207" t="s">
        <v>3070</v>
      </c>
      <c r="C179" s="3219"/>
      <c r="D179" s="3219"/>
      <c r="E179" s="3219"/>
      <c r="F179" s="3208">
        <v>0.05</v>
      </c>
      <c r="G179" s="3225"/>
    </row>
    <row r="180" spans="1:7">
      <c r="A180" s="3218" t="s">
        <v>1153</v>
      </c>
      <c r="B180" s="3207" t="s">
        <v>3071</v>
      </c>
      <c r="C180" s="3219"/>
      <c r="D180" s="3219"/>
      <c r="E180" s="3219"/>
      <c r="F180" s="3208">
        <v>0.05</v>
      </c>
      <c r="G180" s="3225"/>
    </row>
    <row r="181" spans="1:7">
      <c r="A181" s="3218" t="s">
        <v>1153</v>
      </c>
      <c r="B181" s="3207" t="s">
        <v>3072</v>
      </c>
      <c r="C181" s="3219"/>
      <c r="D181" s="3219"/>
      <c r="E181" s="3219"/>
      <c r="F181" s="3208">
        <v>0.05</v>
      </c>
      <c r="G181" s="3225"/>
    </row>
    <row r="182" spans="1:7">
      <c r="A182" s="3218" t="s">
        <v>1153</v>
      </c>
      <c r="B182" s="3207" t="s">
        <v>3073</v>
      </c>
      <c r="C182" s="3219"/>
      <c r="D182" s="3219"/>
      <c r="E182" s="3219"/>
      <c r="F182" s="3208">
        <v>0.05</v>
      </c>
      <c r="G182" s="3225"/>
    </row>
    <row r="183" spans="1:7">
      <c r="A183" s="3218" t="s">
        <v>1153</v>
      </c>
      <c r="B183" s="3207" t="s">
        <v>3074</v>
      </c>
      <c r="C183" s="3219"/>
      <c r="D183" s="3219"/>
      <c r="E183" s="3219"/>
      <c r="F183" s="3208">
        <v>0.05</v>
      </c>
      <c r="G183" s="3225"/>
    </row>
    <row r="184" spans="1:7">
      <c r="A184" s="3218" t="s">
        <v>1153</v>
      </c>
      <c r="B184" s="3207" t="s">
        <v>3075</v>
      </c>
      <c r="C184" s="3219"/>
      <c r="D184" s="3219"/>
      <c r="E184" s="3219"/>
      <c r="F184" s="3208">
        <v>0.05</v>
      </c>
      <c r="G184" s="3225"/>
    </row>
    <row r="185" spans="1:7">
      <c r="A185" s="3218" t="s">
        <v>1153</v>
      </c>
      <c r="B185" s="3207" t="s">
        <v>3076</v>
      </c>
      <c r="C185" s="3219"/>
      <c r="D185" s="3219"/>
      <c r="E185" s="3219"/>
      <c r="F185" s="3208">
        <v>0.05</v>
      </c>
      <c r="G185" s="3225"/>
    </row>
    <row r="186" spans="1:7">
      <c r="A186" s="3218" t="s">
        <v>1153</v>
      </c>
      <c r="B186" s="3207" t="s">
        <v>3077</v>
      </c>
      <c r="C186" s="3219"/>
      <c r="D186" s="3219"/>
      <c r="E186" s="3219"/>
      <c r="F186" s="3208">
        <v>0.05</v>
      </c>
      <c r="G186" s="3225"/>
    </row>
    <row r="187" spans="1:7">
      <c r="A187" s="3218" t="s">
        <v>1153</v>
      </c>
      <c r="B187" s="3207" t="s">
        <v>3078</v>
      </c>
      <c r="C187" s="3219"/>
      <c r="D187" s="3219"/>
      <c r="E187" s="3219"/>
      <c r="F187" s="3208">
        <v>0.05</v>
      </c>
      <c r="G187" s="3225"/>
    </row>
    <row r="188" spans="1:7">
      <c r="A188" s="3218" t="s">
        <v>1153</v>
      </c>
      <c r="B188" s="3207" t="s">
        <v>3079</v>
      </c>
      <c r="C188" s="3219"/>
      <c r="D188" s="3219"/>
      <c r="E188" s="3219"/>
      <c r="F188" s="3208">
        <v>0.05</v>
      </c>
      <c r="G188" s="3225"/>
    </row>
    <row r="189" spans="1:7" ht="14.25" thickBot="1">
      <c r="A189" s="3221" t="s">
        <v>1153</v>
      </c>
      <c r="B189" s="3211" t="s">
        <v>3080</v>
      </c>
      <c r="C189" s="3213"/>
      <c r="D189" s="3213"/>
      <c r="E189" s="3213"/>
      <c r="F189" s="3212">
        <v>0.05</v>
      </c>
      <c r="G189" s="3226"/>
    </row>
    <row r="190" spans="1:7">
      <c r="A190" s="3217" t="s">
        <v>1154</v>
      </c>
      <c r="B190" s="3203" t="s">
        <v>3081</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3082</v>
      </c>
      <c r="C199" s="3208">
        <v>0.13</v>
      </c>
      <c r="D199" s="3208">
        <v>0.13</v>
      </c>
      <c r="E199" s="3208">
        <v>0.13</v>
      </c>
      <c r="F199" s="3208">
        <v>0.13</v>
      </c>
      <c r="G199" s="3209">
        <v>0.13</v>
      </c>
    </row>
    <row r="200" spans="1:7">
      <c r="A200" s="3218" t="s">
        <v>1154</v>
      </c>
      <c r="B200" s="3207" t="s">
        <v>2897</v>
      </c>
      <c r="C200" s="3224"/>
      <c r="D200" s="3224"/>
      <c r="E200" s="3224"/>
      <c r="F200" s="3208">
        <v>0.13</v>
      </c>
      <c r="G200" s="3220"/>
    </row>
    <row r="201" spans="1:7">
      <c r="A201" s="3218" t="s">
        <v>1154</v>
      </c>
      <c r="B201" s="3207" t="s">
        <v>3083</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3084</v>
      </c>
      <c r="C203" s="3208">
        <v>0.129</v>
      </c>
      <c r="D203" s="3208">
        <v>0.129</v>
      </c>
      <c r="E203" s="3208">
        <v>0.13</v>
      </c>
      <c r="F203" s="3208">
        <v>0.13</v>
      </c>
      <c r="G203" s="3209">
        <v>0.13</v>
      </c>
    </row>
    <row r="204" spans="1:7">
      <c r="A204" s="3218" t="s">
        <v>1154</v>
      </c>
      <c r="B204" s="3207" t="s">
        <v>2900</v>
      </c>
      <c r="C204" s="3208">
        <v>0.129</v>
      </c>
      <c r="D204" s="3208">
        <v>0.129</v>
      </c>
      <c r="E204" s="3208">
        <v>0.123</v>
      </c>
      <c r="F204" s="3208">
        <v>0.13</v>
      </c>
      <c r="G204" s="3209">
        <v>0.13</v>
      </c>
    </row>
    <row r="205" spans="1:7">
      <c r="A205" s="3218" t="s">
        <v>1154</v>
      </c>
      <c r="B205" s="3207" t="s">
        <v>2901</v>
      </c>
      <c r="C205" s="3208">
        <v>0.13</v>
      </c>
      <c r="D205" s="3208">
        <v>0.13</v>
      </c>
      <c r="E205" s="3208">
        <v>0.13</v>
      </c>
      <c r="F205" s="3208">
        <v>0.13</v>
      </c>
      <c r="G205" s="3209">
        <v>0.13</v>
      </c>
    </row>
    <row r="206" spans="1:7">
      <c r="A206" s="3218" t="s">
        <v>1154</v>
      </c>
      <c r="B206" s="3207" t="s">
        <v>2902</v>
      </c>
      <c r="C206" s="3208">
        <v>0.13</v>
      </c>
      <c r="D206" s="3208">
        <v>0.13</v>
      </c>
      <c r="E206" s="3208">
        <v>0.13</v>
      </c>
      <c r="F206" s="3208">
        <v>0.128</v>
      </c>
      <c r="G206" s="3209">
        <v>0.13</v>
      </c>
    </row>
    <row r="207" spans="1:7">
      <c r="A207" s="3218" t="s">
        <v>1154</v>
      </c>
      <c r="B207" s="3207" t="s">
        <v>2903</v>
      </c>
      <c r="C207" s="3208">
        <v>0.13</v>
      </c>
      <c r="D207" s="3208">
        <v>0.13</v>
      </c>
      <c r="E207" s="3208">
        <v>0.13</v>
      </c>
      <c r="F207" s="3208">
        <v>0.13</v>
      </c>
      <c r="G207" s="3209">
        <v>0.13</v>
      </c>
    </row>
    <row r="208" spans="1:7">
      <c r="A208" s="3218" t="s">
        <v>1154</v>
      </c>
      <c r="B208" s="3207" t="s">
        <v>3085</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2905</v>
      </c>
      <c r="C210" s="3208">
        <v>0.121</v>
      </c>
      <c r="D210" s="3208">
        <v>0.121</v>
      </c>
      <c r="E210" s="3208">
        <v>0.125</v>
      </c>
      <c r="F210" s="3208">
        <v>0.13</v>
      </c>
      <c r="G210" s="3209">
        <v>0.123</v>
      </c>
    </row>
    <row r="211" spans="1:7">
      <c r="A211" s="3218" t="s">
        <v>1154</v>
      </c>
      <c r="B211" s="3207" t="s">
        <v>3086</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3087</v>
      </c>
      <c r="C214" s="3208">
        <v>0.128</v>
      </c>
      <c r="D214" s="3208">
        <v>0.128</v>
      </c>
      <c r="E214" s="3208">
        <v>0.13</v>
      </c>
      <c r="F214" s="3208">
        <v>0.13</v>
      </c>
      <c r="G214" s="3209">
        <v>0.13</v>
      </c>
    </row>
    <row r="215" spans="1:7">
      <c r="A215" s="3218" t="s">
        <v>1154</v>
      </c>
      <c r="B215" s="3207" t="s">
        <v>3088</v>
      </c>
      <c r="C215" s="3208">
        <v>0.13</v>
      </c>
      <c r="D215" s="3208">
        <v>0.13</v>
      </c>
      <c r="E215" s="3208">
        <v>0.13</v>
      </c>
      <c r="F215" s="3208">
        <v>0.129</v>
      </c>
      <c r="G215" s="3209">
        <v>0.13</v>
      </c>
    </row>
    <row r="216" spans="1:7">
      <c r="A216" s="3218" t="s">
        <v>1154</v>
      </c>
      <c r="B216" s="3207" t="s">
        <v>3089</v>
      </c>
      <c r="C216" s="3208">
        <v>0.13</v>
      </c>
      <c r="D216" s="3208">
        <v>0.13</v>
      </c>
      <c r="E216" s="3208">
        <v>0.13</v>
      </c>
      <c r="F216" s="3208">
        <v>0.13</v>
      </c>
      <c r="G216" s="3209">
        <v>0.13</v>
      </c>
    </row>
    <row r="217" spans="1:7">
      <c r="A217" s="3218" t="s">
        <v>1154</v>
      </c>
      <c r="B217" s="3207" t="s">
        <v>2909</v>
      </c>
      <c r="C217" s="3208">
        <v>0.129</v>
      </c>
      <c r="D217" s="3208">
        <v>0.129</v>
      </c>
      <c r="E217" s="3208">
        <v>0.13</v>
      </c>
      <c r="F217" s="3208">
        <v>0.13</v>
      </c>
      <c r="G217" s="3209">
        <v>0.13</v>
      </c>
    </row>
    <row r="218" spans="1:7">
      <c r="A218" s="3218" t="s">
        <v>1154</v>
      </c>
      <c r="B218" s="3207" t="s">
        <v>3090</v>
      </c>
      <c r="C218" s="3219"/>
      <c r="D218" s="3219"/>
      <c r="E218" s="3219"/>
      <c r="F218" s="3208">
        <v>0.05</v>
      </c>
      <c r="G218" s="3225"/>
    </row>
    <row r="219" spans="1:7">
      <c r="A219" s="3218" t="s">
        <v>1154</v>
      </c>
      <c r="B219" s="3207" t="s">
        <v>3091</v>
      </c>
      <c r="C219" s="3219"/>
      <c r="D219" s="3219"/>
      <c r="E219" s="3219"/>
      <c r="F219" s="3208">
        <v>0.05</v>
      </c>
      <c r="G219" s="3225"/>
    </row>
    <row r="220" spans="1:7">
      <c r="A220" s="3218" t="s">
        <v>1154</v>
      </c>
      <c r="B220" s="3207" t="s">
        <v>3092</v>
      </c>
      <c r="C220" s="3219"/>
      <c r="D220" s="3219"/>
      <c r="E220" s="3219"/>
      <c r="F220" s="3208">
        <v>0.05</v>
      </c>
      <c r="G220" s="3225"/>
    </row>
    <row r="221" spans="1:7">
      <c r="A221" s="3218" t="s">
        <v>1154</v>
      </c>
      <c r="B221" s="3207" t="s">
        <v>3093</v>
      </c>
      <c r="C221" s="3219"/>
      <c r="D221" s="3219"/>
      <c r="E221" s="3219"/>
      <c r="F221" s="3208">
        <v>0.05</v>
      </c>
      <c r="G221" s="3225"/>
    </row>
    <row r="222" spans="1:7">
      <c r="A222" s="3218" t="s">
        <v>1154</v>
      </c>
      <c r="B222" s="3207" t="s">
        <v>3094</v>
      </c>
      <c r="C222" s="3219"/>
      <c r="D222" s="3219"/>
      <c r="E222" s="3219"/>
      <c r="F222" s="3208">
        <v>0.05</v>
      </c>
      <c r="G222" s="3225"/>
    </row>
    <row r="223" spans="1:7">
      <c r="A223" s="3218" t="s">
        <v>1154</v>
      </c>
      <c r="B223" s="3207" t="s">
        <v>3095</v>
      </c>
      <c r="C223" s="3219"/>
      <c r="D223" s="3219"/>
      <c r="E223" s="3219"/>
      <c r="F223" s="3208">
        <v>0.05</v>
      </c>
      <c r="G223" s="3225"/>
    </row>
    <row r="224" spans="1:7">
      <c r="A224" s="3218" t="s">
        <v>1154</v>
      </c>
      <c r="B224" s="3207" t="s">
        <v>3096</v>
      </c>
      <c r="C224" s="3219"/>
      <c r="D224" s="3219"/>
      <c r="E224" s="3219"/>
      <c r="F224" s="3208">
        <v>0.05</v>
      </c>
      <c r="G224" s="3225"/>
    </row>
    <row r="225" spans="1:7">
      <c r="A225" s="3218" t="s">
        <v>1154</v>
      </c>
      <c r="B225" s="3207" t="s">
        <v>3097</v>
      </c>
      <c r="C225" s="3219"/>
      <c r="D225" s="3219"/>
      <c r="E225" s="3219"/>
      <c r="F225" s="3208">
        <v>0.05</v>
      </c>
      <c r="G225" s="3225"/>
    </row>
    <row r="226" spans="1:7">
      <c r="A226" s="3218" t="s">
        <v>1154</v>
      </c>
      <c r="B226" s="3207" t="s">
        <v>3098</v>
      </c>
      <c r="C226" s="3219"/>
      <c r="D226" s="3219"/>
      <c r="E226" s="3219"/>
      <c r="F226" s="3208">
        <v>0.05</v>
      </c>
      <c r="G226" s="3225"/>
    </row>
    <row r="227" spans="1:7">
      <c r="A227" s="3218" t="s">
        <v>1154</v>
      </c>
      <c r="B227" s="3207" t="s">
        <v>3099</v>
      </c>
      <c r="C227" s="3219"/>
      <c r="D227" s="3219"/>
      <c r="E227" s="3219"/>
      <c r="F227" s="3208">
        <v>0.05</v>
      </c>
      <c r="G227" s="3225"/>
    </row>
    <row r="228" spans="1:7">
      <c r="A228" s="3218" t="s">
        <v>1154</v>
      </c>
      <c r="B228" s="3207" t="s">
        <v>3100</v>
      </c>
      <c r="C228" s="3219"/>
      <c r="D228" s="3219"/>
      <c r="E228" s="3219"/>
      <c r="F228" s="3208">
        <v>0.05</v>
      </c>
      <c r="G228" s="3225"/>
    </row>
    <row r="229" spans="1:7">
      <c r="A229" s="3218" t="s">
        <v>1154</v>
      </c>
      <c r="B229" s="3207" t="s">
        <v>3101</v>
      </c>
      <c r="C229" s="3219"/>
      <c r="D229" s="3219"/>
      <c r="E229" s="3219"/>
      <c r="F229" s="3208">
        <v>0.05</v>
      </c>
      <c r="G229" s="3225"/>
    </row>
    <row r="230" spans="1:7">
      <c r="A230" s="3218" t="s">
        <v>1154</v>
      </c>
      <c r="B230" s="3207" t="s">
        <v>3102</v>
      </c>
      <c r="C230" s="3219"/>
      <c r="D230" s="3219"/>
      <c r="E230" s="3219"/>
      <c r="F230" s="3208">
        <v>0.05</v>
      </c>
      <c r="G230" s="3225"/>
    </row>
    <row r="231" spans="1:7">
      <c r="A231" s="3218" t="s">
        <v>1154</v>
      </c>
      <c r="B231" s="3207" t="s">
        <v>3103</v>
      </c>
      <c r="C231" s="3219"/>
      <c r="D231" s="3219"/>
      <c r="E231" s="3219"/>
      <c r="F231" s="3208">
        <v>0.05</v>
      </c>
      <c r="G231" s="3225"/>
    </row>
    <row r="232" spans="1:7">
      <c r="A232" s="3218" t="s">
        <v>1154</v>
      </c>
      <c r="B232" s="3207" t="s">
        <v>3104</v>
      </c>
      <c r="C232" s="3219"/>
      <c r="D232" s="3219"/>
      <c r="E232" s="3219"/>
      <c r="F232" s="3208">
        <v>0.05</v>
      </c>
      <c r="G232" s="3225"/>
    </row>
    <row r="233" spans="1:7" ht="14.25" thickBot="1">
      <c r="A233" s="3221" t="s">
        <v>1154</v>
      </c>
      <c r="B233" s="3211" t="s">
        <v>3105</v>
      </c>
      <c r="C233" s="3213"/>
      <c r="D233" s="3213"/>
      <c r="E233" s="3213"/>
      <c r="F233" s="3212">
        <v>0.05</v>
      </c>
      <c r="G233" s="3226"/>
    </row>
    <row r="234" spans="1:7">
      <c r="A234" s="3217" t="s">
        <v>1155</v>
      </c>
      <c r="B234" s="3203" t="s">
        <v>3106</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2927</v>
      </c>
      <c r="C238" s="3208">
        <v>0.14899999999999999</v>
      </c>
      <c r="D238" s="3208">
        <v>0.14899999999999999</v>
      </c>
      <c r="E238" s="3208">
        <v>0.15</v>
      </c>
      <c r="F238" s="3208">
        <v>0.15</v>
      </c>
      <c r="G238" s="3209">
        <v>0.15</v>
      </c>
    </row>
    <row r="239" spans="1:7">
      <c r="A239" s="3218" t="s">
        <v>1155</v>
      </c>
      <c r="B239" s="3207" t="s">
        <v>3107</v>
      </c>
      <c r="C239" s="3208">
        <v>0.15</v>
      </c>
      <c r="D239" s="3208">
        <v>0.15</v>
      </c>
      <c r="E239" s="3208">
        <v>0.15</v>
      </c>
      <c r="F239" s="3208">
        <v>0.15</v>
      </c>
      <c r="G239" s="3209">
        <v>0.15</v>
      </c>
    </row>
    <row r="240" spans="1:7">
      <c r="A240" s="3218" t="s">
        <v>1155</v>
      </c>
      <c r="B240" s="3207" t="s">
        <v>3108</v>
      </c>
      <c r="C240" s="3208">
        <v>0.15</v>
      </c>
      <c r="D240" s="3208">
        <v>0.15</v>
      </c>
      <c r="E240" s="3208">
        <v>0.15</v>
      </c>
      <c r="F240" s="3208">
        <v>0.15</v>
      </c>
      <c r="G240" s="3209">
        <v>0.15</v>
      </c>
    </row>
    <row r="241" spans="1:7">
      <c r="A241" s="3218" t="s">
        <v>1155</v>
      </c>
      <c r="B241" s="3207" t="s">
        <v>3109</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3110</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3111</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3112</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3113</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3114</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2936</v>
      </c>
      <c r="C258" s="3208">
        <v>0.14299999999999999</v>
      </c>
      <c r="D258" s="3208">
        <v>0.14299999999999999</v>
      </c>
      <c r="E258" s="3208">
        <v>0.15</v>
      </c>
      <c r="F258" s="3208">
        <v>0.14799999999999999</v>
      </c>
      <c r="G258" s="3209">
        <v>0.14599999999999999</v>
      </c>
    </row>
    <row r="259" spans="1:7">
      <c r="A259" s="3218" t="s">
        <v>1155</v>
      </c>
      <c r="B259" s="3207" t="s">
        <v>3115</v>
      </c>
      <c r="C259" s="3208">
        <v>0.14399999999999999</v>
      </c>
      <c r="D259" s="3208">
        <v>0.14399999999999999</v>
      </c>
      <c r="E259" s="3208">
        <v>0.14899999999999999</v>
      </c>
      <c r="F259" s="3208">
        <v>0.14699999999999999</v>
      </c>
      <c r="G259" s="3209">
        <v>0.14599999999999999</v>
      </c>
    </row>
    <row r="260" spans="1:7">
      <c r="A260" s="3218" t="s">
        <v>1155</v>
      </c>
      <c r="B260" s="3207" t="s">
        <v>3116</v>
      </c>
      <c r="C260" s="3208">
        <v>0.109</v>
      </c>
      <c r="D260" s="3208">
        <v>0.111</v>
      </c>
      <c r="E260" s="3208">
        <v>0.13100000000000001</v>
      </c>
      <c r="F260" s="3208">
        <v>0.126</v>
      </c>
      <c r="G260" s="3209">
        <v>0.11899999999999999</v>
      </c>
    </row>
    <row r="261" spans="1:7">
      <c r="A261" s="3218" t="s">
        <v>1155</v>
      </c>
      <c r="B261" s="3207" t="s">
        <v>3117</v>
      </c>
      <c r="C261" s="3208">
        <v>0.1</v>
      </c>
      <c r="D261" s="3208">
        <v>0.1</v>
      </c>
      <c r="E261" s="3208">
        <v>0.11799999999999999</v>
      </c>
      <c r="F261" s="3208">
        <v>0.108</v>
      </c>
      <c r="G261" s="3209">
        <v>0.107</v>
      </c>
    </row>
    <row r="262" spans="1:7">
      <c r="A262" s="3218" t="s">
        <v>1155</v>
      </c>
      <c r="B262" s="3207" t="s">
        <v>3118</v>
      </c>
      <c r="C262" s="3208">
        <v>0.1</v>
      </c>
      <c r="D262" s="3208">
        <v>0.1</v>
      </c>
      <c r="E262" s="3208">
        <v>0.1</v>
      </c>
      <c r="F262" s="3208">
        <v>0.14099999999999999</v>
      </c>
      <c r="G262" s="3209">
        <v>0.1</v>
      </c>
    </row>
    <row r="263" spans="1:7">
      <c r="A263" s="3218" t="s">
        <v>1155</v>
      </c>
      <c r="B263" s="3207" t="s">
        <v>3119</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3120</v>
      </c>
      <c r="C265" s="3219"/>
      <c r="D265" s="3219"/>
      <c r="E265" s="3219"/>
      <c r="F265" s="3208">
        <v>0.05</v>
      </c>
      <c r="G265" s="3225"/>
    </row>
    <row r="266" spans="1:7">
      <c r="A266" s="3218" t="s">
        <v>1155</v>
      </c>
      <c r="B266" s="3207" t="s">
        <v>3121</v>
      </c>
      <c r="C266" s="3219"/>
      <c r="D266" s="3219"/>
      <c r="E266" s="3219"/>
      <c r="F266" s="3208">
        <v>0.05</v>
      </c>
      <c r="G266" s="3225"/>
    </row>
    <row r="267" spans="1:7">
      <c r="A267" s="3218" t="s">
        <v>1155</v>
      </c>
      <c r="B267" s="3207" t="s">
        <v>3122</v>
      </c>
      <c r="C267" s="3219"/>
      <c r="D267" s="3219"/>
      <c r="E267" s="3219"/>
      <c r="F267" s="3208">
        <v>0.05</v>
      </c>
      <c r="G267" s="3225"/>
    </row>
    <row r="268" spans="1:7">
      <c r="A268" s="3218" t="s">
        <v>1155</v>
      </c>
      <c r="B268" s="3207" t="s">
        <v>3123</v>
      </c>
      <c r="C268" s="3219"/>
      <c r="D268" s="3219"/>
      <c r="E268" s="3219"/>
      <c r="F268" s="3208">
        <v>0.05</v>
      </c>
      <c r="G268" s="3225"/>
    </row>
    <row r="269" spans="1:7">
      <c r="A269" s="3218" t="s">
        <v>1155</v>
      </c>
      <c r="B269" s="3207" t="s">
        <v>3124</v>
      </c>
      <c r="C269" s="3219"/>
      <c r="D269" s="3219"/>
      <c r="E269" s="3219"/>
      <c r="F269" s="3208">
        <v>0.05</v>
      </c>
      <c r="G269" s="3225"/>
    </row>
    <row r="270" spans="1:7">
      <c r="A270" s="3218" t="s">
        <v>1155</v>
      </c>
      <c r="B270" s="3207" t="s">
        <v>3125</v>
      </c>
      <c r="C270" s="3219"/>
      <c r="D270" s="3219"/>
      <c r="E270" s="3219"/>
      <c r="F270" s="3208">
        <v>0.05</v>
      </c>
      <c r="G270" s="3225"/>
    </row>
    <row r="271" spans="1:7">
      <c r="A271" s="3218" t="s">
        <v>1155</v>
      </c>
      <c r="B271" s="3207" t="s">
        <v>3126</v>
      </c>
      <c r="C271" s="3219"/>
      <c r="D271" s="3219"/>
      <c r="E271" s="3219"/>
      <c r="F271" s="3208">
        <v>0.05</v>
      </c>
      <c r="G271" s="3225"/>
    </row>
    <row r="272" spans="1:7">
      <c r="A272" s="3218" t="s">
        <v>1155</v>
      </c>
      <c r="B272" s="3207" t="s">
        <v>3127</v>
      </c>
      <c r="C272" s="3219"/>
      <c r="D272" s="3219"/>
      <c r="E272" s="3219"/>
      <c r="F272" s="3208">
        <v>0.05</v>
      </c>
      <c r="G272" s="3225"/>
    </row>
    <row r="273" spans="1:7">
      <c r="A273" s="3218" t="s">
        <v>1155</v>
      </c>
      <c r="B273" s="3207" t="s">
        <v>3128</v>
      </c>
      <c r="C273" s="3219"/>
      <c r="D273" s="3219"/>
      <c r="E273" s="3219"/>
      <c r="F273" s="3208">
        <v>0.05</v>
      </c>
      <c r="G273" s="3225"/>
    </row>
    <row r="274" spans="1:7">
      <c r="A274" s="3218" t="s">
        <v>1155</v>
      </c>
      <c r="B274" s="3207" t="s">
        <v>3129</v>
      </c>
      <c r="C274" s="3219"/>
      <c r="D274" s="3219"/>
      <c r="E274" s="3219"/>
      <c r="F274" s="3208">
        <v>0.05</v>
      </c>
      <c r="G274" s="3225"/>
    </row>
    <row r="275" spans="1:7">
      <c r="A275" s="3218" t="s">
        <v>1155</v>
      </c>
      <c r="B275" s="3207" t="s">
        <v>3130</v>
      </c>
      <c r="C275" s="3219"/>
      <c r="D275" s="3219"/>
      <c r="E275" s="3219"/>
      <c r="F275" s="3208">
        <v>0.05</v>
      </c>
      <c r="G275" s="3225"/>
    </row>
    <row r="276" spans="1:7" ht="14.25" thickBot="1">
      <c r="A276" s="3221" t="s">
        <v>1155</v>
      </c>
      <c r="B276" s="3211" t="s">
        <v>3131</v>
      </c>
      <c r="C276" s="3213"/>
      <c r="D276" s="3213"/>
      <c r="E276" s="3213"/>
      <c r="F276" s="3212">
        <v>0.05</v>
      </c>
      <c r="G276" s="3226"/>
    </row>
    <row r="277" spans="1:7">
      <c r="A277" s="3217" t="s">
        <v>1156</v>
      </c>
      <c r="B277" s="3203" t="s">
        <v>3132</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3133</v>
      </c>
      <c r="C279" s="3208">
        <v>0.15</v>
      </c>
      <c r="D279" s="3208">
        <v>0.15</v>
      </c>
      <c r="E279" s="3208">
        <v>0.15</v>
      </c>
      <c r="F279" s="3208">
        <v>0.15</v>
      </c>
      <c r="G279" s="3209">
        <v>0.15</v>
      </c>
    </row>
    <row r="280" spans="1:7">
      <c r="A280" s="3218" t="s">
        <v>1156</v>
      </c>
      <c r="B280" s="3207" t="s">
        <v>3134</v>
      </c>
      <c r="C280" s="3208">
        <v>0.15</v>
      </c>
      <c r="D280" s="3208">
        <v>0.15</v>
      </c>
      <c r="E280" s="3208">
        <v>0.15</v>
      </c>
      <c r="F280" s="3208">
        <v>0.15</v>
      </c>
      <c r="G280" s="3209">
        <v>0.15</v>
      </c>
    </row>
    <row r="281" spans="1:7">
      <c r="A281" s="3218" t="s">
        <v>1156</v>
      </c>
      <c r="B281" s="3207" t="s">
        <v>3135</v>
      </c>
      <c r="C281" s="3208">
        <v>0.15</v>
      </c>
      <c r="D281" s="3208">
        <v>0.15</v>
      </c>
      <c r="E281" s="3208">
        <v>0.15</v>
      </c>
      <c r="F281" s="3208">
        <v>0.15</v>
      </c>
      <c r="G281" s="3209">
        <v>0.15</v>
      </c>
    </row>
    <row r="282" spans="1:7">
      <c r="A282" s="3218" t="s">
        <v>1156</v>
      </c>
      <c r="B282" s="3207" t="s">
        <v>3136</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3137</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3138</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2961</v>
      </c>
      <c r="C293" s="3208">
        <v>0.15</v>
      </c>
      <c r="D293" s="3208">
        <v>0.15</v>
      </c>
      <c r="E293" s="3208">
        <v>0.15</v>
      </c>
      <c r="F293" s="3208">
        <v>0.14499999999999999</v>
      </c>
      <c r="G293" s="3209">
        <v>0.15</v>
      </c>
    </row>
    <row r="294" spans="1:7">
      <c r="A294" s="3218" t="s">
        <v>1156</v>
      </c>
      <c r="B294" s="3207" t="s">
        <v>3139</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2963</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3140</v>
      </c>
      <c r="C302" s="3208">
        <v>0.15</v>
      </c>
      <c r="D302" s="3208">
        <v>0.15</v>
      </c>
      <c r="E302" s="3208">
        <v>0.15</v>
      </c>
      <c r="F302" s="3208">
        <v>0.14699999999999999</v>
      </c>
      <c r="G302" s="3209">
        <v>0.15</v>
      </c>
    </row>
    <row r="303" spans="1:7">
      <c r="A303" s="3218" t="s">
        <v>1156</v>
      </c>
      <c r="B303" s="3207" t="s">
        <v>2965</v>
      </c>
      <c r="C303" s="3208">
        <v>0.15</v>
      </c>
      <c r="D303" s="3208">
        <v>0.15</v>
      </c>
      <c r="E303" s="3208">
        <v>0.15</v>
      </c>
      <c r="F303" s="3208">
        <v>0.14199999999999999</v>
      </c>
      <c r="G303" s="3209">
        <v>0.15</v>
      </c>
    </row>
    <row r="304" spans="1:7">
      <c r="A304" s="3218" t="s">
        <v>1156</v>
      </c>
      <c r="B304" s="3207" t="s">
        <v>2966</v>
      </c>
      <c r="C304" s="3208">
        <v>0.15</v>
      </c>
      <c r="D304" s="3208">
        <v>0.15</v>
      </c>
      <c r="E304" s="3208">
        <v>0.15</v>
      </c>
      <c r="F304" s="3208">
        <v>0.14499999999999999</v>
      </c>
      <c r="G304" s="3209">
        <v>0.15</v>
      </c>
    </row>
    <row r="305" spans="1:7">
      <c r="A305" s="3218" t="s">
        <v>1156</v>
      </c>
      <c r="B305" s="3207" t="s">
        <v>2967</v>
      </c>
      <c r="C305" s="3208">
        <v>0.15</v>
      </c>
      <c r="D305" s="3208">
        <v>0.15</v>
      </c>
      <c r="E305" s="3208">
        <v>0.15</v>
      </c>
      <c r="F305" s="3208">
        <v>0.111</v>
      </c>
      <c r="G305" s="3209">
        <v>0.15</v>
      </c>
    </row>
    <row r="306" spans="1:7">
      <c r="A306" s="3218" t="s">
        <v>1156</v>
      </c>
      <c r="B306" s="3207" t="s">
        <v>3141</v>
      </c>
      <c r="C306" s="3208">
        <v>0.15</v>
      </c>
      <c r="D306" s="3208">
        <v>0.15</v>
      </c>
      <c r="E306" s="3208">
        <v>0.15</v>
      </c>
      <c r="F306" s="3208">
        <v>0.126</v>
      </c>
      <c r="G306" s="3209">
        <v>0.15</v>
      </c>
    </row>
    <row r="307" spans="1:7">
      <c r="A307" s="3218" t="s">
        <v>1156</v>
      </c>
      <c r="B307" s="3207" t="s">
        <v>2969</v>
      </c>
      <c r="C307" s="3208">
        <v>0.15</v>
      </c>
      <c r="D307" s="3208">
        <v>0.15</v>
      </c>
      <c r="E307" s="3208">
        <v>0.15</v>
      </c>
      <c r="F307" s="3208">
        <v>0.12</v>
      </c>
      <c r="G307" s="3209">
        <v>0.15</v>
      </c>
    </row>
    <row r="308" spans="1:7">
      <c r="A308" s="3218" t="s">
        <v>1156</v>
      </c>
      <c r="B308" s="3207" t="s">
        <v>3142</v>
      </c>
      <c r="C308" s="3208">
        <v>0.15</v>
      </c>
      <c r="D308" s="3208">
        <v>0.15</v>
      </c>
      <c r="E308" s="3208">
        <v>0.15</v>
      </c>
      <c r="F308" s="3208">
        <v>0.13</v>
      </c>
      <c r="G308" s="3209">
        <v>0.15</v>
      </c>
    </row>
    <row r="309" spans="1:7">
      <c r="A309" s="3218" t="s">
        <v>1156</v>
      </c>
      <c r="B309" s="3207" t="s">
        <v>3143</v>
      </c>
      <c r="C309" s="3208">
        <v>0.15</v>
      </c>
      <c r="D309" s="3208">
        <v>0.15</v>
      </c>
      <c r="E309" s="3208">
        <v>0.15</v>
      </c>
      <c r="F309" s="3208">
        <v>0.14099999999999999</v>
      </c>
      <c r="G309" s="3209">
        <v>0.15</v>
      </c>
    </row>
    <row r="310" spans="1:7">
      <c r="A310" s="3218" t="s">
        <v>1156</v>
      </c>
      <c r="B310" s="3207" t="s">
        <v>2972</v>
      </c>
      <c r="C310" s="3208">
        <v>0.15</v>
      </c>
      <c r="D310" s="3208">
        <v>0.15</v>
      </c>
      <c r="E310" s="3208">
        <v>0.15</v>
      </c>
      <c r="F310" s="3208">
        <v>0.15</v>
      </c>
      <c r="G310" s="3209">
        <v>0.15</v>
      </c>
    </row>
    <row r="311" spans="1:7">
      <c r="A311" s="3218" t="s">
        <v>1156</v>
      </c>
      <c r="B311" s="3207" t="s">
        <v>3144</v>
      </c>
      <c r="C311" s="3208">
        <v>0.13200000000000001</v>
      </c>
      <c r="D311" s="3208">
        <v>0.13300000000000001</v>
      </c>
      <c r="E311" s="3208">
        <v>0.14499999999999999</v>
      </c>
      <c r="F311" s="3208">
        <v>0.14199999999999999</v>
      </c>
      <c r="G311" s="3209">
        <v>0.14000000000000001</v>
      </c>
    </row>
    <row r="312" spans="1:7">
      <c r="A312" s="3218" t="s">
        <v>1156</v>
      </c>
      <c r="B312" s="3207" t="s">
        <v>2974</v>
      </c>
      <c r="C312" s="3208">
        <v>0.13800000000000001</v>
      </c>
      <c r="D312" s="3208">
        <v>0.14000000000000001</v>
      </c>
      <c r="E312" s="3208">
        <v>0.14599999999999999</v>
      </c>
      <c r="F312" s="3208">
        <v>0.14899999999999999</v>
      </c>
      <c r="G312" s="3209">
        <v>0.14199999999999999</v>
      </c>
    </row>
    <row r="313" spans="1:7">
      <c r="A313" s="3218" t="s">
        <v>1156</v>
      </c>
      <c r="B313" s="3207" t="s">
        <v>2975</v>
      </c>
      <c r="C313" s="3208">
        <v>0.125</v>
      </c>
      <c r="D313" s="3208">
        <v>0.127</v>
      </c>
      <c r="E313" s="3208">
        <v>0.14399999999999999</v>
      </c>
      <c r="F313" s="3208">
        <v>0.115</v>
      </c>
      <c r="G313" s="3209">
        <v>0.13600000000000001</v>
      </c>
    </row>
    <row r="314" spans="1:7">
      <c r="A314" s="3218" t="s">
        <v>1156</v>
      </c>
      <c r="B314" s="3207" t="s">
        <v>3145</v>
      </c>
      <c r="C314" s="3224"/>
      <c r="D314" s="3224"/>
      <c r="E314" s="3224"/>
      <c r="F314" s="3208">
        <v>0.05</v>
      </c>
      <c r="G314" s="3225"/>
    </row>
    <row r="315" spans="1:7">
      <c r="A315" s="3218" t="s">
        <v>1156</v>
      </c>
      <c r="B315" s="3207" t="s">
        <v>3146</v>
      </c>
      <c r="C315" s="3224"/>
      <c r="D315" s="3224"/>
      <c r="E315" s="3224"/>
      <c r="F315" s="3208">
        <v>0.05</v>
      </c>
      <c r="G315" s="3225"/>
    </row>
    <row r="316" spans="1:7">
      <c r="A316" s="3218" t="s">
        <v>1156</v>
      </c>
      <c r="B316" s="3207" t="s">
        <v>3147</v>
      </c>
      <c r="C316" s="3219"/>
      <c r="D316" s="3219"/>
      <c r="E316" s="3219"/>
      <c r="F316" s="3208">
        <v>0.05</v>
      </c>
      <c r="G316" s="3225"/>
    </row>
    <row r="317" spans="1:7">
      <c r="A317" s="3218" t="s">
        <v>1156</v>
      </c>
      <c r="B317" s="3207" t="s">
        <v>3148</v>
      </c>
      <c r="C317" s="3219"/>
      <c r="D317" s="3219"/>
      <c r="E317" s="3219"/>
      <c r="F317" s="3208">
        <v>0.05</v>
      </c>
      <c r="G317" s="3225"/>
    </row>
    <row r="318" spans="1:7">
      <c r="A318" s="3218" t="s">
        <v>1156</v>
      </c>
      <c r="B318" s="3207" t="s">
        <v>3149</v>
      </c>
      <c r="C318" s="3219"/>
      <c r="D318" s="3219"/>
      <c r="E318" s="3219"/>
      <c r="F318" s="3208">
        <v>0.05</v>
      </c>
      <c r="G318" s="3225"/>
    </row>
    <row r="319" spans="1:7">
      <c r="A319" s="3218" t="s">
        <v>1156</v>
      </c>
      <c r="B319" s="3207" t="s">
        <v>3150</v>
      </c>
      <c r="C319" s="3219"/>
      <c r="D319" s="3219"/>
      <c r="E319" s="3219"/>
      <c r="F319" s="3208">
        <v>0.05</v>
      </c>
      <c r="G319" s="3225"/>
    </row>
    <row r="320" spans="1:7">
      <c r="A320" s="3218" t="s">
        <v>1156</v>
      </c>
      <c r="B320" s="3207" t="s">
        <v>3151</v>
      </c>
      <c r="C320" s="3219"/>
      <c r="D320" s="3219"/>
      <c r="E320" s="3219"/>
      <c r="F320" s="3208">
        <v>0.05</v>
      </c>
      <c r="G320" s="3225"/>
    </row>
    <row r="321" spans="1:7">
      <c r="A321" s="3218" t="s">
        <v>1156</v>
      </c>
      <c r="B321" s="3207" t="s">
        <v>3152</v>
      </c>
      <c r="C321" s="3219"/>
      <c r="D321" s="3219"/>
      <c r="E321" s="3219"/>
      <c r="F321" s="3208">
        <v>0.05</v>
      </c>
      <c r="G321" s="3225"/>
    </row>
    <row r="322" spans="1:7">
      <c r="A322" s="3218" t="s">
        <v>1156</v>
      </c>
      <c r="B322" s="3207" t="s">
        <v>3153</v>
      </c>
      <c r="C322" s="3219"/>
      <c r="D322" s="3219"/>
      <c r="E322" s="3219"/>
      <c r="F322" s="3208">
        <v>0.05</v>
      </c>
      <c r="G322" s="3225"/>
    </row>
    <row r="323" spans="1:7">
      <c r="A323" s="3218" t="s">
        <v>1156</v>
      </c>
      <c r="B323" s="3207" t="s">
        <v>3154</v>
      </c>
      <c r="C323" s="3219"/>
      <c r="D323" s="3219"/>
      <c r="E323" s="3219"/>
      <c r="F323" s="3208">
        <v>0.05</v>
      </c>
      <c r="G323" s="3225"/>
    </row>
    <row r="324" spans="1:7">
      <c r="A324" s="3218" t="s">
        <v>1156</v>
      </c>
      <c r="B324" s="3207" t="s">
        <v>3155</v>
      </c>
      <c r="C324" s="3219"/>
      <c r="D324" s="3219"/>
      <c r="E324" s="3219"/>
      <c r="F324" s="3208">
        <v>0.05</v>
      </c>
      <c r="G324" s="3225"/>
    </row>
    <row r="325" spans="1:7">
      <c r="A325" s="3218" t="s">
        <v>1156</v>
      </c>
      <c r="B325" s="3207" t="s">
        <v>3156</v>
      </c>
      <c r="C325" s="3219"/>
      <c r="D325" s="3219"/>
      <c r="E325" s="3219"/>
      <c r="F325" s="3208">
        <v>0.05</v>
      </c>
      <c r="G325" s="3225"/>
    </row>
    <row r="326" spans="1:7" ht="14.25" thickBot="1">
      <c r="A326" s="3221" t="s">
        <v>1156</v>
      </c>
      <c r="B326" s="3211" t="s">
        <v>3157</v>
      </c>
      <c r="C326" s="3213"/>
      <c r="D326" s="3213"/>
      <c r="E326" s="3213"/>
      <c r="F326" s="3212">
        <v>0.05</v>
      </c>
      <c r="G326" s="3226"/>
    </row>
    <row r="327" spans="1:7">
      <c r="A327" s="3217" t="s">
        <v>1157</v>
      </c>
      <c r="B327" s="3203" t="s">
        <v>3158</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3159</v>
      </c>
      <c r="C329" s="3208">
        <v>0.15</v>
      </c>
      <c r="D329" s="3208">
        <v>0.15</v>
      </c>
      <c r="E329" s="3208">
        <v>0.15</v>
      </c>
      <c r="F329" s="3208">
        <v>0.15</v>
      </c>
      <c r="G329" s="3209">
        <v>0.15</v>
      </c>
    </row>
    <row r="330" spans="1:7">
      <c r="A330" s="3218" t="s">
        <v>1157</v>
      </c>
      <c r="B330" s="3207" t="s">
        <v>3160</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2992</v>
      </c>
      <c r="C332" s="3208">
        <v>0.15</v>
      </c>
      <c r="D332" s="3208">
        <v>0.15</v>
      </c>
      <c r="E332" s="3208">
        <v>0.15</v>
      </c>
      <c r="F332" s="3208">
        <v>0.15</v>
      </c>
      <c r="G332" s="3209">
        <v>0.15</v>
      </c>
    </row>
    <row r="333" spans="1:7">
      <c r="A333" s="3218" t="s">
        <v>1157</v>
      </c>
      <c r="B333" s="3207" t="s">
        <v>3161</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2994</v>
      </c>
      <c r="C336" s="3208">
        <v>0.15</v>
      </c>
      <c r="D336" s="3208">
        <v>0.15</v>
      </c>
      <c r="E336" s="3208">
        <v>0.15</v>
      </c>
      <c r="F336" s="3208">
        <v>0.14199999999999999</v>
      </c>
      <c r="G336" s="3209">
        <v>0.15</v>
      </c>
    </row>
    <row r="337" spans="1:7">
      <c r="A337" s="3218" t="s">
        <v>1157</v>
      </c>
      <c r="B337" s="3207" t="s">
        <v>3162</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3163</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3164</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2998</v>
      </c>
      <c r="C345" s="3208">
        <v>0.15</v>
      </c>
      <c r="D345" s="3208">
        <v>0.15</v>
      </c>
      <c r="E345" s="3208">
        <v>0.15</v>
      </c>
      <c r="F345" s="3208">
        <v>0.13800000000000001</v>
      </c>
      <c r="G345" s="3209">
        <v>0.15</v>
      </c>
    </row>
    <row r="346" spans="1:7">
      <c r="A346" s="3218" t="s">
        <v>1157</v>
      </c>
      <c r="B346" s="3207" t="s">
        <v>3165</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3000</v>
      </c>
      <c r="C348" s="3208">
        <v>0.15</v>
      </c>
      <c r="D348" s="3208">
        <v>0.15</v>
      </c>
      <c r="E348" s="3208">
        <v>0.15</v>
      </c>
      <c r="F348" s="3208">
        <v>0.14399999999999999</v>
      </c>
      <c r="G348" s="3209">
        <v>0.15</v>
      </c>
    </row>
    <row r="349" spans="1:7">
      <c r="A349" s="3218" t="s">
        <v>1157</v>
      </c>
      <c r="B349" s="3207" t="s">
        <v>3001</v>
      </c>
      <c r="C349" s="3208">
        <v>0.15</v>
      </c>
      <c r="D349" s="3208">
        <v>0.15</v>
      </c>
      <c r="E349" s="3208">
        <v>0.15</v>
      </c>
      <c r="F349" s="3208">
        <v>0.15</v>
      </c>
      <c r="G349" s="3209">
        <v>0.15</v>
      </c>
    </row>
    <row r="350" spans="1:7">
      <c r="A350" s="3218" t="s">
        <v>1157</v>
      </c>
      <c r="B350" s="3207" t="s">
        <v>3166</v>
      </c>
      <c r="C350" s="3208">
        <v>0.15</v>
      </c>
      <c r="D350" s="3208">
        <v>0.15</v>
      </c>
      <c r="E350" s="3208">
        <v>0.15</v>
      </c>
      <c r="F350" s="3208">
        <v>0.14699999999999999</v>
      </c>
      <c r="G350" s="3209">
        <v>0.15</v>
      </c>
    </row>
    <row r="351" spans="1:7">
      <c r="A351" s="3218" t="s">
        <v>1157</v>
      </c>
      <c r="B351" s="3207" t="s">
        <v>3003</v>
      </c>
      <c r="C351" s="3208">
        <v>0.15</v>
      </c>
      <c r="D351" s="3208">
        <v>0.15</v>
      </c>
      <c r="E351" s="3208">
        <v>0.15</v>
      </c>
      <c r="F351" s="3208">
        <v>0.13</v>
      </c>
      <c r="G351" s="3209">
        <v>0.15</v>
      </c>
    </row>
    <row r="352" spans="1:7">
      <c r="A352" s="3218" t="s">
        <v>1157</v>
      </c>
      <c r="B352" s="3207" t="s">
        <v>3004</v>
      </c>
      <c r="C352" s="3208">
        <v>0.15</v>
      </c>
      <c r="D352" s="3208">
        <v>0.15</v>
      </c>
      <c r="E352" s="3208">
        <v>0.15</v>
      </c>
      <c r="F352" s="3208">
        <v>0.14599999999999999</v>
      </c>
      <c r="G352" s="3209">
        <v>0.15</v>
      </c>
    </row>
    <row r="353" spans="1:7">
      <c r="A353" s="3218" t="s">
        <v>1157</v>
      </c>
      <c r="B353" s="3207" t="s">
        <v>3167</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3006</v>
      </c>
      <c r="C355" s="3208">
        <v>0.15</v>
      </c>
      <c r="D355" s="3208">
        <v>0.15</v>
      </c>
      <c r="E355" s="3208">
        <v>0.15</v>
      </c>
      <c r="F355" s="3208">
        <v>0.15</v>
      </c>
      <c r="G355" s="3209">
        <v>0.15</v>
      </c>
    </row>
    <row r="356" spans="1:7">
      <c r="A356" s="3218" t="s">
        <v>1157</v>
      </c>
      <c r="B356" s="3207" t="s">
        <v>3007</v>
      </c>
      <c r="C356" s="3208">
        <v>0.15</v>
      </c>
      <c r="D356" s="3208">
        <v>0.15</v>
      </c>
      <c r="E356" s="3208">
        <v>0.15</v>
      </c>
      <c r="F356" s="3208">
        <v>0.15</v>
      </c>
      <c r="G356" s="3209">
        <v>0.15</v>
      </c>
    </row>
    <row r="357" spans="1:7" ht="14.25" thickBot="1">
      <c r="A357" s="3221" t="s">
        <v>1157</v>
      </c>
      <c r="B357" s="3211" t="s">
        <v>3168</v>
      </c>
      <c r="C357" s="3212">
        <v>0.126</v>
      </c>
      <c r="D357" s="3212">
        <v>0.127</v>
      </c>
      <c r="E357" s="3212">
        <v>0.14299999999999999</v>
      </c>
      <c r="F357" s="3212">
        <v>0.125</v>
      </c>
      <c r="G357" s="3214">
        <v>0.129</v>
      </c>
    </row>
    <row r="358" spans="1:7">
      <c r="A358" s="3217" t="s">
        <v>3169</v>
      </c>
      <c r="B358" s="3203" t="s">
        <v>3170</v>
      </c>
      <c r="C358" s="3204">
        <v>0.15</v>
      </c>
      <c r="D358" s="3204">
        <v>0.15</v>
      </c>
      <c r="E358" s="3204">
        <v>0.15</v>
      </c>
      <c r="F358" s="3204">
        <v>0.15</v>
      </c>
      <c r="G358" s="3205">
        <v>0.15</v>
      </c>
    </row>
    <row r="359" spans="1:7">
      <c r="A359" s="3218" t="s">
        <v>3169</v>
      </c>
      <c r="B359" s="3207" t="s">
        <v>3171</v>
      </c>
      <c r="C359" s="3208">
        <v>0.1</v>
      </c>
      <c r="D359" s="3208">
        <v>0.1</v>
      </c>
      <c r="E359" s="3208">
        <v>0.1</v>
      </c>
      <c r="F359" s="3208">
        <v>0.1</v>
      </c>
      <c r="G359" s="3209">
        <v>0.1</v>
      </c>
    </row>
    <row r="360" spans="1:7">
      <c r="A360" s="3218" t="s">
        <v>3169</v>
      </c>
      <c r="B360" s="3207" t="s">
        <v>3172</v>
      </c>
      <c r="C360" s="3208">
        <v>0.15</v>
      </c>
      <c r="D360" s="3208">
        <v>0.15</v>
      </c>
      <c r="E360" s="3208">
        <v>0.15</v>
      </c>
      <c r="F360" s="3208">
        <v>0.14899999999999999</v>
      </c>
      <c r="G360" s="3209">
        <v>0.15</v>
      </c>
    </row>
    <row r="361" spans="1:7">
      <c r="A361" s="3218" t="s">
        <v>3169</v>
      </c>
      <c r="B361" s="3207" t="s">
        <v>999</v>
      </c>
      <c r="C361" s="3208">
        <v>0.15</v>
      </c>
      <c r="D361" s="3208">
        <v>0.15</v>
      </c>
      <c r="E361" s="3208">
        <v>0.15</v>
      </c>
      <c r="F361" s="3208">
        <v>0.115</v>
      </c>
      <c r="G361" s="3209">
        <v>0.15</v>
      </c>
    </row>
    <row r="362" spans="1:7">
      <c r="A362" s="3218" t="s">
        <v>3169</v>
      </c>
      <c r="B362" s="3207" t="s">
        <v>3173</v>
      </c>
      <c r="C362" s="3208">
        <v>0.15</v>
      </c>
      <c r="D362" s="3208">
        <v>0.15</v>
      </c>
      <c r="E362" s="3208">
        <v>0.15</v>
      </c>
      <c r="F362" s="3208">
        <v>0.106</v>
      </c>
      <c r="G362" s="3209">
        <v>0.15</v>
      </c>
    </row>
    <row r="363" spans="1:7">
      <c r="A363" s="3218" t="s">
        <v>3169</v>
      </c>
      <c r="B363" s="3207" t="s">
        <v>3013</v>
      </c>
      <c r="C363" s="3208">
        <v>0.15</v>
      </c>
      <c r="D363" s="3208">
        <v>0.15</v>
      </c>
      <c r="E363" s="3208">
        <v>0.15</v>
      </c>
      <c r="F363" s="3208">
        <v>0.14699999999999999</v>
      </c>
      <c r="G363" s="3209">
        <v>0.15</v>
      </c>
    </row>
    <row r="364" spans="1:7">
      <c r="A364" s="3218" t="s">
        <v>3169</v>
      </c>
      <c r="B364" s="3207" t="s">
        <v>3174</v>
      </c>
      <c r="C364" s="3208">
        <v>0.15</v>
      </c>
      <c r="D364" s="3208">
        <v>0.15</v>
      </c>
      <c r="E364" s="3208">
        <v>0.15</v>
      </c>
      <c r="F364" s="3208">
        <v>0.14799999999999999</v>
      </c>
      <c r="G364" s="3209">
        <v>0.15</v>
      </c>
    </row>
    <row r="365" spans="1:7">
      <c r="A365" s="3218" t="s">
        <v>3169</v>
      </c>
      <c r="B365" s="3207" t="s">
        <v>1047</v>
      </c>
      <c r="C365" s="3208">
        <v>0.15</v>
      </c>
      <c r="D365" s="3208">
        <v>0.15</v>
      </c>
      <c r="E365" s="3208">
        <v>0.15</v>
      </c>
      <c r="F365" s="3208">
        <v>0.15</v>
      </c>
      <c r="G365" s="3209">
        <v>0.15</v>
      </c>
    </row>
    <row r="366" spans="1:7">
      <c r="A366" s="3218" t="s">
        <v>3169</v>
      </c>
      <c r="B366" s="3207" t="s">
        <v>3015</v>
      </c>
      <c r="C366" s="3208">
        <v>0.15</v>
      </c>
      <c r="D366" s="3208">
        <v>0.15</v>
      </c>
      <c r="E366" s="3208">
        <v>0.15</v>
      </c>
      <c r="F366" s="3208">
        <v>0.15</v>
      </c>
      <c r="G366" s="3209">
        <v>0.15</v>
      </c>
    </row>
    <row r="367" spans="1:7">
      <c r="A367" s="3218" t="s">
        <v>3169</v>
      </c>
      <c r="B367" s="3207" t="s">
        <v>3175</v>
      </c>
      <c r="C367" s="3208">
        <v>0.15</v>
      </c>
      <c r="D367" s="3208">
        <v>0.15</v>
      </c>
      <c r="E367" s="3208">
        <v>0.15</v>
      </c>
      <c r="F367" s="3208">
        <v>0.14699999999999999</v>
      </c>
      <c r="G367" s="3209">
        <v>0.15</v>
      </c>
    </row>
    <row r="368" spans="1:7">
      <c r="A368" s="3218" t="s">
        <v>3169</v>
      </c>
      <c r="B368" s="3207" t="s">
        <v>3176</v>
      </c>
      <c r="C368" s="3208">
        <v>0.15</v>
      </c>
      <c r="D368" s="3208">
        <v>0.15</v>
      </c>
      <c r="E368" s="3208">
        <v>0.15</v>
      </c>
      <c r="F368" s="3208">
        <v>0.13600000000000001</v>
      </c>
      <c r="G368" s="3209">
        <v>0.15</v>
      </c>
    </row>
    <row r="369" spans="1:7">
      <c r="A369" s="3218" t="s">
        <v>3169</v>
      </c>
      <c r="B369" s="3207" t="s">
        <v>1061</v>
      </c>
      <c r="C369" s="3208">
        <v>0.15</v>
      </c>
      <c r="D369" s="3208">
        <v>0.15</v>
      </c>
      <c r="E369" s="3208">
        <v>0.15</v>
      </c>
      <c r="F369" s="3208">
        <v>0.14399999999999999</v>
      </c>
      <c r="G369" s="3209">
        <v>0.15</v>
      </c>
    </row>
    <row r="370" spans="1:7">
      <c r="A370" s="3218" t="s">
        <v>3169</v>
      </c>
      <c r="B370" s="3207" t="s">
        <v>1069</v>
      </c>
      <c r="C370" s="3208">
        <v>0.15</v>
      </c>
      <c r="D370" s="3208">
        <v>0.15</v>
      </c>
      <c r="E370" s="3208">
        <v>0.15</v>
      </c>
      <c r="F370" s="3208">
        <v>0.14599999999999999</v>
      </c>
      <c r="G370" s="3209">
        <v>0.15</v>
      </c>
    </row>
    <row r="371" spans="1:7">
      <c r="A371" s="3218" t="s">
        <v>3169</v>
      </c>
      <c r="B371" s="3207" t="s">
        <v>1077</v>
      </c>
      <c r="C371" s="3208">
        <v>0.15</v>
      </c>
      <c r="D371" s="3208">
        <v>0.15</v>
      </c>
      <c r="E371" s="3208">
        <v>0.15</v>
      </c>
      <c r="F371" s="3208">
        <v>0.12</v>
      </c>
      <c r="G371" s="3209">
        <v>0.15</v>
      </c>
    </row>
    <row r="372" spans="1:7">
      <c r="A372" s="3218" t="s">
        <v>3169</v>
      </c>
      <c r="B372" s="3207" t="s">
        <v>3177</v>
      </c>
      <c r="C372" s="3208">
        <v>0.15</v>
      </c>
      <c r="D372" s="3208">
        <v>0.15</v>
      </c>
      <c r="E372" s="3208">
        <v>0.15</v>
      </c>
      <c r="F372" s="3208">
        <v>0.14299999999999999</v>
      </c>
      <c r="G372" s="3209">
        <v>0.15</v>
      </c>
    </row>
    <row r="373" spans="1:7">
      <c r="A373" s="3218" t="s">
        <v>3169</v>
      </c>
      <c r="B373" s="3207" t="s">
        <v>1106</v>
      </c>
      <c r="C373" s="3208">
        <v>0.15</v>
      </c>
      <c r="D373" s="3208">
        <v>0.15</v>
      </c>
      <c r="E373" s="3208">
        <v>0.15</v>
      </c>
      <c r="F373" s="3208">
        <v>0.14599999999999999</v>
      </c>
      <c r="G373" s="3209">
        <v>0.15</v>
      </c>
    </row>
    <row r="374" spans="1:7">
      <c r="A374" s="3218" t="s">
        <v>3169</v>
      </c>
      <c r="B374" s="3207" t="s">
        <v>1114</v>
      </c>
      <c r="C374" s="3208">
        <v>0.15</v>
      </c>
      <c r="D374" s="3208">
        <v>0.15</v>
      </c>
      <c r="E374" s="3208">
        <v>0.15</v>
      </c>
      <c r="F374" s="3208">
        <v>0.14399999999999999</v>
      </c>
      <c r="G374" s="3209">
        <v>0.15</v>
      </c>
    </row>
    <row r="375" spans="1:7">
      <c r="A375" s="3218" t="s">
        <v>3169</v>
      </c>
      <c r="B375" s="3207" t="s">
        <v>3178</v>
      </c>
      <c r="C375" s="3208">
        <v>0.15</v>
      </c>
      <c r="D375" s="3208">
        <v>0.15</v>
      </c>
      <c r="E375" s="3208">
        <v>0.15</v>
      </c>
      <c r="F375" s="3208">
        <v>0.13</v>
      </c>
      <c r="G375" s="3209">
        <v>0.15</v>
      </c>
    </row>
    <row r="376" spans="1:7">
      <c r="A376" s="3218" t="s">
        <v>3169</v>
      </c>
      <c r="B376" s="3207" t="s">
        <v>1126</v>
      </c>
      <c r="C376" s="3208">
        <v>0.15</v>
      </c>
      <c r="D376" s="3208">
        <v>0.15</v>
      </c>
      <c r="E376" s="3208">
        <v>0.15</v>
      </c>
      <c r="F376" s="3208">
        <v>0.14199999999999999</v>
      </c>
      <c r="G376" s="3209">
        <v>0.15</v>
      </c>
    </row>
    <row r="377" spans="1:7" ht="14.25" thickBot="1">
      <c r="A377" s="3221" t="s">
        <v>3169</v>
      </c>
      <c r="B377" s="3211" t="s">
        <v>3020</v>
      </c>
      <c r="C377" s="3212">
        <v>0.15</v>
      </c>
      <c r="D377" s="3212">
        <v>0.15</v>
      </c>
      <c r="E377" s="3212">
        <v>0.15</v>
      </c>
      <c r="F377" s="3212">
        <v>0.14000000000000001</v>
      </c>
      <c r="G377" s="3214">
        <v>0.15</v>
      </c>
    </row>
    <row r="378" spans="1:7">
      <c r="A378" s="3217" t="s">
        <v>3179</v>
      </c>
      <c r="B378" s="3203" t="s">
        <v>3180</v>
      </c>
      <c r="C378" s="3204">
        <v>0.15</v>
      </c>
      <c r="D378" s="3204">
        <v>0.15</v>
      </c>
      <c r="E378" s="3204">
        <v>0.15</v>
      </c>
      <c r="F378" s="3204">
        <v>0.107</v>
      </c>
      <c r="G378" s="3205">
        <v>0.15</v>
      </c>
    </row>
    <row r="379" spans="1:7">
      <c r="A379" s="3218" t="s">
        <v>3179</v>
      </c>
      <c r="B379" s="3207" t="s">
        <v>3181</v>
      </c>
      <c r="C379" s="3208">
        <v>0.15</v>
      </c>
      <c r="D379" s="3208">
        <v>0.15</v>
      </c>
      <c r="E379" s="3208">
        <v>0.15</v>
      </c>
      <c r="F379" s="3208">
        <v>0.115</v>
      </c>
      <c r="G379" s="3209">
        <v>0.14899999999999999</v>
      </c>
    </row>
    <row r="380" spans="1:7">
      <c r="A380" s="3218" t="s">
        <v>3182</v>
      </c>
      <c r="B380" s="3207" t="s">
        <v>3183</v>
      </c>
      <c r="C380" s="3208">
        <v>0.15</v>
      </c>
      <c r="D380" s="3208">
        <v>0.15</v>
      </c>
      <c r="E380" s="3208">
        <v>0.15</v>
      </c>
      <c r="F380" s="3208">
        <v>0.1</v>
      </c>
      <c r="G380" s="3209">
        <v>0.14799999999999999</v>
      </c>
    </row>
    <row r="381" spans="1:7">
      <c r="A381" s="3218" t="s">
        <v>3182</v>
      </c>
      <c r="B381" s="3207" t="s">
        <v>3184</v>
      </c>
      <c r="C381" s="3208">
        <v>0.15</v>
      </c>
      <c r="D381" s="3208">
        <v>0.15</v>
      </c>
      <c r="E381" s="3208">
        <v>0.15</v>
      </c>
      <c r="F381" s="3208">
        <v>0.126</v>
      </c>
      <c r="G381" s="3209">
        <v>0.15</v>
      </c>
    </row>
    <row r="382" spans="1:7">
      <c r="A382" s="3218" t="s">
        <v>3182</v>
      </c>
      <c r="B382" s="3207" t="s">
        <v>3185</v>
      </c>
      <c r="C382" s="3208">
        <v>0.15</v>
      </c>
      <c r="D382" s="3208">
        <v>0.15</v>
      </c>
      <c r="E382" s="3208">
        <v>0.15</v>
      </c>
      <c r="F382" s="3208">
        <v>0.15</v>
      </c>
      <c r="G382" s="3209">
        <v>0.15</v>
      </c>
    </row>
    <row r="383" spans="1:7">
      <c r="A383" s="3218" t="s">
        <v>3182</v>
      </c>
      <c r="B383" s="3207" t="s">
        <v>3186</v>
      </c>
      <c r="C383" s="3208">
        <v>0.15</v>
      </c>
      <c r="D383" s="3208">
        <v>0.15</v>
      </c>
      <c r="E383" s="3208">
        <v>0.15</v>
      </c>
      <c r="F383" s="3208">
        <v>0.14699999999999999</v>
      </c>
      <c r="G383" s="3209">
        <v>0.15</v>
      </c>
    </row>
    <row r="384" spans="1:7" ht="14.25" thickBot="1">
      <c r="A384" s="3228" t="s">
        <v>3182</v>
      </c>
      <c r="B384" s="3229" t="s">
        <v>3187</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70" t="s">
        <v>1858</v>
      </c>
      <c r="C1" s="3670"/>
      <c r="D1" s="3670"/>
      <c r="E1" s="3670"/>
      <c r="F1" s="3670"/>
      <c r="G1" s="3669" t="s">
        <v>1859</v>
      </c>
      <c r="H1" s="3669"/>
      <c r="I1" s="3669"/>
      <c r="J1" s="3669"/>
      <c r="K1" s="3669"/>
      <c r="L1" s="3669"/>
      <c r="N1" s="3669" t="s">
        <v>1860</v>
      </c>
      <c r="O1" s="3669"/>
      <c r="P1" s="3669"/>
      <c r="Q1" s="3669"/>
      <c r="S1" s="3669" t="s">
        <v>1861</v>
      </c>
      <c r="T1" s="3669"/>
      <c r="U1" s="3669"/>
      <c r="V1" s="3669"/>
      <c r="X1" s="3668" t="s">
        <v>1921</v>
      </c>
      <c r="Y1" s="3669"/>
      <c r="Z1" s="3669"/>
      <c r="AA1" s="3669"/>
      <c r="AB1" s="3669"/>
      <c r="AD1" s="3668" t="s">
        <v>1925</v>
      </c>
      <c r="AE1" s="3669"/>
      <c r="AF1" s="3669"/>
      <c r="AG1" s="3669"/>
      <c r="AH1" s="3669"/>
    </row>
    <row r="2" spans="1:34" s="2423" customFormat="1" ht="14.25" thickBot="1">
      <c r="B2" s="2424" t="s">
        <v>1862</v>
      </c>
      <c r="C2" s="2424" t="s">
        <v>1923</v>
      </c>
      <c r="D2" s="2425" t="s">
        <v>1179</v>
      </c>
      <c r="E2" s="2425" t="s">
        <v>1469</v>
      </c>
      <c r="F2" s="2424" t="s">
        <v>1924</v>
      </c>
      <c r="G2" s="2426"/>
      <c r="I2" s="2424" t="s">
        <v>2212</v>
      </c>
      <c r="J2" s="2425" t="s">
        <v>2214</v>
      </c>
      <c r="K2" s="2425" t="s">
        <v>2215</v>
      </c>
      <c r="L2" s="2424" t="s">
        <v>2216</v>
      </c>
      <c r="N2" s="2424" t="s">
        <v>1862</v>
      </c>
      <c r="O2" s="2425" t="s">
        <v>2213</v>
      </c>
      <c r="P2" s="2425" t="s">
        <v>1469</v>
      </c>
      <c r="Q2" s="2424" t="s">
        <v>1924</v>
      </c>
      <c r="S2" s="2424" t="s">
        <v>1862</v>
      </c>
      <c r="T2" s="2425" t="s">
        <v>2213</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2223</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2444</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2443</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2442</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2441</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2440</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2289</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2288</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2287</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2286</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2248</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2246</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2244</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2243</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2241</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2240</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2239</v>
      </c>
      <c r="B22" s="2454">
        <f t="shared" si="11"/>
        <v>464.37293017158942</v>
      </c>
      <c r="C22" s="2454">
        <f t="shared" si="12"/>
        <v>344.73679941385956</v>
      </c>
      <c r="D22" s="2454">
        <f t="shared" si="2"/>
        <v>344.73679941385956</v>
      </c>
      <c r="E22" s="2454">
        <f t="shared" si="3"/>
        <v>663.2377795103107</v>
      </c>
      <c r="F22" s="2455">
        <f t="shared" si="4"/>
        <v>304.75936311478398</v>
      </c>
      <c r="G22" s="3672">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2232</v>
      </c>
      <c r="B23" s="2444">
        <f t="shared" si="11"/>
        <v>459.95733971036987</v>
      </c>
      <c r="C23" s="2444">
        <f t="shared" si="12"/>
        <v>341.22221064422405</v>
      </c>
      <c r="D23" s="2444">
        <f t="shared" si="2"/>
        <v>341.22221064422405</v>
      </c>
      <c r="E23" s="2444">
        <f t="shared" si="3"/>
        <v>657.19161663724799</v>
      </c>
      <c r="F23" s="2444">
        <f t="shared" si="4"/>
        <v>300.87803644464805</v>
      </c>
      <c r="G23" s="3672"/>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2233</v>
      </c>
      <c r="B24" s="2444">
        <f t="shared" si="11"/>
        <v>453.11529869999993</v>
      </c>
      <c r="C24" s="2444">
        <f t="shared" si="12"/>
        <v>336.47787264000004</v>
      </c>
      <c r="D24" s="2444">
        <f t="shared" si="2"/>
        <v>336.47787264000004</v>
      </c>
      <c r="E24" s="2444">
        <f t="shared" si="3"/>
        <v>647.35186823999993</v>
      </c>
      <c r="F24" s="2444">
        <f t="shared" si="4"/>
        <v>295.73229452000004</v>
      </c>
      <c r="G24" s="3672"/>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2229</v>
      </c>
      <c r="B25" s="2444">
        <f t="shared" si="11"/>
        <v>446.46299999999997</v>
      </c>
      <c r="C25" s="2444">
        <f t="shared" si="12"/>
        <v>333.27840000000003</v>
      </c>
      <c r="D25" s="2444">
        <f t="shared" ref="D25:D30" si="13">C25</f>
        <v>333.27840000000003</v>
      </c>
      <c r="E25" s="2444">
        <f t="shared" si="3"/>
        <v>637.28279999999995</v>
      </c>
      <c r="F25" s="2444">
        <f t="shared" si="4"/>
        <v>288.68830000000003</v>
      </c>
      <c r="G25" s="3678"/>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2222</v>
      </c>
      <c r="B26" s="2454">
        <v>439</v>
      </c>
      <c r="C26" s="2454">
        <v>327</v>
      </c>
      <c r="D26" s="2454">
        <f t="shared" si="13"/>
        <v>327</v>
      </c>
      <c r="E26" s="2454">
        <v>627</v>
      </c>
      <c r="F26" s="2455">
        <v>283</v>
      </c>
      <c r="G26" s="3677">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2224</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72"/>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72"/>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78"/>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77">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72"/>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72"/>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73"/>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71">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72"/>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72"/>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73"/>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71">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72"/>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72"/>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73"/>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74">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75"/>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75"/>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76"/>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71">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72"/>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72"/>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73"/>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71">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72">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72">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73">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71">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72">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72">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73">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71">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72">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72">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73">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71">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72">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72">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73">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71">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72">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72">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73">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71">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72">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72">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73">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71">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72">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72">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73">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71">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72">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72">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73">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71">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72">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72">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73">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71">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72">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72">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73">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受贵公司委托，我公司对江苏省连云港海州区锦屏山东南侧4号地出让国有建设用地使用权抵押价格进行了预评估。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56.25">
      <c r="A7" s="1492" t="s">
        <v>2029</v>
      </c>
    </row>
    <row r="8" spans="1:4" ht="18.75">
      <c r="A8" s="1491" t="s">
        <v>1430</v>
      </c>
    </row>
    <row r="9" spans="1:4" ht="75">
      <c r="A9" s="1488"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2023年5月11日（评估专业人员勘察现场之日）</v>
      </c>
    </row>
    <row r="12" spans="1:4" ht="18.75">
      <c r="A12" s="1493" t="s">
        <v>1543</v>
      </c>
    </row>
    <row r="13" spans="1:4" ht="18.75">
      <c r="A13" s="1488" t="s">
        <v>2199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134">
        <f>基准地价!G23</f>
        <v>45057</v>
      </c>
      <c r="B1" s="3091" t="s">
        <v>2791</v>
      </c>
      <c r="C1" s="3092"/>
      <c r="D1" s="3092"/>
      <c r="E1" s="3092"/>
      <c r="F1" s="3092"/>
      <c r="G1" s="3092"/>
      <c r="H1" s="3092"/>
      <c r="I1" s="3092"/>
      <c r="J1" s="3093"/>
      <c r="K1" s="3092" t="s">
        <v>2792</v>
      </c>
      <c r="L1" s="3092"/>
      <c r="M1" s="3092"/>
      <c r="N1" s="3092"/>
      <c r="O1" s="3092"/>
      <c r="P1" s="3092"/>
      <c r="Q1" s="3093"/>
      <c r="R1" s="3679" t="s">
        <v>2801</v>
      </c>
      <c r="S1" s="3680"/>
      <c r="T1" s="3680"/>
      <c r="U1" s="3680"/>
      <c r="V1" s="3680"/>
      <c r="W1" s="3680"/>
      <c r="X1" s="3093"/>
      <c r="Y1" s="3679" t="s">
        <v>2812</v>
      </c>
      <c r="Z1" s="3680"/>
      <c r="AA1" s="3680"/>
      <c r="AB1" s="3680"/>
      <c r="AC1" s="3680"/>
      <c r="AD1" s="3680"/>
    </row>
    <row r="2" spans="1:30" ht="14.25" thickBot="1">
      <c r="A2" s="3086"/>
      <c r="B2" s="3094"/>
      <c r="C2" s="3095"/>
      <c r="D2" s="2424" t="s">
        <v>2794</v>
      </c>
      <c r="E2" s="2425" t="s">
        <v>2795</v>
      </c>
      <c r="F2" s="2425" t="s">
        <v>2796</v>
      </c>
      <c r="G2" s="2425" t="s">
        <v>2797</v>
      </c>
      <c r="H2" s="2425" t="s">
        <v>2798</v>
      </c>
      <c r="I2" s="2425" t="s">
        <v>2735</v>
      </c>
      <c r="J2" s="3096"/>
      <c r="K2" s="2424" t="s">
        <v>2794</v>
      </c>
      <c r="L2" s="2425" t="s">
        <v>2795</v>
      </c>
      <c r="M2" s="2425" t="s">
        <v>2796</v>
      </c>
      <c r="N2" s="2425" t="s">
        <v>2797</v>
      </c>
      <c r="O2" s="2425" t="s">
        <v>2798</v>
      </c>
      <c r="P2" s="2425" t="s">
        <v>2735</v>
      </c>
      <c r="Q2" s="3096"/>
      <c r="R2" s="2424" t="s">
        <v>2802</v>
      </c>
      <c r="S2" s="2425" t="s">
        <v>2803</v>
      </c>
      <c r="T2" s="2425" t="s">
        <v>2804</v>
      </c>
      <c r="U2" s="2425" t="s">
        <v>2805</v>
      </c>
      <c r="V2" s="2425" t="s">
        <v>2806</v>
      </c>
      <c r="W2" s="2425" t="s">
        <v>2807</v>
      </c>
      <c r="X2" s="3096"/>
      <c r="Y2" s="2424" t="s">
        <v>2794</v>
      </c>
      <c r="Z2" s="2425" t="s">
        <v>1470</v>
      </c>
      <c r="AA2" s="2425" t="s">
        <v>2813</v>
      </c>
      <c r="AB2" s="2425" t="s">
        <v>1469</v>
      </c>
      <c r="AC2" s="2425" t="s">
        <v>2798</v>
      </c>
      <c r="AD2" s="2425" t="s">
        <v>2452</v>
      </c>
    </row>
    <row r="3" spans="1:30">
      <c r="A3" s="3087" t="s">
        <v>2778</v>
      </c>
      <c r="B3" s="3097"/>
      <c r="C3" s="3098"/>
      <c r="D3" s="3098">
        <f>ROUND(AVERAGEIF(D4:D13,"&lt;&gt;0"),2)</f>
        <v>0.84</v>
      </c>
      <c r="E3" s="3098">
        <f>ROUND(AVERAGEIF(E4:E13,"&lt;&gt;0"),2)</f>
        <v>0.35</v>
      </c>
      <c r="F3" s="3098">
        <f>ROUND(AVERAGEIF(F4:F13,"&lt;&gt;0"),2)</f>
        <v>0.15</v>
      </c>
      <c r="G3" s="3098">
        <f>ROUND(AVERAGEIF(G4:G13,"&lt;&gt;0"),2)</f>
        <v>0.92</v>
      </c>
      <c r="H3" s="3098">
        <f>ROUND(AVERAGEIF(H4:H13,"&lt;&gt;0"),2)</f>
        <v>0.68</v>
      </c>
      <c r="I3" s="3098">
        <f>F3</f>
        <v>0.15</v>
      </c>
      <c r="J3" s="3099"/>
      <c r="K3" s="3100">
        <f>ROUND(AVERAGEIF(K4:K13,"&lt;&gt;0"),4)</f>
        <v>8.3999999999999995E-3</v>
      </c>
      <c r="L3" s="3101">
        <f>ROUND(AVERAGEIF(L4:L13,"&lt;&gt;0"),4)</f>
        <v>3.5000000000000001E-3</v>
      </c>
      <c r="M3" s="3101">
        <f>ROUND(AVERAGEIF(M4:M13,"&lt;&gt;0"),4)</f>
        <v>1.5E-3</v>
      </c>
      <c r="N3" s="3101">
        <f>ROUND(AVERAGEIF(N4:N13,"&lt;&gt;0"),4)</f>
        <v>9.1999999999999998E-3</v>
      </c>
      <c r="O3" s="3101">
        <f>ROUND(AVERAGEIF(O4:O13,"&lt;&gt;0"),4)</f>
        <v>6.7999999999999996E-3</v>
      </c>
      <c r="P3" s="3101">
        <f>M3</f>
        <v>1.5E-3</v>
      </c>
      <c r="Q3" s="3099"/>
      <c r="R3" s="3114">
        <f>ROUND(SUMPRODUCT(PRODUCT(1+K4:K13)),4)</f>
        <v>1.0602</v>
      </c>
      <c r="S3" s="3115">
        <f>ROUND(SUMPRODUCT(PRODUCT(1+L4:L13)),4)</f>
        <v>1.0246</v>
      </c>
      <c r="T3" s="3115">
        <f>ROUND(SUMPRODUCT(PRODUCT(1+M4:M13)),4)</f>
        <v>1.0107999999999999</v>
      </c>
      <c r="U3" s="3115">
        <f>ROUND(SUMPRODUCT(PRODUCT(1+N4:N13)),4)</f>
        <v>1.0662</v>
      </c>
      <c r="V3" s="3115">
        <f>ROUND(SUMPRODUCT(PRODUCT(1+O4:O13)),4)</f>
        <v>1.0485</v>
      </c>
      <c r="W3" s="3114">
        <f>T3</f>
        <v>1.0107999999999999</v>
      </c>
      <c r="X3" s="3099"/>
      <c r="Y3" s="3121">
        <f>ROUND(AVERAGEIF(Y5:Y13,"&lt;&gt;0"),4)</f>
        <v>8.8000000000000005E-3</v>
      </c>
      <c r="Z3" s="3122">
        <f>ROUND(AVERAGEIF(Z5:Z13,"&lt;&gt;0"),4)</f>
        <v>3.5999999999999999E-3</v>
      </c>
      <c r="AA3" s="3123">
        <f>ROUND(AVERAGEIF(AA5:AA13,"&lt;&gt;0"),4)</f>
        <v>8.0000000000000004E-4</v>
      </c>
      <c r="AB3" s="3121">
        <f>ROUND(AVERAGEIF(AB5:AB13,"&lt;&gt;0"),4)</f>
        <v>9.5999999999999992E-3</v>
      </c>
      <c r="AC3" s="3124">
        <f>ROUND(AVERAGEIF(AC5:AC13,"&lt;&gt;0"),4)</f>
        <v>6.1000000000000004E-3</v>
      </c>
      <c r="AD3" s="3121">
        <f>AA3</f>
        <v>8.0000000000000004E-4</v>
      </c>
    </row>
    <row r="4" spans="1:30">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088" t="s">
        <v>2779</v>
      </c>
      <c r="B5" s="3137">
        <v>2023</v>
      </c>
      <c r="C5" s="3138">
        <v>1</v>
      </c>
      <c r="D5" s="3138">
        <v>0</v>
      </c>
      <c r="E5" s="3138">
        <v>0</v>
      </c>
      <c r="F5" s="3138">
        <v>0</v>
      </c>
      <c r="G5" s="3138">
        <v>0</v>
      </c>
      <c r="H5" s="3138">
        <v>0</v>
      </c>
      <c r="I5" s="3139">
        <f t="shared" ref="I5:I13" si="0">F5</f>
        <v>0</v>
      </c>
      <c r="J5" s="3105"/>
      <c r="K5" s="3106">
        <f t="shared" ref="K5:O13" si="1">D5/100</f>
        <v>0</v>
      </c>
      <c r="L5" s="3107">
        <f t="shared" si="1"/>
        <v>0</v>
      </c>
      <c r="M5" s="3107">
        <f t="shared" si="1"/>
        <v>0</v>
      </c>
      <c r="N5" s="3107">
        <f t="shared" si="1"/>
        <v>0</v>
      </c>
      <c r="O5" s="3107">
        <f t="shared" si="1"/>
        <v>0</v>
      </c>
      <c r="P5" s="3107">
        <f>M5</f>
        <v>0</v>
      </c>
      <c r="Q5" s="3105"/>
      <c r="R5" s="3116">
        <f>ROUND(IF(项目基本情况!B8="出让",SUMPRODUCT(PRODUCT(1+K5:K13)),SUMPRODUCT(PRODUCT(1+K5:K12))),4)</f>
        <v>1.05</v>
      </c>
      <c r="S5" s="3116">
        <f>ROUND(IF(项目基本情况!B8="出让",SUMPRODUCT(PRODUCT(1+L5:L13)),SUMPRODUCT(PRODUCT(1+L5:L12))),4)</f>
        <v>1.0229999999999999</v>
      </c>
      <c r="T5" s="3116">
        <f>ROUND(IF(项目基本情况!B8="出让",SUMPRODUCT(PRODUCT(1+M5:M13)),SUMPRODUCT(PRODUCT(1+M5:M12))),4)</f>
        <v>1.0134000000000001</v>
      </c>
      <c r="U5" s="3116">
        <f>ROUND(IF(项目基本情况!B8="出让",SUMPRODUCT(PRODUCT(1+N5:N13)),SUMPRODUCT(PRODUCT(1+N5:N12))),4)</f>
        <v>1.0545</v>
      </c>
      <c r="V5" s="3116">
        <f>ROUND(IF(项目基本情况!B8="出让",SUMPRODUCT(PRODUCT(1+O5:O13)),SUMPRODUCT(PRODUCT(1+O5:O12))),4)</f>
        <v>1.0447</v>
      </c>
      <c r="W5" s="3116">
        <f>T5</f>
        <v>1.0134000000000001</v>
      </c>
      <c r="X5" s="3105"/>
      <c r="Y5" s="3107">
        <f>IF(D5=0,0,ROUND(AVERAGE(D5:D13)/100,4))</f>
        <v>0</v>
      </c>
      <c r="Z5" s="3107">
        <f>IF(E5=0,0,ROUND(AVERAGE(E5:E13)/100,4))</f>
        <v>0</v>
      </c>
      <c r="AA5" s="3107">
        <f>IF(F5=0,0,ROUND(AVERAGE(F5:F13)/100,4))</f>
        <v>0</v>
      </c>
      <c r="AB5" s="3107">
        <f>IF(G5=0,0,ROUND(AVERAGE(G5:G13)/100,4))</f>
        <v>0</v>
      </c>
      <c r="AC5" s="3107">
        <f>IF(H5=0,0,ROUND(AVERAGE(H5:H13)/100,4))</f>
        <v>0</v>
      </c>
      <c r="AD5" s="3107">
        <f t="shared" ref="AD5:AD12" si="2">AA5</f>
        <v>0</v>
      </c>
    </row>
    <row r="6" spans="1:30">
      <c r="A6" s="3088" t="s">
        <v>2780</v>
      </c>
      <c r="B6" s="3137">
        <v>2022</v>
      </c>
      <c r="C6" s="3138">
        <v>4</v>
      </c>
      <c r="D6" s="3138">
        <v>0</v>
      </c>
      <c r="E6" s="3138">
        <v>0</v>
      </c>
      <c r="F6" s="3138">
        <v>0</v>
      </c>
      <c r="G6" s="3138">
        <v>0</v>
      </c>
      <c r="H6" s="3138">
        <v>0</v>
      </c>
      <c r="I6" s="3139">
        <f t="shared" si="0"/>
        <v>0</v>
      </c>
      <c r="J6" s="3105"/>
      <c r="K6" s="3106">
        <f t="shared" si="1"/>
        <v>0</v>
      </c>
      <c r="L6" s="3107">
        <f t="shared" si="1"/>
        <v>0</v>
      </c>
      <c r="M6" s="3107">
        <f t="shared" si="1"/>
        <v>0</v>
      </c>
      <c r="N6" s="3107">
        <f t="shared" si="1"/>
        <v>0</v>
      </c>
      <c r="O6" s="3107">
        <f t="shared" si="1"/>
        <v>0</v>
      </c>
      <c r="P6" s="3107">
        <f t="shared" ref="P6:P13" si="3">M6</f>
        <v>0</v>
      </c>
      <c r="Q6" s="3105"/>
      <c r="R6" s="3116">
        <f>ROUND(IF(项目基本情况!B8="出让",SUMPRODUCT(PRODUCT(1+K6:K13)),SUMPRODUCT(PRODUCT(1+K6:K12))),4)</f>
        <v>1.05</v>
      </c>
      <c r="S6" s="3116">
        <f>ROUND(IF(项目基本情况!B8="出让",SUMPRODUCT(PRODUCT(1+L6:L13)),SUMPRODUCT(PRODUCT(1+L6:L12))),4)</f>
        <v>1.0229999999999999</v>
      </c>
      <c r="T6" s="3116">
        <f>ROUND(IF(项目基本情况!B8="出让",SUMPRODUCT(PRODUCT(1+M6:M13)),SUMPRODUCT(PRODUCT(1+M6:M12))),4)</f>
        <v>1.0134000000000001</v>
      </c>
      <c r="U6" s="3116">
        <f>ROUND(IF(项目基本情况!B8="出让",SUMPRODUCT(PRODUCT(1+N6:N13)),SUMPRODUCT(PRODUCT(1+N6:N12))),4)</f>
        <v>1.0545</v>
      </c>
      <c r="V6" s="3116">
        <f>ROUND(IF(项目基本情况!B8="出让",SUMPRODUCT(PRODUCT(1+O6:O13)),SUMPRODUCT(PRODUCT(1+O6:O12))),4)</f>
        <v>1.0447</v>
      </c>
      <c r="W6" s="3116">
        <f t="shared" ref="W6:W13" si="4">T6</f>
        <v>1.0134000000000001</v>
      </c>
      <c r="X6" s="3105"/>
      <c r="Y6" s="3107">
        <f>IF(D6=0,0,ROUND(AVERAGE(D6:D14)/100,4))</f>
        <v>0</v>
      </c>
      <c r="Z6" s="3107">
        <f>IF(E6=0,0,ROUND(AVERAGE(E6:E13)/100,4))</f>
        <v>0</v>
      </c>
      <c r="AA6" s="3107">
        <f>IF(F6=0,0,ROUND(AVERAGE(F6:F13)/100,4))</f>
        <v>0</v>
      </c>
      <c r="AB6" s="3107">
        <f>IF(G6=0,0,ROUND(AVERAGE(G6:G13)/100,4))</f>
        <v>0</v>
      </c>
      <c r="AC6" s="3107">
        <f>IF(H6=0,0,ROUND(AVERAGE(H6:H13)/100,4))</f>
        <v>0</v>
      </c>
      <c r="AD6" s="3107">
        <f t="shared" si="2"/>
        <v>0</v>
      </c>
    </row>
    <row r="7" spans="1:30">
      <c r="A7" s="3089" t="s">
        <v>3249</v>
      </c>
      <c r="B7" s="3140">
        <v>2022</v>
      </c>
      <c r="C7" s="3141">
        <v>3</v>
      </c>
      <c r="D7" s="3141">
        <v>0.66</v>
      </c>
      <c r="E7" s="3141">
        <v>0.32</v>
      </c>
      <c r="F7" s="3141">
        <v>0.23</v>
      </c>
      <c r="G7" s="3141">
        <v>0.72</v>
      </c>
      <c r="H7" s="3142">
        <v>0.63</v>
      </c>
      <c r="I7" s="3143">
        <f t="shared" si="0"/>
        <v>0.23</v>
      </c>
      <c r="J7" s="3108"/>
      <c r="K7" s="3109">
        <f t="shared" si="1"/>
        <v>6.6E-3</v>
      </c>
      <c r="L7" s="3110">
        <f t="shared" si="1"/>
        <v>3.2000000000000002E-3</v>
      </c>
      <c r="M7" s="3110">
        <f t="shared" si="1"/>
        <v>2.3E-3</v>
      </c>
      <c r="N7" s="3110">
        <f t="shared" si="1"/>
        <v>7.1999999999999998E-3</v>
      </c>
      <c r="O7" s="3110">
        <f t="shared" si="1"/>
        <v>6.3E-3</v>
      </c>
      <c r="P7" s="3110">
        <f t="shared" si="3"/>
        <v>2.3E-3</v>
      </c>
      <c r="Q7" s="3108"/>
      <c r="R7" s="3108">
        <f>ROUND(IF(项目基本情况!B8="出让",SUMPRODUCT(PRODUCT(1+K7:K13)),SUMPRODUCT(PRODUCT(1+K7:K12))),4)</f>
        <v>1.05</v>
      </c>
      <c r="S7" s="3108">
        <f>ROUND(IF(项目基本情况!B8="出让",SUMPRODUCT(PRODUCT(1+L7:L13)),SUMPRODUCT(PRODUCT(1+L7:L12))),4)</f>
        <v>1.0229999999999999</v>
      </c>
      <c r="T7" s="3108">
        <f>ROUND(IF(项目基本情况!B8="出让",SUMPRODUCT(PRODUCT(1+M7:M13)),SUMPRODUCT(PRODUCT(1+M7:M12))),4)</f>
        <v>1.0134000000000001</v>
      </c>
      <c r="U7" s="3108">
        <f>ROUND(IF(项目基本情况!B8="出让",SUMPRODUCT(PRODUCT(1+N7:N13)),SUMPRODUCT(PRODUCT(1+N7:N12))),4)</f>
        <v>1.0545</v>
      </c>
      <c r="V7" s="3108">
        <f>ROUND(IF(项目基本情况!B8="出让",SUMPRODUCT(PRODUCT(1+O7:O13)),SUMPRODUCT(PRODUCT(1+O7:O12))),4)</f>
        <v>1.0447</v>
      </c>
      <c r="W7" s="3108">
        <f t="shared" si="4"/>
        <v>1.0134000000000001</v>
      </c>
      <c r="X7" s="3108"/>
      <c r="Y7" s="3110">
        <f>IF(D7=0,0,ROUND(AVERAGE(D7:D13)/100,4))</f>
        <v>8.3999999999999995E-3</v>
      </c>
      <c r="Z7" s="3110">
        <f>IF(E7=0,0,ROUND(AVERAGE(E7:E13)/100,4))</f>
        <v>3.5000000000000001E-3</v>
      </c>
      <c r="AA7" s="3110">
        <f>IF(F7=0,0,ROUND(AVERAGE(F7:F13)/100,4))</f>
        <v>1.5E-3</v>
      </c>
      <c r="AB7" s="3110">
        <f>IF(G7=0,0,ROUND(AVERAGE(G7:G13)/100,4))</f>
        <v>9.1999999999999998E-3</v>
      </c>
      <c r="AC7" s="3110">
        <f>IF(H7=0,0,ROUND(AVERAGE(H7:H13)/100,4))</f>
        <v>6.7999999999999996E-3</v>
      </c>
      <c r="AD7" s="3110">
        <f t="shared" si="2"/>
        <v>1.5E-3</v>
      </c>
    </row>
    <row r="8" spans="1:30">
      <c r="A8" s="3088" t="s">
        <v>3250</v>
      </c>
      <c r="B8" s="3137">
        <v>2022</v>
      </c>
      <c r="C8" s="3138">
        <v>2</v>
      </c>
      <c r="D8" s="3138">
        <v>0.93</v>
      </c>
      <c r="E8" s="3138">
        <v>0.15</v>
      </c>
      <c r="F8" s="3138">
        <v>0.01</v>
      </c>
      <c r="G8" s="3138">
        <v>1.05</v>
      </c>
      <c r="H8" s="3144">
        <v>1.08</v>
      </c>
      <c r="I8" s="3139">
        <f t="shared" si="0"/>
        <v>0.01</v>
      </c>
      <c r="J8" s="3105"/>
      <c r="K8" s="3106">
        <f t="shared" si="1"/>
        <v>9.300000000000001E-3</v>
      </c>
      <c r="L8" s="3107">
        <f t="shared" si="1"/>
        <v>1.5E-3</v>
      </c>
      <c r="M8" s="3107">
        <f t="shared" si="1"/>
        <v>1E-4</v>
      </c>
      <c r="N8" s="3107">
        <f t="shared" si="1"/>
        <v>1.0500000000000001E-2</v>
      </c>
      <c r="O8" s="3107">
        <f t="shared" si="1"/>
        <v>1.0800000000000001E-2</v>
      </c>
      <c r="P8" s="3107">
        <f t="shared" si="3"/>
        <v>1E-4</v>
      </c>
      <c r="Q8" s="3105"/>
      <c r="R8" s="3116">
        <f>ROUND(IF(项目基本情况!B8="出让",SUMPRODUCT(PRODUCT(1+K8:K13)),SUMPRODUCT(PRODUCT(1+K8:K12))),4)</f>
        <v>1.0430999999999999</v>
      </c>
      <c r="S8" s="3116">
        <f>ROUND(IF(项目基本情况!B8="出让",SUMPRODUCT(PRODUCT(1+L8:L13)),SUMPRODUCT(PRODUCT(1+L8:L12))),4)</f>
        <v>1.0197000000000001</v>
      </c>
      <c r="T8" s="3116">
        <f>ROUND(IF(项目基本情况!B8="出让",SUMPRODUCT(PRODUCT(1+M8:M13)),SUMPRODUCT(PRODUCT(1+M8:M12))),4)</f>
        <v>1.0109999999999999</v>
      </c>
      <c r="U8" s="3116">
        <f>ROUND(IF(项目基本情况!B8="出让",SUMPRODUCT(PRODUCT(1+N8:N13)),SUMPRODUCT(PRODUCT(1+N8:N12))),4)</f>
        <v>1.0468999999999999</v>
      </c>
      <c r="V8" s="3116">
        <f>ROUND(IF(项目基本情况!B8="出让",SUMPRODUCT(PRODUCT(1+O8:O13)),SUMPRODUCT(PRODUCT(1+O8:O12))),4)</f>
        <v>1.0382</v>
      </c>
      <c r="W8" s="3116">
        <f t="shared" si="4"/>
        <v>1.0109999999999999</v>
      </c>
      <c r="X8" s="3105"/>
      <c r="Y8" s="3107">
        <f>IF(D8=0,0,ROUND(AVERAGE(D8:D13)/100,4))</f>
        <v>8.6999999999999994E-3</v>
      </c>
      <c r="Z8" s="3107">
        <f>IF(E8=0,0,ROUND(AVERAGE(E8:E13)/100,4))</f>
        <v>3.5000000000000001E-3</v>
      </c>
      <c r="AA8" s="3107">
        <f>IF(F8=0,0,ROUND(AVERAGE(F8:F13)/100,4))</f>
        <v>1.4E-3</v>
      </c>
      <c r="AB8" s="3107">
        <f>IF(G8=0,0,ROUND(AVERAGE(G8:G13)/100,4))</f>
        <v>9.4999999999999998E-3</v>
      </c>
      <c r="AC8" s="3107">
        <f>IF(H8=0,0,ROUND(AVERAGE(H8:H13)/100,4))</f>
        <v>6.8999999999999999E-3</v>
      </c>
      <c r="AD8" s="3107">
        <f t="shared" si="2"/>
        <v>1.4E-3</v>
      </c>
    </row>
    <row r="9" spans="1:30">
      <c r="A9" s="3088" t="s">
        <v>2781</v>
      </c>
      <c r="B9" s="3137">
        <v>2022</v>
      </c>
      <c r="C9" s="3138">
        <v>1</v>
      </c>
      <c r="D9" s="3138">
        <v>0.89</v>
      </c>
      <c r="E9" s="3138">
        <v>0.44</v>
      </c>
      <c r="F9" s="3138">
        <v>0.37</v>
      </c>
      <c r="G9" s="3138">
        <v>0.96</v>
      </c>
      <c r="H9" s="3144">
        <v>0.64</v>
      </c>
      <c r="I9" s="3139">
        <f t="shared" si="0"/>
        <v>0.37</v>
      </c>
      <c r="J9" s="3105"/>
      <c r="K9" s="3106">
        <f t="shared" si="1"/>
        <v>8.8999999999999999E-3</v>
      </c>
      <c r="L9" s="3107">
        <f t="shared" si="1"/>
        <v>4.4000000000000003E-3</v>
      </c>
      <c r="M9" s="3107">
        <f t="shared" si="1"/>
        <v>3.7000000000000002E-3</v>
      </c>
      <c r="N9" s="3107">
        <f t="shared" si="1"/>
        <v>9.5999999999999992E-3</v>
      </c>
      <c r="O9" s="3107">
        <f t="shared" si="1"/>
        <v>6.4000000000000003E-3</v>
      </c>
      <c r="P9" s="3107">
        <f t="shared" si="3"/>
        <v>3.7000000000000002E-3</v>
      </c>
      <c r="Q9" s="3105"/>
      <c r="R9" s="3116">
        <f>ROUND(IF(项目基本情况!B8="出让",SUMPRODUCT(PRODUCT(1+K9:K13)),SUMPRODUCT(PRODUCT(1+K9:K12))),4)</f>
        <v>1.0335000000000001</v>
      </c>
      <c r="S9" s="3116">
        <f>ROUND(IF(项目基本情况!B8="出让",SUMPRODUCT(PRODUCT(1+L9:L13)),SUMPRODUCT(PRODUCT(1+L9:L12))),4)</f>
        <v>1.0182</v>
      </c>
      <c r="T9" s="3116">
        <f>ROUND(IF(项目基本情况!B8="出让",SUMPRODUCT(PRODUCT(1+M9:M13)),SUMPRODUCT(PRODUCT(1+M9:M12))),4)</f>
        <v>1.0108999999999999</v>
      </c>
      <c r="U9" s="3116">
        <f>ROUND(IF(项目基本情况!B8="出让",SUMPRODUCT(PRODUCT(1+N9:N13)),SUMPRODUCT(PRODUCT(1+N9:N12))),4)</f>
        <v>1.0361</v>
      </c>
      <c r="V9" s="3116">
        <f>ROUND(IF(项目基本情况!B8="出让",SUMPRODUCT(PRODUCT(1+O9:O13)),SUMPRODUCT(PRODUCT(1+O9:O12))),4)</f>
        <v>1.0270999999999999</v>
      </c>
      <c r="W9" s="3116">
        <f t="shared" si="4"/>
        <v>1.0108999999999999</v>
      </c>
      <c r="X9" s="3105"/>
      <c r="Y9" s="3107">
        <f>IF(D9=0,0,ROUND(AVERAGE(D9:D13)/100,4))</f>
        <v>8.6E-3</v>
      </c>
      <c r="Z9" s="3107">
        <f>IF(E9=0,0,ROUND(AVERAGE(E9:E13)/100,4))</f>
        <v>3.8999999999999998E-3</v>
      </c>
      <c r="AA9" s="3107">
        <f>IF(F9=0,0,ROUND(AVERAGE(F9:F13)/100,4))</f>
        <v>1.6999999999999999E-3</v>
      </c>
      <c r="AB9" s="3107">
        <f>IF(G9=0,0,ROUND(AVERAGE(G9:G13)/100,4))</f>
        <v>9.2999999999999992E-3</v>
      </c>
      <c r="AC9" s="3107">
        <f>IF(H9=0,0,ROUND(AVERAGE(H9:H13)/100,4))</f>
        <v>6.1000000000000004E-3</v>
      </c>
      <c r="AD9" s="3107">
        <f t="shared" si="2"/>
        <v>1.6999999999999999E-3</v>
      </c>
    </row>
    <row r="10" spans="1:30">
      <c r="A10" s="3088" t="s">
        <v>2782</v>
      </c>
      <c r="B10" s="3137">
        <v>2021</v>
      </c>
      <c r="C10" s="3138">
        <v>4</v>
      </c>
      <c r="D10" s="3138">
        <v>1.03</v>
      </c>
      <c r="E10" s="3138">
        <v>0.24</v>
      </c>
      <c r="F10" s="3138">
        <v>7.0000000000000007E-2</v>
      </c>
      <c r="G10" s="3138">
        <v>1.17</v>
      </c>
      <c r="H10" s="3144">
        <v>0.55000000000000004</v>
      </c>
      <c r="I10" s="3139">
        <f t="shared" si="0"/>
        <v>7.0000000000000007E-2</v>
      </c>
      <c r="J10" s="3105"/>
      <c r="K10" s="3106">
        <f t="shared" si="1"/>
        <v>1.03E-2</v>
      </c>
      <c r="L10" s="3107">
        <f t="shared" si="1"/>
        <v>2.3999999999999998E-3</v>
      </c>
      <c r="M10" s="3107">
        <f t="shared" si="1"/>
        <v>7.000000000000001E-4</v>
      </c>
      <c r="N10" s="3107">
        <f t="shared" si="1"/>
        <v>1.1699999999999999E-2</v>
      </c>
      <c r="O10" s="3107">
        <f t="shared" si="1"/>
        <v>5.5000000000000005E-3</v>
      </c>
      <c r="P10" s="3107">
        <f t="shared" si="3"/>
        <v>7.000000000000001E-4</v>
      </c>
      <c r="Q10" s="3105"/>
      <c r="R10" s="3116">
        <f>ROUND(IF(项目基本情况!B8="出让",SUMPRODUCT(PRODUCT(1+K10:K13)),SUMPRODUCT(PRODUCT(1+K10:K12))),4)</f>
        <v>1.0244</v>
      </c>
      <c r="S10" s="3116">
        <f>ROUND(IF(项目基本情况!B8="出让",SUMPRODUCT(PRODUCT(1+L10:L13)),SUMPRODUCT(PRODUCT(1+L10:L12))),4)</f>
        <v>1.0138</v>
      </c>
      <c r="T10" s="3116">
        <f>ROUND(IF(项目基本情况!B8="出让",SUMPRODUCT(PRODUCT(1+M10:M13)),SUMPRODUCT(PRODUCT(1+M10:M12))),4)</f>
        <v>1.0072000000000001</v>
      </c>
      <c r="U10" s="3116">
        <f>ROUND(IF(项目基本情况!B8="出让",SUMPRODUCT(PRODUCT(1+N10:N13)),SUMPRODUCT(PRODUCT(1+N10:N12))),4)</f>
        <v>1.0262</v>
      </c>
      <c r="V10" s="3116">
        <f>ROUND(IF(项目基本情况!B8="出让",SUMPRODUCT(PRODUCT(1+O10:O13)),SUMPRODUCT(PRODUCT(1+O10:O12))),4)</f>
        <v>1.0205</v>
      </c>
      <c r="W10" s="3116">
        <f t="shared" si="4"/>
        <v>1.0072000000000001</v>
      </c>
      <c r="X10" s="3105"/>
      <c r="Y10" s="3107">
        <f>IF(D10=0,0,ROUND(AVERAGE(D10:D13)/100,4))</f>
        <v>8.5000000000000006E-3</v>
      </c>
      <c r="Z10" s="3107">
        <f>IF(E10=0,0,ROUND(AVERAGE(E10:E13)/100,4))</f>
        <v>3.8E-3</v>
      </c>
      <c r="AA10" s="3107">
        <f>IF(F10=0,0,ROUND(AVERAGE(F10:F13)/100,4))</f>
        <v>1.1999999999999999E-3</v>
      </c>
      <c r="AB10" s="3107">
        <f>IF(G10=0,0,ROUND(AVERAGE(G10:G13)/100,4))</f>
        <v>9.2999999999999992E-3</v>
      </c>
      <c r="AC10" s="3107">
        <f>IF(H10=0,0,ROUND(AVERAGE(H10:H13)/100,4))</f>
        <v>6.0000000000000001E-3</v>
      </c>
      <c r="AD10" s="3107">
        <f t="shared" si="2"/>
        <v>1.1999999999999999E-3</v>
      </c>
    </row>
    <row r="11" spans="1:30">
      <c r="A11" s="3088" t="s">
        <v>2783</v>
      </c>
      <c r="B11" s="3137">
        <v>2021</v>
      </c>
      <c r="C11" s="3138">
        <v>3</v>
      </c>
      <c r="D11" s="3138">
        <v>0.47</v>
      </c>
      <c r="E11" s="3138">
        <v>0.41</v>
      </c>
      <c r="F11" s="3138">
        <v>0.24</v>
      </c>
      <c r="G11" s="3138">
        <v>0.48</v>
      </c>
      <c r="H11" s="3144">
        <v>0.48</v>
      </c>
      <c r="I11" s="3139">
        <f t="shared" si="0"/>
        <v>0.24</v>
      </c>
      <c r="J11" s="3105"/>
      <c r="K11" s="3106">
        <f t="shared" si="1"/>
        <v>4.6999999999999993E-3</v>
      </c>
      <c r="L11" s="3107">
        <f t="shared" si="1"/>
        <v>4.0999999999999995E-3</v>
      </c>
      <c r="M11" s="3107">
        <f t="shared" si="1"/>
        <v>2.3999999999999998E-3</v>
      </c>
      <c r="N11" s="3107">
        <f t="shared" si="1"/>
        <v>4.7999999999999996E-3</v>
      </c>
      <c r="O11" s="3107">
        <f t="shared" si="1"/>
        <v>4.7999999999999996E-3</v>
      </c>
      <c r="P11" s="3107">
        <f t="shared" si="3"/>
        <v>2.3999999999999998E-3</v>
      </c>
      <c r="Q11" s="3105"/>
      <c r="R11" s="3116">
        <f>ROUND(IF(项目基本情况!B8="出让",SUMPRODUCT(PRODUCT(1+K11:K13)),SUMPRODUCT(PRODUCT(1+K11:K12))),4)</f>
        <v>1.0139</v>
      </c>
      <c r="S11" s="3116">
        <f>ROUND(IF(项目基本情况!B8="出让",SUMPRODUCT(PRODUCT(1+L11:L13)),SUMPRODUCT(PRODUCT(1+L11:L12))),4)</f>
        <v>1.0113000000000001</v>
      </c>
      <c r="T11" s="3116">
        <f>ROUND(IF(项目基本情况!B8="出让",SUMPRODUCT(PRODUCT(1+M11:M13)),SUMPRODUCT(PRODUCT(1+M11:M12))),4)</f>
        <v>1.0065</v>
      </c>
      <c r="U11" s="3116">
        <f>ROUND(IF(项目基本情况!B8="出让",SUMPRODUCT(PRODUCT(1+N11:N13)),SUMPRODUCT(PRODUCT(1+N11:N12))),4)</f>
        <v>1.0143</v>
      </c>
      <c r="V11" s="3116">
        <f>ROUND(IF(项目基本情况!B8="出让",SUMPRODUCT(PRODUCT(1+O11:O13)),SUMPRODUCT(PRODUCT(1+O11:O12))),4)</f>
        <v>1.0148999999999999</v>
      </c>
      <c r="W11" s="3116">
        <f t="shared" si="4"/>
        <v>1.0065</v>
      </c>
      <c r="X11" s="3105"/>
      <c r="Y11" s="3107">
        <f>IF(D11=0,0,ROUND(AVERAGE(D11:D13)/100,4))</f>
        <v>7.9000000000000008E-3</v>
      </c>
      <c r="Z11" s="3107">
        <f>IF(E11=0,0,ROUND(AVERAGE(E11:E13)/100,4))</f>
        <v>4.3E-3</v>
      </c>
      <c r="AA11" s="3107">
        <f>IF(F11=0,0,ROUND(AVERAGE(F11:F13)/100,4))</f>
        <v>1.2999999999999999E-3</v>
      </c>
      <c r="AB11" s="3107">
        <f>IF(G11=0,0,ROUND(AVERAGE(G11:G13)/100,4))</f>
        <v>8.5000000000000006E-3</v>
      </c>
      <c r="AC11" s="3107">
        <f>IF(H11=0,0,ROUND(AVERAGE(H11:H13)/100,4))</f>
        <v>6.1999999999999998E-3</v>
      </c>
      <c r="AD11" s="3107">
        <f t="shared" si="2"/>
        <v>1.2999999999999999E-3</v>
      </c>
    </row>
    <row r="12" spans="1:30">
      <c r="A12" s="3088" t="s">
        <v>2784</v>
      </c>
      <c r="B12" s="3137">
        <v>2021</v>
      </c>
      <c r="C12" s="3138">
        <v>2</v>
      </c>
      <c r="D12" s="3138">
        <v>0.92</v>
      </c>
      <c r="E12" s="3138">
        <v>0.72</v>
      </c>
      <c r="F12" s="3138">
        <v>0.41</v>
      </c>
      <c r="G12" s="3138">
        <v>0.95</v>
      </c>
      <c r="H12" s="3144">
        <v>1.01</v>
      </c>
      <c r="I12" s="3139">
        <f t="shared" si="0"/>
        <v>0.41</v>
      </c>
      <c r="J12" s="3105"/>
      <c r="K12" s="3106">
        <f t="shared" si="1"/>
        <v>9.1999999999999998E-3</v>
      </c>
      <c r="L12" s="3107">
        <f t="shared" si="1"/>
        <v>7.1999999999999998E-3</v>
      </c>
      <c r="M12" s="3107">
        <f t="shared" si="1"/>
        <v>4.0999999999999995E-3</v>
      </c>
      <c r="N12" s="3107">
        <f t="shared" si="1"/>
        <v>9.4999999999999998E-3</v>
      </c>
      <c r="O12" s="3107">
        <f t="shared" si="1"/>
        <v>1.01E-2</v>
      </c>
      <c r="P12" s="3107">
        <f t="shared" si="3"/>
        <v>4.0999999999999995E-3</v>
      </c>
      <c r="Q12" s="3105"/>
      <c r="R12" s="3116">
        <f>ROUND(IF(项目基本情况!B8="出让",SUMPRODUCT(PRODUCT(1+K12:K13)),SUMPRODUCT(PRODUCT(1+K12:K12))),4)</f>
        <v>1.0092000000000001</v>
      </c>
      <c r="S12" s="3116">
        <f>ROUND(IF(项目基本情况!B8="出让",SUMPRODUCT(PRODUCT(1+L12:L13)),SUMPRODUCT(PRODUCT(1+L12:L12))),4)</f>
        <v>1.0072000000000001</v>
      </c>
      <c r="T12" s="3116">
        <f>ROUND(IF(项目基本情况!B8="出让",SUMPRODUCT(PRODUCT(1+M12:M13)),SUMPRODUCT(PRODUCT(1+M12:M12))),4)</f>
        <v>1.0041</v>
      </c>
      <c r="U12" s="3116">
        <f>ROUND(IF(项目基本情况!B8="出让",SUMPRODUCT(PRODUCT(1+N12:N13)),SUMPRODUCT(PRODUCT(1+N12:N12))),4)</f>
        <v>1.0095000000000001</v>
      </c>
      <c r="V12" s="3116">
        <f>ROUND(IF(项目基本情况!B8="出让",SUMPRODUCT(PRODUCT(1+O12:O13)),SUMPRODUCT(PRODUCT(1+O12:O12))),4)</f>
        <v>1.0101</v>
      </c>
      <c r="W12" s="3116">
        <f t="shared" si="4"/>
        <v>1.0041</v>
      </c>
      <c r="X12" s="3105"/>
      <c r="Y12" s="3107">
        <f>IF(D12=0,0,ROUND(AVERAGE(D12:D13)/100,4))</f>
        <v>9.4999999999999998E-3</v>
      </c>
      <c r="Z12" s="3107">
        <f>IF(E12=0,0,ROUND(AVERAGE(E12:E13)/100,4))</f>
        <v>4.4000000000000003E-3</v>
      </c>
      <c r="AA12" s="3107">
        <f>IF(F12=0,0,ROUND(AVERAGE(F12:F13)/100,4))</f>
        <v>8.0000000000000004E-4</v>
      </c>
      <c r="AB12" s="3107">
        <f>IF(G12=0,0,ROUND(AVERAGE(G12:G13)/100,4))</f>
        <v>1.03E-2</v>
      </c>
      <c r="AC12" s="3107">
        <f>IF(H12=0,0,ROUND(AVERAGE(H12:H13)/100,4))</f>
        <v>6.8999999999999999E-3</v>
      </c>
      <c r="AD12" s="3107">
        <f t="shared" si="2"/>
        <v>8.0000000000000004E-4</v>
      </c>
    </row>
    <row r="13" spans="1:30" ht="14.25" thickBot="1">
      <c r="A13" s="3090" t="s">
        <v>2785</v>
      </c>
      <c r="B13" s="3145">
        <v>2021</v>
      </c>
      <c r="C13" s="3146">
        <v>1</v>
      </c>
      <c r="D13" s="3146">
        <v>0.97</v>
      </c>
      <c r="E13" s="3146">
        <v>0.16</v>
      </c>
      <c r="F13" s="3146">
        <v>-0.25</v>
      </c>
      <c r="G13" s="3146">
        <v>1.1100000000000001</v>
      </c>
      <c r="H13" s="3147">
        <v>0.36</v>
      </c>
      <c r="I13" s="3148">
        <f t="shared" si="0"/>
        <v>-0.25</v>
      </c>
      <c r="J13" s="3111"/>
      <c r="K13" s="3112">
        <f t="shared" si="1"/>
        <v>9.7000000000000003E-3</v>
      </c>
      <c r="L13" s="3113">
        <f t="shared" si="1"/>
        <v>1.6000000000000001E-3</v>
      </c>
      <c r="M13" s="3113">
        <f>F13/100</f>
        <v>-2.5000000000000001E-3</v>
      </c>
      <c r="N13" s="3113">
        <f t="shared" si="1"/>
        <v>1.11E-2</v>
      </c>
      <c r="O13" s="3113">
        <f t="shared" si="1"/>
        <v>3.5999999999999999E-3</v>
      </c>
      <c r="P13" s="3113">
        <f t="shared" si="3"/>
        <v>-2.5000000000000001E-3</v>
      </c>
      <c r="Q13" s="3111"/>
      <c r="R13" s="3120">
        <v>1</v>
      </c>
      <c r="S13" s="3120">
        <v>1</v>
      </c>
      <c r="T13" s="3120">
        <v>1</v>
      </c>
      <c r="U13" s="3120">
        <v>1</v>
      </c>
      <c r="V13" s="3120">
        <v>1</v>
      </c>
      <c r="W13" s="3120">
        <f t="shared" si="4"/>
        <v>1</v>
      </c>
      <c r="X13" s="3111"/>
      <c r="Y13" s="3113">
        <f>IF(D13=0,0,ROUND(AVERAGE(D13:D13)/100,4))</f>
        <v>9.7000000000000003E-3</v>
      </c>
      <c r="Z13" s="3113">
        <f>IF(E13=0,0,ROUND(AVERAGE(E13:E13)/100,4))</f>
        <v>1.6000000000000001E-3</v>
      </c>
      <c r="AA13" s="3113">
        <f>IF(F13=0,0,ROUND(AVERAGE(F13:F13)/100,4))</f>
        <v>-2.5000000000000001E-3</v>
      </c>
      <c r="AB13" s="3113">
        <f>IF(G13=0,0,ROUND(AVERAGE(G13:G13)/100,4))</f>
        <v>1.11E-2</v>
      </c>
      <c r="AC13" s="3113">
        <f>IF(H13=0,0,ROUND(AVERAGE(H13:H13)/100,4))</f>
        <v>3.5999999999999999E-3</v>
      </c>
      <c r="AD13" s="3113">
        <f>AA13</f>
        <v>-2.5000000000000001E-3</v>
      </c>
    </row>
    <row r="14" spans="1:30" ht="14.25" thickTop="1"/>
    <row r="16" spans="1:30">
      <c r="I16" s="2749" t="s">
        <v>2799</v>
      </c>
    </row>
    <row r="18" spans="1:30">
      <c r="A18" s="2440"/>
      <c r="B18" s="3091" t="s">
        <v>2800</v>
      </c>
      <c r="C18" s="3092"/>
      <c r="D18" s="3092"/>
      <c r="E18" s="3092"/>
      <c r="F18" s="3092"/>
      <c r="G18" s="3092"/>
      <c r="H18" s="3092"/>
      <c r="I18" s="3092"/>
      <c r="J18" s="3093"/>
      <c r="K18" s="3092" t="s">
        <v>2792</v>
      </c>
      <c r="L18" s="3092"/>
      <c r="M18" s="3092"/>
      <c r="N18" s="3092"/>
      <c r="O18" s="3092"/>
      <c r="P18" s="3092"/>
      <c r="Q18" s="3093"/>
      <c r="R18" s="3679" t="s">
        <v>2808</v>
      </c>
      <c r="S18" s="3680"/>
      <c r="T18" s="3680"/>
      <c r="U18" s="3680"/>
      <c r="V18" s="3680"/>
      <c r="W18" s="3680"/>
      <c r="X18" s="3093"/>
      <c r="Y18" s="3679" t="s">
        <v>1925</v>
      </c>
      <c r="Z18" s="3680"/>
      <c r="AA18" s="3680"/>
      <c r="AB18" s="3680"/>
      <c r="AC18" s="3680"/>
      <c r="AD18" s="3680"/>
    </row>
    <row r="19" spans="1:30" ht="14.25" thickBot="1">
      <c r="A19" s="3086"/>
      <c r="B19" s="3094"/>
      <c r="C19" s="3095"/>
      <c r="D19" s="2424" t="s">
        <v>2794</v>
      </c>
      <c r="E19" s="2425" t="s">
        <v>2795</v>
      </c>
      <c r="F19" s="2425" t="s">
        <v>2796</v>
      </c>
      <c r="G19" s="2425" t="s">
        <v>1469</v>
      </c>
      <c r="H19" s="2425"/>
      <c r="I19" s="2425" t="s">
        <v>2735</v>
      </c>
      <c r="J19" s="3096"/>
      <c r="K19" s="2424" t="s">
        <v>2794</v>
      </c>
      <c r="L19" s="2425" t="s">
        <v>2795</v>
      </c>
      <c r="M19" s="2425" t="s">
        <v>2796</v>
      </c>
      <c r="N19" s="2425" t="s">
        <v>2797</v>
      </c>
      <c r="O19" s="2425"/>
      <c r="P19" s="2425" t="s">
        <v>2735</v>
      </c>
      <c r="Q19" s="3096"/>
      <c r="R19" s="2424" t="s">
        <v>2809</v>
      </c>
      <c r="S19" s="2425" t="s">
        <v>2810</v>
      </c>
      <c r="T19" s="2425" t="s">
        <v>2796</v>
      </c>
      <c r="U19" s="2425" t="s">
        <v>1469</v>
      </c>
      <c r="V19" s="2425"/>
      <c r="W19" s="2425" t="s">
        <v>2811</v>
      </c>
      <c r="X19" s="3096"/>
      <c r="Y19" s="2424" t="s">
        <v>2793</v>
      </c>
      <c r="Z19" s="2425" t="s">
        <v>2795</v>
      </c>
      <c r="AA19" s="2425" t="s">
        <v>2796</v>
      </c>
      <c r="AB19" s="2425" t="s">
        <v>1469</v>
      </c>
      <c r="AC19" s="2425"/>
      <c r="AD19" s="2425" t="s">
        <v>2814</v>
      </c>
    </row>
    <row r="20" spans="1:30">
      <c r="A20" s="3087" t="s">
        <v>2786</v>
      </c>
      <c r="B20" s="3097"/>
      <c r="C20" s="3098"/>
      <c r="D20" s="3098"/>
      <c r="E20" s="3098">
        <f>ROUND(AVERAGEIF(E21:E30,"&lt;&gt;0"),2)</f>
        <v>0.39</v>
      </c>
      <c r="F20" s="3098">
        <f>ROUND(AVERAGEIF(F21:F30,"&lt;&gt;0"),2)</f>
        <v>0.27</v>
      </c>
      <c r="G20" s="3098">
        <f>ROUND(AVERAGEIF(G21:G30,"&lt;&gt;0"),2)</f>
        <v>0.79</v>
      </c>
      <c r="H20" s="3098"/>
      <c r="I20" s="3098">
        <f>F20</f>
        <v>0.27</v>
      </c>
      <c r="J20" s="3099"/>
      <c r="K20" s="3100"/>
      <c r="L20" s="3101">
        <f>ROUND(AVERAGEIF(L21:L30,"&lt;&gt;0"),4)</f>
        <v>3.8999999999999998E-3</v>
      </c>
      <c r="M20" s="3101">
        <f>ROUND(AVERAGEIF(M21:M30,"&lt;&gt;0"),4)</f>
        <v>2.7000000000000001E-3</v>
      </c>
      <c r="N20" s="3101">
        <f>ROUND(AVERAGEIF(N21:N30,"&lt;&gt;0"),4)</f>
        <v>7.9000000000000008E-3</v>
      </c>
      <c r="O20" s="3101"/>
      <c r="P20" s="3101">
        <f>M20</f>
        <v>2.7000000000000001E-3</v>
      </c>
      <c r="Q20" s="3099"/>
      <c r="R20" s="3114"/>
      <c r="S20" s="3115">
        <f>ROUND(SUMPRODUCT(PRODUCT(1+L21:L30)),4)</f>
        <v>1.0277000000000001</v>
      </c>
      <c r="T20" s="3115">
        <f>ROUND(SUMPRODUCT(PRODUCT(1+M21:M30)),4)</f>
        <v>1.0192000000000001</v>
      </c>
      <c r="U20" s="3115">
        <f>ROUND(SUMPRODUCT(PRODUCT(1+N21:N30)),4)</f>
        <v>1.0569</v>
      </c>
      <c r="V20" s="3115"/>
      <c r="W20" s="3114">
        <f>T20</f>
        <v>1.0192000000000001</v>
      </c>
      <c r="X20" s="3099"/>
      <c r="Y20" s="3121"/>
      <c r="Z20" s="3122">
        <f>ROUND(AVERAGEIF(Z21:Z30,"&lt;&gt;0"),4)</f>
        <v>4.4000000000000003E-3</v>
      </c>
      <c r="AA20" s="3123">
        <f>ROUND(AVERAGEIF(AA21:AA30,"&lt;&gt;0"),4)</f>
        <v>3.7000000000000002E-3</v>
      </c>
      <c r="AB20" s="3121">
        <f>ROUND(AVERAGEIF(AB21:AB30,"&lt;&gt;0"),4)</f>
        <v>9.1000000000000004E-3</v>
      </c>
      <c r="AC20" s="3124"/>
      <c r="AD20" s="3121">
        <f>AA20</f>
        <v>3.7000000000000002E-3</v>
      </c>
    </row>
    <row r="21" spans="1:30">
      <c r="A21" s="2440"/>
      <c r="B21" s="3102"/>
      <c r="C21" s="2440"/>
      <c r="D21" s="2440"/>
      <c r="E21" s="2440"/>
      <c r="F21" s="2440"/>
      <c r="G21" s="2440"/>
      <c r="H21" s="2440"/>
      <c r="I21" s="2440"/>
      <c r="J21" s="3093"/>
      <c r="K21" s="3103"/>
      <c r="L21" s="3104"/>
      <c r="M21" s="3104"/>
      <c r="N21" s="3104"/>
      <c r="O21" s="3104"/>
      <c r="P21" s="3104"/>
      <c r="Q21" s="3093"/>
      <c r="R21" s="3116"/>
      <c r="S21" s="3117"/>
      <c r="T21" s="3118"/>
      <c r="U21" s="3116"/>
      <c r="V21" s="3119"/>
      <c r="W21" s="3116"/>
      <c r="X21" s="3093"/>
      <c r="Y21" s="3107"/>
      <c r="Z21" s="3125"/>
      <c r="AA21" s="3126"/>
      <c r="AB21" s="3107"/>
      <c r="AC21" s="3127"/>
      <c r="AD21" s="3107"/>
    </row>
    <row r="22" spans="1:30">
      <c r="A22" s="3088" t="s">
        <v>2787</v>
      </c>
      <c r="B22" s="3137">
        <v>2023</v>
      </c>
      <c r="C22" s="3138">
        <v>1</v>
      </c>
      <c r="D22" s="3138"/>
      <c r="E22" s="3138">
        <v>0</v>
      </c>
      <c r="F22" s="3138">
        <v>0</v>
      </c>
      <c r="G22" s="3138">
        <v>0</v>
      </c>
      <c r="H22" s="3138"/>
      <c r="I22" s="3139">
        <f t="shared" ref="I22:I30" si="5">F22</f>
        <v>0</v>
      </c>
      <c r="J22" s="3105"/>
      <c r="K22" s="3106"/>
      <c r="L22" s="3107">
        <f t="shared" ref="L22:N30" si="6">E22/100</f>
        <v>0</v>
      </c>
      <c r="M22" s="3107">
        <f t="shared" si="6"/>
        <v>0</v>
      </c>
      <c r="N22" s="3107">
        <f t="shared" si="6"/>
        <v>0</v>
      </c>
      <c r="O22" s="3107"/>
      <c r="P22" s="3107">
        <f>M22</f>
        <v>0</v>
      </c>
      <c r="Q22" s="3105"/>
      <c r="R22" s="3116"/>
      <c r="S22" s="3116">
        <f>ROUND(IF(项目基本情况!$B$8="出让",SUMPRODUCT(PRODUCT(1+L22:L$30)),SUMPRODUCT(PRODUCT(1+L22:L$29))),4)</f>
        <v>1.0241</v>
      </c>
      <c r="T22" s="3116">
        <f>ROUND(IF(项目基本情况!$B$8="出让",SUMPRODUCT(PRODUCT(1+M22:M$30)),SUMPRODUCT(PRODUCT(1+M22:M$29))),4)</f>
        <v>1.0144</v>
      </c>
      <c r="U22" s="3116">
        <f>ROUND(IF(项目基本情况!$B$8="出让",SUMPRODUCT(PRODUCT(1+N22:N$30)),SUMPRODUCT(PRODUCT(1+N22:N$29))),4)</f>
        <v>1.0467</v>
      </c>
      <c r="V22" s="3116"/>
      <c r="W22" s="3116">
        <f>T22</f>
        <v>1.0144</v>
      </c>
      <c r="X22" s="3105"/>
      <c r="Y22" s="3107"/>
      <c r="Z22" s="3125">
        <f>IF(E22=0,0,ROUND(AVERAGE(E22:E30)/100,4))</f>
        <v>0</v>
      </c>
      <c r="AA22" s="3125">
        <f>IF(F22=0,0,ROUND(AVERAGE(F22:F30)/100,4))</f>
        <v>0</v>
      </c>
      <c r="AB22" s="3125">
        <f>IF(G22=0,0,ROUND(AVERAGE(G22:G30)/100,4))</f>
        <v>0</v>
      </c>
      <c r="AC22" s="3127"/>
      <c r="AD22" s="3107">
        <f>IF(I22=0,0,ROUND(AVERAGE(I22:I30)/100,4))</f>
        <v>0</v>
      </c>
    </row>
    <row r="23" spans="1:30">
      <c r="A23" s="3088" t="s">
        <v>2788</v>
      </c>
      <c r="B23" s="3137">
        <v>2022</v>
      </c>
      <c r="C23" s="3138">
        <v>4</v>
      </c>
      <c r="D23" s="3138"/>
      <c r="E23" s="3138">
        <v>0</v>
      </c>
      <c r="F23" s="3138">
        <v>0</v>
      </c>
      <c r="G23" s="3138">
        <v>0</v>
      </c>
      <c r="H23" s="3138"/>
      <c r="I23" s="3139">
        <f t="shared" si="5"/>
        <v>0</v>
      </c>
      <c r="J23" s="3105"/>
      <c r="K23" s="3106"/>
      <c r="L23" s="3107">
        <f t="shared" si="6"/>
        <v>0</v>
      </c>
      <c r="M23" s="3107">
        <f t="shared" si="6"/>
        <v>0</v>
      </c>
      <c r="N23" s="3107">
        <f t="shared" si="6"/>
        <v>0</v>
      </c>
      <c r="O23" s="3107"/>
      <c r="P23" s="3107">
        <f t="shared" ref="P23:P30" si="7">M23</f>
        <v>0</v>
      </c>
      <c r="Q23" s="3105"/>
      <c r="R23" s="3116"/>
      <c r="S23" s="3116">
        <f>ROUND(IF(项目基本情况!$B$8="出让",SUMPRODUCT(PRODUCT(1+L23:L$30)),SUMPRODUCT(PRODUCT(1+L23:L$29))),4)</f>
        <v>1.0241</v>
      </c>
      <c r="T23" s="3116">
        <f>ROUND(IF(项目基本情况!$B$8="出让",SUMPRODUCT(PRODUCT(1+M23:M$30)),SUMPRODUCT(PRODUCT(1+M23:M$29))),4)</f>
        <v>1.0144</v>
      </c>
      <c r="U23" s="3116">
        <f>ROUND(IF(项目基本情况!$B$8="出让",SUMPRODUCT(PRODUCT(1+N23:N$30)),SUMPRODUCT(PRODUCT(1+N23:N$29))),4)</f>
        <v>1.0467</v>
      </c>
      <c r="V23" s="3116"/>
      <c r="W23" s="3116">
        <f t="shared" ref="W23:W30" si="8">T23</f>
        <v>1.0144</v>
      </c>
      <c r="X23" s="3105"/>
      <c r="Y23" s="3107"/>
      <c r="Z23" s="3125">
        <f t="shared" ref="Z23:AD30" si="9">IF(E23=0,0,ROUND(AVERAGE(E23:E31)/100,4))</f>
        <v>0</v>
      </c>
      <c r="AA23" s="3126">
        <f t="shared" si="9"/>
        <v>0</v>
      </c>
      <c r="AB23" s="3107">
        <f t="shared" si="9"/>
        <v>0</v>
      </c>
      <c r="AC23" s="3127"/>
      <c r="AD23" s="3107">
        <f t="shared" si="9"/>
        <v>0</v>
      </c>
    </row>
    <row r="24" spans="1:30">
      <c r="A24" s="3089" t="s">
        <v>3251</v>
      </c>
      <c r="B24" s="3140">
        <v>2022</v>
      </c>
      <c r="C24" s="3141">
        <v>3</v>
      </c>
      <c r="D24" s="3141"/>
      <c r="E24" s="3141">
        <v>0.3</v>
      </c>
      <c r="F24" s="3141">
        <v>0.28999999999999998</v>
      </c>
      <c r="G24" s="3141">
        <v>0.83</v>
      </c>
      <c r="H24" s="3142"/>
      <c r="I24" s="3143">
        <f t="shared" si="5"/>
        <v>0.28999999999999998</v>
      </c>
      <c r="J24" s="3108"/>
      <c r="K24" s="3109"/>
      <c r="L24" s="3110">
        <f t="shared" si="6"/>
        <v>3.0000000000000001E-3</v>
      </c>
      <c r="M24" s="3110">
        <f t="shared" si="6"/>
        <v>2.8999999999999998E-3</v>
      </c>
      <c r="N24" s="3110">
        <f t="shared" si="6"/>
        <v>8.3000000000000001E-3</v>
      </c>
      <c r="O24" s="3110"/>
      <c r="P24" s="3110">
        <f t="shared" si="7"/>
        <v>2.8999999999999998E-3</v>
      </c>
      <c r="Q24" s="3108"/>
      <c r="R24" s="3108"/>
      <c r="S24" s="3108">
        <f>ROUND(IF(项目基本情况!$B$8="出让",SUMPRODUCT(PRODUCT(1+L24:L$30)),SUMPRODUCT(PRODUCT(1+L24:L$29))),4)</f>
        <v>1.0241</v>
      </c>
      <c r="T24" s="3108">
        <f>ROUND(IF(项目基本情况!$B$8="出让",SUMPRODUCT(PRODUCT(1+M24:M$30)),SUMPRODUCT(PRODUCT(1+M24:M$29))),4)</f>
        <v>1.0144</v>
      </c>
      <c r="U24" s="3108">
        <f>ROUND(IF(项目基本情况!$B$8="出让",SUMPRODUCT(PRODUCT(1+N24:N$30)),SUMPRODUCT(PRODUCT(1+N24:N$29))),4)</f>
        <v>1.0467</v>
      </c>
      <c r="V24" s="3108"/>
      <c r="W24" s="3108">
        <f t="shared" si="8"/>
        <v>1.0144</v>
      </c>
      <c r="X24" s="3108"/>
      <c r="Y24" s="3110"/>
      <c r="Z24" s="3128">
        <f t="shared" si="9"/>
        <v>3.8999999999999998E-3</v>
      </c>
      <c r="AA24" s="3129">
        <f t="shared" si="9"/>
        <v>2.7000000000000001E-3</v>
      </c>
      <c r="AB24" s="3110">
        <f t="shared" si="9"/>
        <v>7.9000000000000008E-3</v>
      </c>
      <c r="AC24" s="3130"/>
      <c r="AD24" s="3110">
        <f t="shared" si="9"/>
        <v>2.7000000000000001E-3</v>
      </c>
    </row>
    <row r="25" spans="1:30">
      <c r="A25" s="3088" t="s">
        <v>3250</v>
      </c>
      <c r="B25" s="3137">
        <v>2022</v>
      </c>
      <c r="C25" s="3138">
        <v>2</v>
      </c>
      <c r="D25" s="3138"/>
      <c r="E25" s="3138">
        <v>-0.11</v>
      </c>
      <c r="F25" s="3138">
        <v>-0.13</v>
      </c>
      <c r="G25" s="3138">
        <v>0.53</v>
      </c>
      <c r="H25" s="3144"/>
      <c r="I25" s="3139">
        <f t="shared" si="5"/>
        <v>-0.13</v>
      </c>
      <c r="J25" s="3105"/>
      <c r="K25" s="3106"/>
      <c r="L25" s="3107">
        <f t="shared" si="6"/>
        <v>-1.1000000000000001E-3</v>
      </c>
      <c r="M25" s="3107">
        <f t="shared" si="6"/>
        <v>-1.2999999999999999E-3</v>
      </c>
      <c r="N25" s="3107">
        <f t="shared" si="6"/>
        <v>5.3E-3</v>
      </c>
      <c r="O25" s="3107"/>
      <c r="P25" s="3107">
        <f t="shared" si="7"/>
        <v>-1.2999999999999999E-3</v>
      </c>
      <c r="Q25" s="3105"/>
      <c r="R25" s="3116"/>
      <c r="S25" s="3116">
        <f>ROUND(IF(项目基本情况!$B$8="出让",SUMPRODUCT(PRODUCT(1+L25:L$30)),SUMPRODUCT(PRODUCT(1+L25:L$29))),4)</f>
        <v>1.0210999999999999</v>
      </c>
      <c r="T25" s="3116">
        <f>ROUND(IF(项目基本情况!$B$8="出让",SUMPRODUCT(PRODUCT(1+M25:M$30)),SUMPRODUCT(PRODUCT(1+M25:M$29))),4)</f>
        <v>1.0114000000000001</v>
      </c>
      <c r="U25" s="3116">
        <f>ROUND(IF(项目基本情况!$B$8="出让",SUMPRODUCT(PRODUCT(1+N25:N$30)),SUMPRODUCT(PRODUCT(1+N25:N$29))),4)</f>
        <v>1.0381</v>
      </c>
      <c r="V25" s="3116"/>
      <c r="W25" s="3116">
        <f t="shared" si="8"/>
        <v>1.0114000000000001</v>
      </c>
      <c r="X25" s="3105"/>
      <c r="Y25" s="3107"/>
      <c r="Z25" s="3125">
        <f t="shared" si="9"/>
        <v>4.1000000000000003E-3</v>
      </c>
      <c r="AA25" s="3126">
        <f t="shared" si="9"/>
        <v>2.7000000000000001E-3</v>
      </c>
      <c r="AB25" s="3107">
        <f t="shared" si="9"/>
        <v>7.9000000000000008E-3</v>
      </c>
      <c r="AC25" s="3127"/>
      <c r="AD25" s="3107">
        <f t="shared" si="9"/>
        <v>2.7000000000000001E-3</v>
      </c>
    </row>
    <row r="26" spans="1:30">
      <c r="A26" s="3088" t="s">
        <v>2781</v>
      </c>
      <c r="B26" s="3137">
        <v>2022</v>
      </c>
      <c r="C26" s="3138">
        <v>1</v>
      </c>
      <c r="D26" s="3138"/>
      <c r="E26" s="3138">
        <v>0.6</v>
      </c>
      <c r="F26" s="3138">
        <v>0.45</v>
      </c>
      <c r="G26" s="3138">
        <v>0.53</v>
      </c>
      <c r="H26" s="3144"/>
      <c r="I26" s="3139">
        <f t="shared" si="5"/>
        <v>0.45</v>
      </c>
      <c r="J26" s="3105"/>
      <c r="K26" s="3106"/>
      <c r="L26" s="3107">
        <f t="shared" si="6"/>
        <v>6.0000000000000001E-3</v>
      </c>
      <c r="M26" s="3107">
        <f t="shared" si="6"/>
        <v>4.5000000000000005E-3</v>
      </c>
      <c r="N26" s="3107">
        <f t="shared" si="6"/>
        <v>5.3E-3</v>
      </c>
      <c r="O26" s="3107"/>
      <c r="P26" s="3107">
        <f t="shared" si="7"/>
        <v>4.5000000000000005E-3</v>
      </c>
      <c r="Q26" s="3105"/>
      <c r="R26" s="3116"/>
      <c r="S26" s="3116">
        <f>ROUND(IF(项目基本情况!$B$8="出让",SUMPRODUCT(PRODUCT(1+L26:L$30)),SUMPRODUCT(PRODUCT(1+L26:L$29))),4)</f>
        <v>1.0222</v>
      </c>
      <c r="T26" s="3116">
        <f>ROUND(IF(项目基本情况!$B$8="出让",SUMPRODUCT(PRODUCT(1+M26:M$30)),SUMPRODUCT(PRODUCT(1+M26:M$29))),4)</f>
        <v>1.0127999999999999</v>
      </c>
      <c r="U26" s="3116">
        <f>ROUND(IF(项目基本情况!$B$8="出让",SUMPRODUCT(PRODUCT(1+N26:N$30)),SUMPRODUCT(PRODUCT(1+N26:N$29))),4)</f>
        <v>1.0326</v>
      </c>
      <c r="V26" s="3116"/>
      <c r="W26" s="3116">
        <f t="shared" si="8"/>
        <v>1.0127999999999999</v>
      </c>
      <c r="X26" s="3105"/>
      <c r="Y26" s="3107"/>
      <c r="Z26" s="3125">
        <f t="shared" si="9"/>
        <v>5.1000000000000004E-3</v>
      </c>
      <c r="AA26" s="3126">
        <f t="shared" si="9"/>
        <v>3.5000000000000001E-3</v>
      </c>
      <c r="AB26" s="3107">
        <f t="shared" si="9"/>
        <v>8.3999999999999995E-3</v>
      </c>
      <c r="AC26" s="3127"/>
      <c r="AD26" s="3107">
        <f t="shared" si="9"/>
        <v>3.5000000000000001E-3</v>
      </c>
    </row>
    <row r="27" spans="1:30">
      <c r="A27" s="3088" t="s">
        <v>2782</v>
      </c>
      <c r="B27" s="3137">
        <v>2021</v>
      </c>
      <c r="C27" s="3138">
        <v>4</v>
      </c>
      <c r="D27" s="3138"/>
      <c r="E27" s="3138">
        <v>0.57999999999999996</v>
      </c>
      <c r="F27" s="3138">
        <v>0.08</v>
      </c>
      <c r="G27" s="3138">
        <v>0.68</v>
      </c>
      <c r="H27" s="3144"/>
      <c r="I27" s="3139">
        <f t="shared" si="5"/>
        <v>0.08</v>
      </c>
      <c r="J27" s="3105"/>
      <c r="K27" s="3106"/>
      <c r="L27" s="3107">
        <f t="shared" si="6"/>
        <v>5.7999999999999996E-3</v>
      </c>
      <c r="M27" s="3107">
        <f t="shared" si="6"/>
        <v>8.0000000000000004E-4</v>
      </c>
      <c r="N27" s="3107">
        <f t="shared" si="6"/>
        <v>6.8000000000000005E-3</v>
      </c>
      <c r="O27" s="3107"/>
      <c r="P27" s="3107">
        <f t="shared" si="7"/>
        <v>8.0000000000000004E-4</v>
      </c>
      <c r="Q27" s="3105"/>
      <c r="R27" s="3116"/>
      <c r="S27" s="3116">
        <f>ROUND(IF(项目基本情况!$B$8="出让",SUMPRODUCT(PRODUCT(1+L27:L$30)),SUMPRODUCT(PRODUCT(1+L27:L$29))),4)</f>
        <v>1.0161</v>
      </c>
      <c r="T27" s="3116">
        <f>ROUND(IF(项目基本情况!$B$8="出让",SUMPRODUCT(PRODUCT(1+M27:M$30)),SUMPRODUCT(PRODUCT(1+M27:M$29))),4)</f>
        <v>1.0082</v>
      </c>
      <c r="U27" s="3116">
        <f>ROUND(IF(项目基本情况!$B$8="出让",SUMPRODUCT(PRODUCT(1+N27:N$30)),SUMPRODUCT(PRODUCT(1+N27:N$29))),4)</f>
        <v>1.0270999999999999</v>
      </c>
      <c r="V27" s="3116"/>
      <c r="W27" s="3116">
        <f t="shared" si="8"/>
        <v>1.0082</v>
      </c>
      <c r="X27" s="3105"/>
      <c r="Y27" s="3107"/>
      <c r="Z27" s="3125">
        <f t="shared" si="9"/>
        <v>4.8999999999999998E-3</v>
      </c>
      <c r="AA27" s="3126">
        <f t="shared" si="9"/>
        <v>3.3E-3</v>
      </c>
      <c r="AB27" s="3107">
        <f t="shared" si="9"/>
        <v>9.1999999999999998E-3</v>
      </c>
      <c r="AC27" s="3127"/>
      <c r="AD27" s="3107">
        <f t="shared" si="9"/>
        <v>3.3E-3</v>
      </c>
    </row>
    <row r="28" spans="1:30">
      <c r="A28" s="3088" t="s">
        <v>2783</v>
      </c>
      <c r="B28" s="3137">
        <v>2021</v>
      </c>
      <c r="C28" s="3138">
        <v>3</v>
      </c>
      <c r="D28" s="3138"/>
      <c r="E28" s="3138">
        <v>0.47</v>
      </c>
      <c r="F28" s="3138">
        <v>0.28000000000000003</v>
      </c>
      <c r="G28" s="3138">
        <v>0.91</v>
      </c>
      <c r="H28" s="3144"/>
      <c r="I28" s="3139">
        <f t="shared" si="5"/>
        <v>0.28000000000000003</v>
      </c>
      <c r="J28" s="3105"/>
      <c r="K28" s="3106"/>
      <c r="L28" s="3107">
        <f t="shared" si="6"/>
        <v>4.6999999999999993E-3</v>
      </c>
      <c r="M28" s="3107">
        <f t="shared" si="6"/>
        <v>2.8000000000000004E-3</v>
      </c>
      <c r="N28" s="3107">
        <f t="shared" si="6"/>
        <v>9.1000000000000004E-3</v>
      </c>
      <c r="O28" s="3107"/>
      <c r="P28" s="3107">
        <f t="shared" si="7"/>
        <v>2.8000000000000004E-3</v>
      </c>
      <c r="Q28" s="3105"/>
      <c r="R28" s="3116"/>
      <c r="S28" s="3116">
        <f>ROUND(IF(项目基本情况!$B$8="出让",SUMPRODUCT(PRODUCT(1+L28:L$30)),SUMPRODUCT(PRODUCT(1+L28:L$29))),4)</f>
        <v>1.0102</v>
      </c>
      <c r="T28" s="3116">
        <f>ROUND(IF(项目基本情况!$B$8="出让",SUMPRODUCT(PRODUCT(1+M28:M$30)),SUMPRODUCT(PRODUCT(1+M28:M$29))),4)</f>
        <v>1.0074000000000001</v>
      </c>
      <c r="U28" s="3116">
        <f>ROUND(IF(项目基本情况!$B$8="出让",SUMPRODUCT(PRODUCT(1+N28:N$30)),SUMPRODUCT(PRODUCT(1+N28:N$29))),4)</f>
        <v>1.0202</v>
      </c>
      <c r="V28" s="3116"/>
      <c r="W28" s="3116">
        <f t="shared" si="8"/>
        <v>1.0074000000000001</v>
      </c>
      <c r="X28" s="3105"/>
      <c r="Y28" s="3107"/>
      <c r="Z28" s="3125">
        <f t="shared" si="9"/>
        <v>4.5999999999999999E-3</v>
      </c>
      <c r="AA28" s="3126">
        <f t="shared" si="9"/>
        <v>4.1000000000000003E-3</v>
      </c>
      <c r="AB28" s="3107">
        <f t="shared" si="9"/>
        <v>0.01</v>
      </c>
      <c r="AC28" s="3127"/>
      <c r="AD28" s="3107">
        <f t="shared" si="9"/>
        <v>4.1000000000000003E-3</v>
      </c>
    </row>
    <row r="29" spans="1:30">
      <c r="A29" s="3088" t="s">
        <v>2789</v>
      </c>
      <c r="B29" s="3137">
        <v>2021</v>
      </c>
      <c r="C29" s="3138">
        <v>2</v>
      </c>
      <c r="D29" s="3138"/>
      <c r="E29" s="3138">
        <v>0.55000000000000004</v>
      </c>
      <c r="F29" s="3138">
        <v>0.46</v>
      </c>
      <c r="G29" s="3138">
        <v>1.1000000000000001</v>
      </c>
      <c r="H29" s="3144"/>
      <c r="I29" s="3139">
        <f t="shared" si="5"/>
        <v>0.46</v>
      </c>
      <c r="J29" s="3105"/>
      <c r="K29" s="3106"/>
      <c r="L29" s="3107">
        <f t="shared" si="6"/>
        <v>5.5000000000000005E-3</v>
      </c>
      <c r="M29" s="3107">
        <f t="shared" si="6"/>
        <v>4.5999999999999999E-3</v>
      </c>
      <c r="N29" s="3107">
        <f t="shared" si="6"/>
        <v>1.1000000000000001E-2</v>
      </c>
      <c r="O29" s="3107"/>
      <c r="P29" s="3107">
        <f t="shared" si="7"/>
        <v>4.5999999999999999E-3</v>
      </c>
      <c r="Q29" s="3105"/>
      <c r="R29" s="3116"/>
      <c r="S29" s="3116">
        <f>ROUND(IF(项目基本情况!$B$8="出让",SUMPRODUCT(PRODUCT(1+L29:L$30)),SUMPRODUCT(PRODUCT(1+L29:L$29))),4)</f>
        <v>1.0055000000000001</v>
      </c>
      <c r="T29" s="3116">
        <f>ROUND(IF(项目基本情况!$B$8="出让",SUMPRODUCT(PRODUCT(1+M29:M$30)),SUMPRODUCT(PRODUCT(1+M29:M$29))),4)</f>
        <v>1.0045999999999999</v>
      </c>
      <c r="U29" s="3116">
        <f>ROUND(IF(项目基本情况!$B$8="出让",SUMPRODUCT(PRODUCT(1+N29:N$30)),SUMPRODUCT(PRODUCT(1+N29:N$29))),4)</f>
        <v>1.0109999999999999</v>
      </c>
      <c r="V29" s="3116"/>
      <c r="W29" s="3116">
        <f t="shared" si="8"/>
        <v>1.0045999999999999</v>
      </c>
      <c r="X29" s="3105"/>
      <c r="Y29" s="3107"/>
      <c r="Z29" s="3125">
        <f t="shared" si="9"/>
        <v>4.4999999999999997E-3</v>
      </c>
      <c r="AA29" s="3126">
        <f t="shared" si="9"/>
        <v>4.7000000000000002E-3</v>
      </c>
      <c r="AB29" s="3107">
        <f t="shared" si="9"/>
        <v>1.04E-2</v>
      </c>
      <c r="AC29" s="3127"/>
      <c r="AD29" s="3107">
        <f t="shared" si="9"/>
        <v>4.7000000000000002E-3</v>
      </c>
    </row>
    <row r="30" spans="1:30" ht="14.25" thickBot="1">
      <c r="A30" s="3090" t="s">
        <v>2790</v>
      </c>
      <c r="B30" s="3145">
        <v>2021</v>
      </c>
      <c r="C30" s="3146">
        <v>1</v>
      </c>
      <c r="D30" s="3146"/>
      <c r="E30" s="3146">
        <v>0.35</v>
      </c>
      <c r="F30" s="3146">
        <v>0.48</v>
      </c>
      <c r="G30" s="3146">
        <v>0.98</v>
      </c>
      <c r="H30" s="3147"/>
      <c r="I30" s="3148">
        <f t="shared" si="5"/>
        <v>0.48</v>
      </c>
      <c r="J30" s="3111"/>
      <c r="K30" s="3112"/>
      <c r="L30" s="3113">
        <f t="shared" si="6"/>
        <v>3.4999999999999996E-3</v>
      </c>
      <c r="M30" s="3113">
        <f>F30/100</f>
        <v>4.7999999999999996E-3</v>
      </c>
      <c r="N30" s="3113">
        <f t="shared" si="6"/>
        <v>9.7999999999999997E-3</v>
      </c>
      <c r="O30" s="3113"/>
      <c r="P30" s="3113">
        <f t="shared" si="7"/>
        <v>4.7999999999999996E-3</v>
      </c>
      <c r="Q30" s="3111"/>
      <c r="R30" s="3120"/>
      <c r="S30" s="3120">
        <v>1</v>
      </c>
      <c r="T30" s="3120">
        <v>1</v>
      </c>
      <c r="U30" s="3120">
        <v>1</v>
      </c>
      <c r="V30" s="3120"/>
      <c r="W30" s="3120">
        <f t="shared" si="8"/>
        <v>1</v>
      </c>
      <c r="X30" s="3111"/>
      <c r="Y30" s="3113"/>
      <c r="Z30" s="3131">
        <f t="shared" si="9"/>
        <v>3.5000000000000001E-3</v>
      </c>
      <c r="AA30" s="3132">
        <f t="shared" si="9"/>
        <v>4.7999999999999996E-3</v>
      </c>
      <c r="AB30" s="3113">
        <f t="shared" si="9"/>
        <v>9.7999999999999997E-3</v>
      </c>
      <c r="AC30" s="3133"/>
      <c r="AD30" s="3113">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4" sqref="H24"/>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2206</v>
      </c>
      <c r="B1" s="2747"/>
      <c r="C1" s="2747"/>
      <c r="D1" s="2747"/>
      <c r="E1" s="2747"/>
      <c r="F1" s="2747"/>
      <c r="G1" s="2748"/>
      <c r="H1" s="2748"/>
      <c r="I1" s="2748"/>
      <c r="J1" s="2748"/>
      <c r="K1" s="2748"/>
      <c r="L1" s="2748"/>
      <c r="M1" s="2748"/>
      <c r="N1" s="2748"/>
    </row>
    <row r="2" spans="1:14" ht="14.25">
      <c r="A2" s="2753" t="s">
        <v>2201</v>
      </c>
      <c r="B2" s="2758">
        <f ca="1">SUMIF(B7:B14,"&lt;&gt;#ref!",B7:B14)</f>
        <v>0</v>
      </c>
      <c r="C2" s="2753" t="s">
        <v>2202</v>
      </c>
      <c r="D2" s="2750"/>
      <c r="E2" s="2750"/>
      <c r="F2" s="2750"/>
      <c r="G2" s="2748"/>
      <c r="H2" s="2748"/>
      <c r="I2" s="2748"/>
      <c r="J2" s="2748"/>
      <c r="K2" s="2748"/>
      <c r="L2" s="2748"/>
      <c r="M2" s="2748"/>
      <c r="N2" s="2748"/>
    </row>
    <row r="3" spans="1:14" ht="14.25">
      <c r="A3" s="2753" t="s">
        <v>2230</v>
      </c>
      <c r="B3" s="2758" t="e">
        <f ca="1">ROUND(B2*10000/E3,0)</f>
        <v>#DIV/0!</v>
      </c>
      <c r="C3" s="2753" t="s">
        <v>1596</v>
      </c>
      <c r="D3" s="2753" t="s">
        <v>2203</v>
      </c>
      <c r="E3" s="2751">
        <f ca="1">SUMIF(E7:E14,"&lt;&gt;#ref!",E7:E14)</f>
        <v>0</v>
      </c>
      <c r="F3" s="2750"/>
      <c r="G3" s="2748"/>
      <c r="H3" s="2748"/>
      <c r="I3" s="2748"/>
      <c r="J3" s="2748"/>
      <c r="K3" s="2748"/>
      <c r="L3" s="2748"/>
      <c r="M3" s="2748"/>
      <c r="N3" s="2748"/>
    </row>
    <row r="4" spans="1:14" ht="14.25">
      <c r="A4" s="2753" t="s">
        <v>2209</v>
      </c>
      <c r="B4" s="2758" t="e">
        <f ca="1">ROUND(B2*10000/E4,0)</f>
        <v>#DIV/0!</v>
      </c>
      <c r="C4" s="2753" t="s">
        <v>1596</v>
      </c>
      <c r="D4" s="2753" t="s">
        <v>2210</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2207</v>
      </c>
      <c r="B6" s="2753" t="s">
        <v>2204</v>
      </c>
      <c r="C6" s="2355"/>
      <c r="D6" s="2750"/>
      <c r="E6" s="2753" t="s">
        <v>2205</v>
      </c>
      <c r="F6" s="2753" t="s">
        <v>2208</v>
      </c>
      <c r="G6" s="2748"/>
      <c r="H6" s="2748"/>
      <c r="I6" s="2748"/>
      <c r="J6" s="2748"/>
      <c r="K6" s="2748"/>
      <c r="L6" s="2748"/>
      <c r="M6" s="2748"/>
      <c r="N6" s="2748"/>
    </row>
    <row r="7" spans="1:14" ht="14.25">
      <c r="A7" s="2756"/>
      <c r="B7" s="2758" t="e">
        <f ca="1">SUMIF(INDIRECT("'"&amp;A7&amp;"'"&amp;"!A:A"),"总价",INDIRECT("'"&amp;A7&amp;"'"&amp;"!B:B"))</f>
        <v>#REF!</v>
      </c>
      <c r="C7" s="2753" t="s">
        <v>2202</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2202</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2202</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2202</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2202</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2202</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2202</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2202</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-3</v>
      </c>
      <c r="G1" s="709">
        <f>MATCH(C1,'数据-取费表'!A6:A16,0)+5</f>
        <v>7</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682" t="s">
        <v>1807</v>
      </c>
      <c r="C8" s="1516">
        <f ca="1">ROUND(F8*F10*F9*(1-F11)/10000,0)</f>
        <v>0</v>
      </c>
      <c r="D8" s="317" t="s">
        <v>1817</v>
      </c>
      <c r="E8" s="57" t="s">
        <v>585</v>
      </c>
      <c r="F8" s="720">
        <f ca="1">INDIRECT("'数据-取费表'!u"&amp;$G$1)</f>
        <v>0</v>
      </c>
      <c r="G8" s="1144"/>
      <c r="H8" s="2009" t="s">
        <v>1353</v>
      </c>
      <c r="I8" s="3682" t="s">
        <v>1807</v>
      </c>
      <c r="J8" s="718">
        <f ca="1">ROUND(M8*M10*M9*(1-M11)/10000,0)</f>
        <v>0</v>
      </c>
      <c r="K8" s="315" t="s">
        <v>1817</v>
      </c>
      <c r="L8" s="719" t="s">
        <v>1267</v>
      </c>
      <c r="M8" s="720">
        <f ca="1">INDIRECT("'数据-取费表'!z"&amp;$G$1)</f>
        <v>0</v>
      </c>
    </row>
    <row r="9" spans="1:25" ht="18" customHeight="1">
      <c r="A9" s="2005"/>
      <c r="B9" s="3683"/>
      <c r="C9" s="1517"/>
      <c r="D9" s="330"/>
      <c r="E9" s="57" t="s">
        <v>586</v>
      </c>
      <c r="F9" s="720">
        <f ca="1">IF(INDIRECT("'数据-取费表'!ah"&amp;$G$1)="",INDIRECT("'数据-取费表'!k"&amp;$G$1),INDIRECT("'数据-取费表'!ah"&amp;$G$1))</f>
        <v>0</v>
      </c>
      <c r="G9" s="1144"/>
      <c r="H9" s="1994"/>
      <c r="I9" s="3683"/>
      <c r="J9" s="723"/>
      <c r="K9" s="724"/>
      <c r="L9" s="719" t="s">
        <v>1268</v>
      </c>
      <c r="M9" s="720">
        <f ca="1">F9</f>
        <v>0</v>
      </c>
    </row>
    <row r="10" spans="1:25" ht="18" customHeight="1">
      <c r="A10" s="1998"/>
      <c r="B10" s="3684"/>
      <c r="C10" s="1517"/>
      <c r="D10" s="330"/>
      <c r="E10" s="57" t="s">
        <v>587</v>
      </c>
      <c r="F10" s="720">
        <f ca="1">INDIRECT("'数据-取费表'!ai"&amp;$G$1)</f>
        <v>0</v>
      </c>
      <c r="G10" s="1144"/>
      <c r="H10" s="1994"/>
      <c r="I10" s="3684"/>
      <c r="J10" s="723"/>
      <c r="K10" s="724"/>
      <c r="L10" s="719" t="s">
        <v>1269</v>
      </c>
      <c r="M10" s="720">
        <f ca="1">INDIRECT("'数据-取费表'!ai"&amp;$G$1)</f>
        <v>0</v>
      </c>
    </row>
    <row r="11" spans="1:25" ht="18" customHeight="1">
      <c r="A11" s="721"/>
      <c r="B11" s="3685"/>
      <c r="C11" s="1517"/>
      <c r="D11" s="330"/>
      <c r="E11" s="57" t="s">
        <v>588</v>
      </c>
      <c r="F11" s="729">
        <f ca="1">INDIRECT("'数据-取费表'!w"&amp;$G$1)</f>
        <v>0</v>
      </c>
      <c r="G11" s="1144"/>
      <c r="H11" s="2010"/>
      <c r="I11" s="3684"/>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2227</v>
      </c>
      <c r="E12" s="2003" t="s">
        <v>1808</v>
      </c>
      <c r="F12" s="2076"/>
      <c r="G12" s="1144"/>
      <c r="H12" s="2037" t="s">
        <v>1354</v>
      </c>
      <c r="I12" s="2041" t="s">
        <v>1803</v>
      </c>
      <c r="J12" s="718">
        <f ca="1">ROUND(IF(M12="押一",J8/12*M13,IF(M12="押二",J8/12*2*M13,IF(M12="押三",J8/12*3*M13,J13*M13))),0)</f>
        <v>0</v>
      </c>
      <c r="K12" s="2006" t="s">
        <v>2227</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150</v>
      </c>
      <c r="G19" s="1325"/>
      <c r="H19" s="738" t="s">
        <v>1587</v>
      </c>
      <c r="I19" s="719" t="s">
        <v>604</v>
      </c>
      <c r="J19" s="2555">
        <f ca="1">ROUND(IF(AND(项目基本情况!B11="自然人",项目基本情况!B10="北京市"),J8*M19/(1+'数据-取费表'!C42),J20+J21+J22),0)</f>
        <v>0</v>
      </c>
      <c r="K19" s="905" t="s">
        <v>605</v>
      </c>
      <c r="L19" s="906" t="s">
        <v>606</v>
      </c>
      <c r="M19" s="2554">
        <f ca="1">IF(项目基本情况!B11="企业","——",IF('数据-取费表'!B10="住宅",IF(M8*M9*M10/12/(1+'数据-取费表'!F30)&gt;100000,4%,2.5%),IF(M8*M9*M10/12/(1+'数据-取费表'!F30)&gt;100000,12%,7%)))</f>
        <v>7.0000000000000007E-2</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1.4999999999999999E-2</v>
      </c>
      <c r="G20" s="1325"/>
      <c r="H20" s="738" t="s">
        <v>1360</v>
      </c>
      <c r="I20" s="719" t="s">
        <v>608</v>
      </c>
      <c r="J20" s="49">
        <f ca="1">ROUND(J8*M20/(1+'数据-取费表'!C42),1)</f>
        <v>0</v>
      </c>
      <c r="K20" s="906" t="s">
        <v>609</v>
      </c>
      <c r="L20" s="719" t="s">
        <v>597</v>
      </c>
      <c r="M20" s="744">
        <f>'数据-取费表'!B41</f>
        <v>5.6000000000000001E-2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3248</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1.4999999999999999E-2</v>
      </c>
      <c r="G22" s="1325"/>
      <c r="H22" s="1523" t="s">
        <v>1379</v>
      </c>
      <c r="I22" s="317" t="s">
        <v>615</v>
      </c>
      <c r="J22" s="50">
        <f ca="1">ROUND(M22*M23/10000,0)</f>
        <v>0</v>
      </c>
      <c r="K22" s="748" t="s">
        <v>616</v>
      </c>
      <c r="L22" s="719" t="s">
        <v>617</v>
      </c>
      <c r="M22" s="587">
        <f>'数据-取费表'!B52</f>
        <v>3</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1.4999999999999999E-2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3</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4.1499999999999995E-2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8"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5.33E-2</v>
      </c>
      <c r="D30" s="746" t="s">
        <v>656</v>
      </c>
      <c r="E30" s="719" t="s">
        <v>597</v>
      </c>
      <c r="F30" s="744">
        <f>'数据-取费表'!B41</f>
        <v>5.6000000000000001E-2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5" t="s">
        <v>605</v>
      </c>
      <c r="E33" s="906" t="s">
        <v>637</v>
      </c>
      <c r="F33" s="2554">
        <f ca="1">IF(项目基本情况!B11="企业","——",IF(M48="住宅",IF(F8*F9*F10/12/(1+'数据-取费表'!F30)&gt;100000,4%,2.5%),IF(F8*F9*F10/12/(1+'数据-取费表'!F30)&gt;100000,12%,7%)))</f>
        <v>7.0000000000000007E-2</v>
      </c>
      <c r="G33" s="1668"/>
      <c r="H33" s="2759" t="s">
        <v>2278</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5.6000000000000001E-2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3248</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3</v>
      </c>
      <c r="G36" s="1668"/>
      <c r="H36" s="1677"/>
      <c r="I36" s="3681"/>
      <c r="J36" s="1690"/>
      <c r="K36" s="1691"/>
      <c r="L36" s="1690"/>
      <c r="M36" s="1690"/>
    </row>
    <row r="37" spans="1:18" ht="18" customHeight="1">
      <c r="A37" s="749"/>
      <c r="B37" s="728"/>
      <c r="C37" s="65"/>
      <c r="D37" s="750"/>
      <c r="E37" s="719" t="s">
        <v>621</v>
      </c>
      <c r="F37" s="720">
        <f ca="1">INDIRECT("'数据-取费表'!r"&amp;$G$1)</f>
        <v>0</v>
      </c>
      <c r="G37" s="1668"/>
      <c r="H37" s="1677"/>
      <c r="I37" s="3681"/>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60" t="s">
        <v>2217</v>
      </c>
      <c r="F43" s="2361">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2" t="s">
        <v>2220</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2231</v>
      </c>
      <c r="J54" s="2416">
        <f ca="1">IF(M48="住宅",MAX(J52,L49-'数据-取费表'!B20),MIN(J52,L49-'数据-取费表'!B20))</f>
        <v>-3</v>
      </c>
      <c r="K54" s="3686"/>
      <c r="L54" s="3687"/>
      <c r="O54" s="1960" t="s">
        <v>1742</v>
      </c>
      <c r="P54" s="1958" t="s">
        <v>1743</v>
      </c>
      <c r="Q54" s="1959">
        <f ca="1">J54</f>
        <v>-3</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2200</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K54" sqref="K5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2736</v>
      </c>
      <c r="D1" s="2363" t="s">
        <v>3347</v>
      </c>
      <c r="E1" s="1947" t="s">
        <v>1728</v>
      </c>
      <c r="F1" s="1948">
        <f ca="1">J53</f>
        <v>27.58</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186066</v>
      </c>
      <c r="C2" s="2765"/>
      <c r="D2" s="2764"/>
      <c r="E2" s="2766"/>
      <c r="F2" s="2766"/>
      <c r="G2" s="2761"/>
      <c r="H2" s="1670"/>
      <c r="I2" s="1670"/>
      <c r="J2" s="1670"/>
      <c r="K2" s="1671"/>
      <c r="L2" s="1670"/>
      <c r="M2" s="1670"/>
    </row>
    <row r="3" spans="1:33" ht="18" customHeight="1" thickBot="1">
      <c r="A3" s="767" t="s">
        <v>1256</v>
      </c>
      <c r="B3" s="768">
        <f ca="1">IF(ISERROR(B2*10000/F43),0,ROUND(B2*10000/F43,0))</f>
        <v>6146</v>
      </c>
      <c r="C3" s="2765"/>
      <c r="D3" s="2764"/>
      <c r="E3" s="2766"/>
      <c r="F3" s="2766"/>
      <c r="G3" s="2761"/>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14106</v>
      </c>
      <c r="D5" s="2001" t="s">
        <v>1805</v>
      </c>
      <c r="E5" s="1995"/>
      <c r="F5" s="1996"/>
      <c r="G5" s="1668"/>
      <c r="H5" s="716">
        <v>1</v>
      </c>
      <c r="I5" s="717" t="s">
        <v>1802</v>
      </c>
      <c r="J5" s="51">
        <f ca="1">J6+J10+J12</f>
        <v>0</v>
      </c>
      <c r="K5" s="2001" t="s">
        <v>1805</v>
      </c>
      <c r="L5" s="1995"/>
      <c r="M5" s="1996"/>
    </row>
    <row r="6" spans="1:33" ht="18" customHeight="1">
      <c r="A6" s="1521" t="s">
        <v>1353</v>
      </c>
      <c r="B6" s="3682" t="s">
        <v>1807</v>
      </c>
      <c r="C6" s="718">
        <f ca="1">ROUND(F6*F8*F7*(1-F9)/10000,0)</f>
        <v>14088</v>
      </c>
      <c r="D6" s="2002" t="s">
        <v>1806</v>
      </c>
      <c r="E6" s="719" t="s">
        <v>1267</v>
      </c>
      <c r="F6" s="720">
        <f ca="1">INDIRECT("'数据-取费表'!u"&amp;$G$1)</f>
        <v>1.5</v>
      </c>
      <c r="G6" s="1668"/>
      <c r="H6" s="2009" t="s">
        <v>1812</v>
      </c>
      <c r="I6" s="3682" t="s">
        <v>1807</v>
      </c>
      <c r="J6" s="718">
        <f ca="1">ROUND(M6*M8*M7*(1-M9)/10000,0)</f>
        <v>0</v>
      </c>
      <c r="K6" s="315" t="s">
        <v>1266</v>
      </c>
      <c r="L6" s="719" t="s">
        <v>1267</v>
      </c>
      <c r="M6" s="720">
        <f ca="1">INDIRECT("'数据-取费表'!z"&amp;$G$1)</f>
        <v>0</v>
      </c>
    </row>
    <row r="7" spans="1:33" ht="18" customHeight="1">
      <c r="A7" s="2005"/>
      <c r="B7" s="3683"/>
      <c r="C7" s="723"/>
      <c r="D7" s="724"/>
      <c r="E7" s="719" t="s">
        <v>1268</v>
      </c>
      <c r="F7" s="720">
        <f ca="1">IF(INDIRECT("'数据-取费表'!ah"&amp;$G$1)="",INDIRECT("'数据-取费表'!k"&amp;$G$1),INDIRECT("'数据-取费表'!ah"&amp;$G$1))</f>
        <v>302725.5</v>
      </c>
      <c r="G7" s="1668"/>
      <c r="H7" s="1994"/>
      <c r="I7" s="3683"/>
      <c r="J7" s="723"/>
      <c r="K7" s="724"/>
      <c r="L7" s="719" t="s">
        <v>1268</v>
      </c>
      <c r="M7" s="720">
        <f ca="1">F7</f>
        <v>302725.5</v>
      </c>
    </row>
    <row r="8" spans="1:33" ht="18" customHeight="1">
      <c r="A8" s="1998"/>
      <c r="B8" s="3684"/>
      <c r="C8" s="723"/>
      <c r="D8" s="724"/>
      <c r="E8" s="719" t="s">
        <v>1269</v>
      </c>
      <c r="F8" s="720">
        <f ca="1">INDIRECT("'数据-取费表'!ai"&amp;$G$1)</f>
        <v>365</v>
      </c>
      <c r="G8" s="1668"/>
      <c r="H8" s="1994"/>
      <c r="I8" s="3684"/>
      <c r="J8" s="723"/>
      <c r="K8" s="724"/>
      <c r="L8" s="719" t="s">
        <v>1269</v>
      </c>
      <c r="M8" s="720">
        <f ca="1">INDIRECT("'数据-取费表'!ai"&amp;$G$1)</f>
        <v>365</v>
      </c>
    </row>
    <row r="9" spans="1:33" ht="18" customHeight="1">
      <c r="A9" s="721"/>
      <c r="B9" s="3685"/>
      <c r="C9" s="723"/>
      <c r="D9" s="724"/>
      <c r="E9" s="719" t="s">
        <v>1270</v>
      </c>
      <c r="F9" s="729">
        <f ca="1">INDIRECT("'数据-取费表'!w"&amp;$G$1)</f>
        <v>0.15</v>
      </c>
      <c r="G9" s="1668"/>
      <c r="H9" s="2010"/>
      <c r="I9" s="3684"/>
      <c r="J9" s="723"/>
      <c r="K9" s="724"/>
      <c r="L9" s="730" t="s">
        <v>1270</v>
      </c>
      <c r="M9" s="731">
        <f ca="1">INDIRECT("'数据-取费表'!ab"&amp;$G$1)</f>
        <v>0</v>
      </c>
    </row>
    <row r="10" spans="1:33" ht="18" customHeight="1">
      <c r="A10" s="1521" t="s">
        <v>1810</v>
      </c>
      <c r="B10" s="1999" t="s">
        <v>1803</v>
      </c>
      <c r="C10" s="734">
        <f ca="1">ROUND(IF(F10="押一",C6/12*F11,IF(F10="押二",C6/12*2*F11,IF(F10="押三",C6/12*3*F11,C11*F11))),0)</f>
        <v>18</v>
      </c>
      <c r="D10" s="2006" t="s">
        <v>2227</v>
      </c>
      <c r="E10" s="2003" t="s">
        <v>1808</v>
      </c>
      <c r="F10" s="2076" t="s">
        <v>3348</v>
      </c>
      <c r="G10" s="1668"/>
      <c r="H10" s="2037" t="s">
        <v>1813</v>
      </c>
      <c r="I10" s="2041" t="s">
        <v>1803</v>
      </c>
      <c r="J10" s="718">
        <f ca="1">ROUND(IF(M10="押一",J6/12*M11,IF(M10="押二",J6/12*2*M11,IF(M10="押三",J6/12*3*M11,J11*M11))),0)</f>
        <v>0</v>
      </c>
      <c r="K10" s="2006" t="s">
        <v>2227</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122095</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80222</v>
      </c>
      <c r="D14" s="905" t="s">
        <v>1274</v>
      </c>
      <c r="E14" s="904"/>
      <c r="F14" s="740"/>
      <c r="G14" s="1668"/>
      <c r="H14" s="1369" t="s">
        <v>1359</v>
      </c>
      <c r="I14" s="1825" t="s">
        <v>2103</v>
      </c>
      <c r="J14" s="49">
        <f ca="1">C29</f>
        <v>122095</v>
      </c>
      <c r="K14" s="22"/>
      <c r="L14" s="736"/>
      <c r="M14" s="737"/>
    </row>
    <row r="15" spans="1:33" s="1676" customFormat="1" ht="18" customHeight="1" thickBot="1">
      <c r="A15" s="1368" t="s">
        <v>1410</v>
      </c>
      <c r="B15" s="719" t="s">
        <v>595</v>
      </c>
      <c r="C15" s="49">
        <f ca="1">ROUND(C14*F15,0)</f>
        <v>2407</v>
      </c>
      <c r="D15" s="741" t="s">
        <v>1275</v>
      </c>
      <c r="E15" s="741" t="s">
        <v>1276</v>
      </c>
      <c r="F15" s="742">
        <f>'数据-取费表'!B33</f>
        <v>0.03</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1247</v>
      </c>
      <c r="K16" s="1514" t="s">
        <v>1279</v>
      </c>
      <c r="L16" s="908"/>
      <c r="M16" s="1996"/>
    </row>
    <row r="17" spans="1:33" s="1676" customFormat="1" ht="18" customHeight="1">
      <c r="A17" s="1368" t="s">
        <v>1412</v>
      </c>
      <c r="B17" s="719" t="s">
        <v>601</v>
      </c>
      <c r="C17" s="49">
        <f ca="1">ROUND(F17*(F43+INDIRECT("'数据-取费表'!S"&amp;$G$1))/10000,0)</f>
        <v>4541</v>
      </c>
      <c r="D17" s="719" t="s">
        <v>1280</v>
      </c>
      <c r="E17" s="719" t="s">
        <v>1281</v>
      </c>
      <c r="F17" s="52">
        <f>'数据-取费表'!B35</f>
        <v>150</v>
      </c>
      <c r="G17" s="2762"/>
      <c r="H17" s="1369" t="s">
        <v>1359</v>
      </c>
      <c r="I17" s="719" t="s">
        <v>604</v>
      </c>
      <c r="J17" s="2555">
        <f ca="1">ROUND(IF(AND(项目基本情况!B11="自然人",项目基本情况!B10="北京市"),J6*M17/(1+'数据-取费表'!C42),J18+J19+J20),2)</f>
        <v>25.95</v>
      </c>
      <c r="K17" s="905" t="s">
        <v>1282</v>
      </c>
      <c r="L17" s="906" t="s">
        <v>1283</v>
      </c>
      <c r="M17" s="2554">
        <f ca="1">IF(项目基本情况!B11="企业","——",IF('数据-取费表'!B10="住宅",IF(M6*M7*M8/12/(1+'数据-取费表'!F30)&gt;100000,4%,2.5%),IF(M6*M7*M8/12/(1+'数据-取费表'!F30)&gt;100000,12%,7%)))</f>
        <v>7.0000000000000007E-2</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1203</v>
      </c>
      <c r="D18" s="719" t="s">
        <v>1275</v>
      </c>
      <c r="E18" s="719" t="s">
        <v>1276</v>
      </c>
      <c r="F18" s="744">
        <f>'数据-取费表'!B36</f>
        <v>1.4999999999999999E-2</v>
      </c>
      <c r="G18" s="2762"/>
      <c r="H18" s="1368" t="s">
        <v>1409</v>
      </c>
      <c r="I18" s="719" t="s">
        <v>1284</v>
      </c>
      <c r="J18" s="49">
        <f ca="1">ROUND(J6*M18/(1+'数据-取费表'!C42),2)</f>
        <v>0</v>
      </c>
      <c r="K18" s="906" t="s">
        <v>1285</v>
      </c>
      <c r="L18" s="719" t="s">
        <v>1276</v>
      </c>
      <c r="M18" s="744">
        <f>'数据-取费表'!B41</f>
        <v>5.6000000000000001E-2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88373</v>
      </c>
      <c r="D19" s="241" t="s">
        <v>1286</v>
      </c>
      <c r="E19" s="914"/>
      <c r="F19" s="52"/>
      <c r="G19" s="1668"/>
      <c r="H19" s="1368" t="s">
        <v>1410</v>
      </c>
      <c r="I19" s="719" t="s">
        <v>1287</v>
      </c>
      <c r="J19" s="49">
        <f ca="1">IF(K19="按租金收入计税",ROUND(J6*M19/(1+'数据-取费表'!C42),1),ROUND(C29*F33*0.7,2))</f>
        <v>0</v>
      </c>
      <c r="K19" s="745" t="s">
        <v>3248</v>
      </c>
      <c r="L19" s="719" t="s">
        <v>1276</v>
      </c>
      <c r="M19" s="744">
        <f>IF(K19="按租金收入计税",'数据-取费表'!B51,'数据-取费表'!B50)</f>
        <v>0.12</v>
      </c>
    </row>
    <row r="20" spans="1:33" s="1676" customFormat="1" ht="18" customHeight="1">
      <c r="A20" s="1369" t="s">
        <v>1414</v>
      </c>
      <c r="B20" s="719" t="s">
        <v>613</v>
      </c>
      <c r="C20" s="49">
        <f ca="1">ROUND(C19*F20,0)</f>
        <v>1326</v>
      </c>
      <c r="D20" s="746" t="s">
        <v>1288</v>
      </c>
      <c r="E20" s="719" t="s">
        <v>1276</v>
      </c>
      <c r="F20" s="744">
        <f>'数据-取费表'!B37</f>
        <v>1.4999999999999999E-2</v>
      </c>
      <c r="G20" s="2762"/>
      <c r="H20" s="1371" t="s">
        <v>1405</v>
      </c>
      <c r="I20" s="315" t="s">
        <v>1289</v>
      </c>
      <c r="J20" s="50">
        <f ca="1">ROUND(M20*M21/10000,2)</f>
        <v>25.95</v>
      </c>
      <c r="K20" s="748" t="s">
        <v>1290</v>
      </c>
      <c r="L20" s="719" t="s">
        <v>1291</v>
      </c>
      <c r="M20" s="587">
        <f>'数据-取费表'!B52</f>
        <v>3</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1.4999999999999999E-2</v>
      </c>
      <c r="G21" s="2762"/>
      <c r="H21" s="2011"/>
      <c r="I21" s="728"/>
      <c r="J21" s="65"/>
      <c r="K21" s="750"/>
      <c r="L21" s="719" t="s">
        <v>1295</v>
      </c>
      <c r="M21" s="720">
        <f ca="1">INDIRECT("'数据-取费表'!r"&amp;$G$1)</f>
        <v>86493.04</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1220.95</v>
      </c>
      <c r="K22" s="906" t="s">
        <v>1298</v>
      </c>
      <c r="L22" s="719" t="s">
        <v>1276</v>
      </c>
      <c r="M22" s="751">
        <f ca="1">INDIRECT("'数据-取费表'!Ak"&amp;$G$1)</f>
        <v>0.01</v>
      </c>
    </row>
    <row r="23" spans="1:33" s="1676" customFormat="1" ht="18" customHeight="1">
      <c r="A23" s="1368" t="s">
        <v>1360</v>
      </c>
      <c r="B23" s="719" t="s">
        <v>1818</v>
      </c>
      <c r="C23" s="49">
        <f ca="1">ROUND(IF('数据-取费表'!B22&lt;=1,(C19+C20)*F24*F23/2,(C19+C20)*(POWER((1+F24),F23/2)-1)),0)</f>
        <v>5641</v>
      </c>
      <c r="D23" s="2044" t="str">
        <f>IF(F23&lt;=1,"(建造成本+管理费用)×利率×(建设周期÷2)","(建造成本+管理费用)×((1+利率)^(建设周期÷2)-1)")</f>
        <v>(建造成本+管理费用)×((1+利率)^(建设周期÷2)-1)</v>
      </c>
      <c r="E23" s="719" t="s">
        <v>1299</v>
      </c>
      <c r="F23" s="587">
        <f>'数据-取费表'!B20</f>
        <v>3</v>
      </c>
      <c r="G23" s="2762"/>
      <c r="H23" s="1369" t="s">
        <v>1415</v>
      </c>
      <c r="I23" s="719" t="s">
        <v>626</v>
      </c>
      <c r="J23" s="49">
        <f ca="1">ROUND(J13*M23,2)</f>
        <v>0</v>
      </c>
      <c r="K23" s="906" t="s">
        <v>1300</v>
      </c>
      <c r="L23" s="719" t="s">
        <v>1276</v>
      </c>
      <c r="M23" s="752">
        <f ca="1">INDIRECT("'数据-取费表'!Al"&amp;$G$1)</f>
        <v>1.5E-3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4.1499999999999995E-2</v>
      </c>
      <c r="G24" s="2762"/>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7" t="s">
        <v>2099</v>
      </c>
      <c r="J25" s="727">
        <f ca="1">J5-J16</f>
        <v>-1247</v>
      </c>
      <c r="K25" s="2024" t="s">
        <v>1306</v>
      </c>
      <c r="L25" s="2025"/>
      <c r="M25" s="2026"/>
    </row>
    <row r="26" spans="1:33" ht="18" customHeight="1">
      <c r="A26" s="1368" t="s">
        <v>1360</v>
      </c>
      <c r="B26" s="719" t="s">
        <v>1785</v>
      </c>
      <c r="C26" s="49">
        <f ca="1">ROUND((C19+C20)*F26,0)</f>
        <v>17940</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5.33E-2</v>
      </c>
      <c r="D28" s="746" t="s">
        <v>1656</v>
      </c>
      <c r="E28" s="719" t="s">
        <v>1314</v>
      </c>
      <c r="F28" s="744">
        <f>'数据-取费表'!B41</f>
        <v>5.6000000000000001E-2</v>
      </c>
      <c r="G28" s="2762"/>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122095</v>
      </c>
      <c r="D29" s="2021"/>
      <c r="E29" s="2022"/>
      <c r="F29" s="2023"/>
      <c r="G29" s="2762"/>
      <c r="H29" s="757" t="s">
        <v>1316</v>
      </c>
      <c r="I29" s="758" t="s">
        <v>1317</v>
      </c>
      <c r="J29" s="759">
        <f ca="1">ROUND(J26/(1+F40)^F41,0)</f>
        <v>0</v>
      </c>
      <c r="K29" s="760" t="s">
        <v>1318</v>
      </c>
      <c r="L29" s="761"/>
      <c r="M29" s="762">
        <f ca="1">INDIRECT("'数据-取费表'!k"&amp;$G$1)</f>
        <v>302725.5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3933</v>
      </c>
      <c r="D30" s="1514" t="s">
        <v>1320</v>
      </c>
      <c r="E30" s="908"/>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2387.37</v>
      </c>
      <c r="D31" s="905" t="s">
        <v>1321</v>
      </c>
      <c r="E31" s="906" t="s">
        <v>1322</v>
      </c>
      <c r="F31" s="2554">
        <f ca="1">IF(项目基本情况!B11="企业","——",IF(M47="住宅",IF(F6*F7*F8/12/(1+'数据-取费表'!F30)&gt;100000,4%,2.5%),IF(F6*F7*F8/12/(1+'数据-取费表'!F30)&gt;100000,12%,7%)))</f>
        <v>0.12</v>
      </c>
      <c r="G31" s="1668"/>
      <c r="H31" s="2759" t="s">
        <v>2279</v>
      </c>
      <c r="I31" s="1678"/>
      <c r="J31" s="1679"/>
      <c r="K31" s="1636"/>
      <c r="L31" s="1680"/>
      <c r="M31" s="1681"/>
    </row>
    <row r="32" spans="1:33" ht="18" customHeight="1">
      <c r="A32" s="1368" t="s">
        <v>1360</v>
      </c>
      <c r="B32" s="719" t="s">
        <v>1323</v>
      </c>
      <c r="C32" s="49">
        <f ca="1">ROUND(C6*F32/(1+'数据-取费表'!C42),2)</f>
        <v>751.36</v>
      </c>
      <c r="D32" s="906" t="s">
        <v>1324</v>
      </c>
      <c r="E32" s="719" t="s">
        <v>1325</v>
      </c>
      <c r="F32" s="744">
        <f>'数据-取费表'!B41</f>
        <v>5.6000000000000001E-2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1610.06</v>
      </c>
      <c r="D33" s="745" t="s">
        <v>3248</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25.95</v>
      </c>
      <c r="D34" s="748" t="s">
        <v>1328</v>
      </c>
      <c r="E34" s="719" t="s">
        <v>1329</v>
      </c>
      <c r="F34" s="587">
        <f>'数据-取费表'!B52</f>
        <v>3</v>
      </c>
      <c r="G34" s="1668"/>
      <c r="H34" s="1677"/>
      <c r="I34" s="769" t="s">
        <v>1342</v>
      </c>
      <c r="J34" s="770"/>
      <c r="K34" s="1691"/>
      <c r="L34" s="1690"/>
      <c r="M34" s="1690"/>
    </row>
    <row r="35" spans="1:18" ht="18" customHeight="1">
      <c r="A35" s="749"/>
      <c r="B35" s="728"/>
      <c r="C35" s="65"/>
      <c r="D35" s="750"/>
      <c r="E35" s="719" t="s">
        <v>1330</v>
      </c>
      <c r="F35" s="720">
        <f ca="1">INDIRECT("'数据-取费表'!r"&amp;$G$1)</f>
        <v>86493.04</v>
      </c>
      <c r="G35" s="1668"/>
      <c r="H35" s="1677"/>
      <c r="I35" s="771" t="s">
        <v>1343</v>
      </c>
      <c r="J35" s="772">
        <f ca="1">ROUND(C13*J36,0)</f>
        <v>9768</v>
      </c>
      <c r="K35" s="1689"/>
      <c r="L35" s="1688"/>
      <c r="M35" s="1688"/>
    </row>
    <row r="36" spans="1:18" ht="18" customHeight="1">
      <c r="A36" s="1369" t="s">
        <v>1414</v>
      </c>
      <c r="B36" s="719" t="s">
        <v>1331</v>
      </c>
      <c r="C36" s="49">
        <f ca="1">ROUND(C29*F36,2)</f>
        <v>1220.95</v>
      </c>
      <c r="D36" s="906" t="s">
        <v>1332</v>
      </c>
      <c r="E36" s="719" t="s">
        <v>1325</v>
      </c>
      <c r="F36" s="751">
        <f ca="1">INDIRECT("'数据-取费表'!Ak"&amp;$G$1)</f>
        <v>0.01</v>
      </c>
      <c r="G36" s="1668"/>
      <c r="H36" s="1688"/>
      <c r="I36" s="773" t="s">
        <v>1344</v>
      </c>
      <c r="J36" s="774">
        <f ca="1">INDIRECT("'数据-取费表'!j"&amp;$G$1)</f>
        <v>0.08</v>
      </c>
      <c r="K36" s="1692"/>
      <c r="L36" s="1688"/>
      <c r="M36" s="1688"/>
    </row>
    <row r="37" spans="1:18" ht="18" customHeight="1">
      <c r="A37" s="1369" t="s">
        <v>1415</v>
      </c>
      <c r="B37" s="719" t="s">
        <v>626</v>
      </c>
      <c r="C37" s="49">
        <f ca="1">ROUND(C13*F37,2)</f>
        <v>183.14</v>
      </c>
      <c r="D37" s="906" t="s">
        <v>1333</v>
      </c>
      <c r="E37" s="719" t="s">
        <v>1325</v>
      </c>
      <c r="F37" s="752">
        <f ca="1">INDIRECT("'数据-取费表'!Al"&amp;$G$1)</f>
        <v>1.5E-3</v>
      </c>
      <c r="G37" s="1668"/>
      <c r="H37" s="1688"/>
      <c r="I37" s="775" t="s">
        <v>1345</v>
      </c>
      <c r="J37" s="776"/>
      <c r="K37" s="1692"/>
      <c r="L37" s="1688"/>
      <c r="M37" s="1688"/>
    </row>
    <row r="38" spans="1:18" ht="18" customHeight="1" thickBot="1">
      <c r="A38" s="2027" t="s">
        <v>1416</v>
      </c>
      <c r="B38" s="2022" t="s">
        <v>613</v>
      </c>
      <c r="C38" s="2020">
        <f ca="1">ROUND(C5*F38,2)</f>
        <v>141.06</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7" t="s">
        <v>2099</v>
      </c>
      <c r="C39" s="727">
        <f ca="1">C5-C30</f>
        <v>10173</v>
      </c>
      <c r="D39" s="2024" t="s">
        <v>1335</v>
      </c>
      <c r="E39" s="2025"/>
      <c r="F39" s="2026"/>
      <c r="G39" s="1668"/>
      <c r="H39" s="1688"/>
      <c r="I39" s="771" t="s">
        <v>1347</v>
      </c>
      <c r="J39" s="779">
        <f ca="1">ROUND(J35/C39,3)</f>
        <v>0.96</v>
      </c>
      <c r="K39" s="1693"/>
      <c r="L39" s="1688"/>
      <c r="M39" s="1688"/>
    </row>
    <row r="40" spans="1:18" ht="18" customHeight="1">
      <c r="A40" s="716" t="s">
        <v>1420</v>
      </c>
      <c r="B40" s="1826" t="s">
        <v>1658</v>
      </c>
      <c r="C40" s="718">
        <f ca="1">ROUND(C39*(1-((1+F42)/(1+F40))^F41)/(F40-F42),0)</f>
        <v>186066</v>
      </c>
      <c r="D40" s="748" t="s">
        <v>1336</v>
      </c>
      <c r="E40" s="719" t="s">
        <v>1773</v>
      </c>
      <c r="F40" s="729">
        <f ca="1">INDIRECT("'数据-取费表'!I"&amp;$G$1)</f>
        <v>5.5E-2</v>
      </c>
      <c r="G40" s="1668"/>
      <c r="H40" s="1668"/>
      <c r="I40" s="771" t="s">
        <v>1348</v>
      </c>
      <c r="J40" s="779">
        <f ca="1">1-J39</f>
        <v>4.0000000000000036E-2</v>
      </c>
      <c r="K40" s="1693"/>
      <c r="L40" s="1668"/>
      <c r="M40" s="1668"/>
    </row>
    <row r="41" spans="1:18" ht="18" customHeight="1">
      <c r="A41" s="721"/>
      <c r="B41" s="722"/>
      <c r="C41" s="723"/>
      <c r="D41" s="755" t="s">
        <v>1337</v>
      </c>
      <c r="E41" s="719" t="s">
        <v>2219</v>
      </c>
      <c r="F41" s="756">
        <f ca="1">IF(INDIRECT("'数据-取费表'!af"&amp;$G$1)=0,INDIRECT("'数据-取费表'!ae"&amp;$G$1),INDIRECT("'数据-取费表'!af"&amp;$G$1))</f>
        <v>27.58</v>
      </c>
      <c r="G41" s="1668"/>
      <c r="H41" s="1636"/>
      <c r="I41" s="777" t="s">
        <v>1349</v>
      </c>
      <c r="J41" s="780"/>
      <c r="K41" s="1692"/>
      <c r="L41" s="1636"/>
      <c r="M41" s="1636"/>
    </row>
    <row r="42" spans="1:18" ht="18" customHeight="1">
      <c r="A42" s="725"/>
      <c r="B42" s="726"/>
      <c r="C42" s="727"/>
      <c r="D42" s="750"/>
      <c r="E42" s="719" t="s">
        <v>1338</v>
      </c>
      <c r="F42" s="729">
        <f ca="1">INDIRECT("'数据-取费表'!v"&amp;$G$1)</f>
        <v>2.5000000000000001E-2</v>
      </c>
      <c r="G42" s="1668"/>
      <c r="H42" s="1636"/>
      <c r="I42" s="781" t="s">
        <v>1350</v>
      </c>
      <c r="J42" s="779">
        <f ca="1">ROUND(C13/C40,3)</f>
        <v>0.65600000000000003</v>
      </c>
      <c r="K42" s="1692"/>
      <c r="L42" s="1636"/>
      <c r="M42" s="1636"/>
    </row>
    <row r="43" spans="1:18" ht="18" customHeight="1" thickBot="1">
      <c r="A43" s="757" t="s">
        <v>1316</v>
      </c>
      <c r="B43" s="758" t="s">
        <v>1339</v>
      </c>
      <c r="C43" s="759">
        <f ca="1">ROUND(C40*10000/F43,0)</f>
        <v>6146</v>
      </c>
      <c r="D43" s="760" t="s">
        <v>1340</v>
      </c>
      <c r="E43" s="761" t="s">
        <v>1341</v>
      </c>
      <c r="F43" s="762">
        <f ca="1">INDIRECT("'数据-取费表'!k"&amp;$G$1)</f>
        <v>302725.5</v>
      </c>
      <c r="G43" s="1668"/>
      <c r="H43" s="1636"/>
      <c r="I43" s="781" t="s">
        <v>1351</v>
      </c>
      <c r="J43" s="782">
        <f ca="1">1-J42</f>
        <v>0.34399999999999997</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-206128</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2">
        <v>1</v>
      </c>
      <c r="B47" s="3383" t="s">
        <v>583</v>
      </c>
      <c r="C47" s="3384">
        <f ca="1">C48+C52+C54</f>
        <v>0</v>
      </c>
      <c r="D47" s="3385"/>
      <c r="E47" s="3385"/>
      <c r="F47" s="3386"/>
      <c r="I47" s="2367" t="s">
        <v>1698</v>
      </c>
      <c r="J47" s="1942" t="s">
        <v>3349</v>
      </c>
      <c r="K47" s="2372" t="s">
        <v>1703</v>
      </c>
      <c r="L47" s="2376">
        <f ca="1">INDIRECT("'数据-取费表'!d"&amp;$G$1)</f>
        <v>40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30.58</v>
      </c>
      <c r="M48" s="2764"/>
      <c r="O48" s="1957" t="s">
        <v>1733</v>
      </c>
      <c r="P48" s="1958" t="s">
        <v>1759</v>
      </c>
      <c r="Q48" s="1959">
        <f ca="1">C40+J29</f>
        <v>186066</v>
      </c>
      <c r="R48" s="1958" t="s">
        <v>1734</v>
      </c>
    </row>
    <row r="49" spans="1:18" s="1672" customFormat="1" ht="18" customHeight="1" thickBot="1">
      <c r="A49" s="721"/>
      <c r="B49" s="722"/>
      <c r="C49" s="723"/>
      <c r="D49" s="724"/>
      <c r="E49" s="719" t="s">
        <v>1268</v>
      </c>
      <c r="F49" s="720">
        <f ca="1">F7</f>
        <v>302725.5</v>
      </c>
      <c r="G49" s="1699"/>
      <c r="H49" s="1702"/>
      <c r="I49" s="2364" t="s">
        <v>1700</v>
      </c>
      <c r="J49" s="1944">
        <v>2024</v>
      </c>
      <c r="K49" s="2374" t="s">
        <v>1706</v>
      </c>
      <c r="L49" s="1566"/>
      <c r="M49" s="2764"/>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60</v>
      </c>
      <c r="K50" s="2374" t="s">
        <v>1707</v>
      </c>
      <c r="L50" s="1566"/>
      <c r="M50" s="2764"/>
      <c r="O50" s="1960" t="s">
        <v>1737</v>
      </c>
      <c r="P50" s="1958" t="s">
        <v>1761</v>
      </c>
      <c r="Q50" s="1959">
        <f ca="1">C29</f>
        <v>122095</v>
      </c>
      <c r="R50" s="1958" t="s">
        <v>1734</v>
      </c>
    </row>
    <row r="51" spans="1:18" s="1672" customFormat="1" ht="18" customHeight="1" thickBot="1">
      <c r="A51" s="721"/>
      <c r="B51" s="722"/>
      <c r="C51" s="723"/>
      <c r="D51" s="724"/>
      <c r="E51" s="719" t="s">
        <v>588</v>
      </c>
      <c r="F51" s="1934"/>
      <c r="H51" s="1702"/>
      <c r="I51" s="2368" t="s">
        <v>1702</v>
      </c>
      <c r="J51" s="1567">
        <f>IF(J49="",J50,J49+J50-YEAR('数据-取费表'!B2))</f>
        <v>61</v>
      </c>
      <c r="K51" s="2364" t="s">
        <v>1708</v>
      </c>
      <c r="L51" s="2377">
        <f ca="1">ROUND(-PV(INDIRECT("'数据-取费表'!h"&amp;$G$1),J51,(C39-C13*J36),0),0)</f>
        <v>7695</v>
      </c>
      <c r="M51" s="2764"/>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2228</v>
      </c>
      <c r="E52" s="2003" t="s">
        <v>1808</v>
      </c>
      <c r="F52" s="2076"/>
      <c r="I52" s="2369" t="s">
        <v>1775</v>
      </c>
      <c r="J52" s="1945">
        <v>7.4999999999999997E-2</v>
      </c>
      <c r="K52" s="2369" t="s">
        <v>1774</v>
      </c>
      <c r="L52" s="1945"/>
      <c r="M52" s="2764"/>
      <c r="O52" s="1960" t="s">
        <v>1740</v>
      </c>
      <c r="P52" s="1958" t="s">
        <v>1741</v>
      </c>
      <c r="Q52" s="1961">
        <f>J52</f>
        <v>7.4999999999999997E-2</v>
      </c>
      <c r="R52" s="1962"/>
    </row>
    <row r="53" spans="1:18" s="1672" customFormat="1" ht="39.75" customHeight="1" thickBot="1">
      <c r="A53" s="721"/>
      <c r="B53" s="2000" t="s">
        <v>1856</v>
      </c>
      <c r="C53" s="2004"/>
      <c r="D53" s="2006"/>
      <c r="E53" s="2003"/>
      <c r="F53" s="735"/>
      <c r="I53" s="2370" t="s">
        <v>2231</v>
      </c>
      <c r="J53" s="2416">
        <f ca="1">IF(M47="住宅",IF(D1="——",MAX(J51,L48),MAX(J51,L48-'数据-取费表'!B20)),IF(D1="——",MIN(J51,L48),MIN(J51,L48-'数据-取费表'!B20)))</f>
        <v>27.58</v>
      </c>
      <c r="K53" s="3688" t="s">
        <v>2221</v>
      </c>
      <c r="L53" s="3689"/>
      <c r="M53" s="2764"/>
      <c r="O53" s="1960" t="s">
        <v>1742</v>
      </c>
      <c r="P53" s="1958" t="s">
        <v>1743</v>
      </c>
      <c r="Q53" s="1959">
        <f ca="1">J53</f>
        <v>27.58</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4"/>
      <c r="O54" s="1957" t="s">
        <v>1745</v>
      </c>
      <c r="P54" s="1958" t="s">
        <v>1762</v>
      </c>
      <c r="Q54" s="1959">
        <f ca="1">Q48+Q49</f>
        <v>186066</v>
      </c>
      <c r="R54" s="1962" t="s">
        <v>1746</v>
      </c>
    </row>
    <row r="55" spans="1:18" s="1672" customFormat="1" ht="18" customHeight="1" thickTop="1" thickBot="1">
      <c r="A55" s="732">
        <v>2</v>
      </c>
      <c r="B55" s="733" t="s">
        <v>592</v>
      </c>
      <c r="C55" s="734">
        <f ca="1">C13</f>
        <v>122095</v>
      </c>
      <c r="D55" s="730"/>
      <c r="E55" s="730"/>
      <c r="F55" s="735"/>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122095</v>
      </c>
      <c r="D56" s="906"/>
      <c r="E56" s="719"/>
      <c r="F56" s="744"/>
      <c r="I56" s="2382" t="s">
        <v>1711</v>
      </c>
      <c r="J56" s="2392" t="s">
        <v>3260</v>
      </c>
      <c r="K56" s="2364" t="s">
        <v>1716</v>
      </c>
      <c r="L56" s="1567" t="str">
        <f ca="1">IF(L48&lt;J51,"——",L48-J51)</f>
        <v>——</v>
      </c>
      <c r="M56" s="2764"/>
      <c r="O56" s="1954" t="s">
        <v>1729</v>
      </c>
      <c r="P56" s="1955" t="s">
        <v>1730</v>
      </c>
      <c r="Q56" s="1956" t="s">
        <v>1731</v>
      </c>
      <c r="R56" s="1955" t="s">
        <v>1732</v>
      </c>
    </row>
    <row r="57" spans="1:18" s="1672" customFormat="1" ht="28.5" customHeight="1" thickBot="1">
      <c r="A57" s="732" t="s">
        <v>1277</v>
      </c>
      <c r="B57" s="733" t="s">
        <v>599</v>
      </c>
      <c r="C57" s="734">
        <f ca="1">ROUND(C58+C63+C64+C65,0)</f>
        <v>1430</v>
      </c>
      <c r="D57" s="22" t="s">
        <v>1279</v>
      </c>
      <c r="E57" s="914"/>
      <c r="F57" s="52"/>
      <c r="I57" s="2383" t="s">
        <v>1712</v>
      </c>
      <c r="J57" s="2384" t="str">
        <f ca="1">IF(OR(M47="住宅",J51&lt;L48,J56="是"),"——",J51-L48)</f>
        <v>——</v>
      </c>
      <c r="K57" s="2364" t="s">
        <v>1717</v>
      </c>
      <c r="L57" s="1567" t="str">
        <f ca="1">IF(L48&lt;J51,"——",IF(L55="比较法",L49,IF(L55="基准地价",L50,L51)))</f>
        <v>——</v>
      </c>
      <c r="M57" s="2764"/>
      <c r="O57" s="1957" t="s">
        <v>1733</v>
      </c>
      <c r="P57" s="1958" t="s">
        <v>1763</v>
      </c>
      <c r="Q57" s="1959">
        <f ca="1">C40+J29</f>
        <v>186066</v>
      </c>
      <c r="R57" s="1958" t="s">
        <v>1734</v>
      </c>
    </row>
    <row r="58" spans="1:18" s="1672" customFormat="1" ht="28.5" customHeight="1" thickBot="1">
      <c r="A58" s="1369" t="s">
        <v>1353</v>
      </c>
      <c r="B58" s="719" t="s">
        <v>604</v>
      </c>
      <c r="C58" s="2555">
        <f ca="1">ROUND(IF(AND(项目基本情况!B11="自然人",项目基本情况!B10="北京市"),C48*F58/(1+'数据-取费表'!C42),C59+C60+C61),2)</f>
        <v>25.95</v>
      </c>
      <c r="D58" s="905" t="s">
        <v>605</v>
      </c>
      <c r="E58" s="906" t="s">
        <v>637</v>
      </c>
      <c r="F58" s="2554">
        <f ca="1">IF(项目基本情况!B11="企业","——",IF('数据-取费表'!B10="住宅",IF(F48*F49*F50/12/(1+'数据-取费表'!F30)&gt;100000,4%,2.5%),IF(F48*F49*F50/12/(1+'数据-取费表'!F30)&gt;100000,12%,7%)))</f>
        <v>7.0000000000000007E-2</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5.6000000000000001E-2</v>
      </c>
      <c r="I59" s="2383" t="s">
        <v>1714</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5" t="s">
        <v>615</v>
      </c>
      <c r="C61" s="50">
        <f ca="1">ROUND(F61*F62/10000,2)</f>
        <v>25.95</v>
      </c>
      <c r="D61" s="748" t="s">
        <v>616</v>
      </c>
      <c r="E61" s="719" t="s">
        <v>617</v>
      </c>
      <c r="F61" s="587">
        <f t="shared" si="0"/>
        <v>3</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86493.04</v>
      </c>
      <c r="I62" s="2388" t="s">
        <v>1721</v>
      </c>
      <c r="J62" s="2389" t="s">
        <v>1722</v>
      </c>
      <c r="K62" s="2389" t="s">
        <v>1723</v>
      </c>
      <c r="L62" s="2389" t="s">
        <v>1704</v>
      </c>
      <c r="M62" s="2390" t="s">
        <v>2200</v>
      </c>
      <c r="O62" s="1960" t="s">
        <v>1742</v>
      </c>
      <c r="P62" s="1958" t="str">
        <f>K59</f>
        <v>建设期及建筑物耐用年限下的土地年期修正系数Kn</v>
      </c>
      <c r="Q62" s="1959" t="e">
        <f ca="1">L59</f>
        <v>#DIV/0!</v>
      </c>
      <c r="R62" s="1962" t="s">
        <v>1751</v>
      </c>
    </row>
    <row r="63" spans="1:18" s="1672" customFormat="1" ht="15.75" thickBot="1">
      <c r="A63" s="1369" t="s">
        <v>1414</v>
      </c>
      <c r="B63" s="719" t="s">
        <v>623</v>
      </c>
      <c r="C63" s="49">
        <f ca="1">ROUND(C56*F63,2)</f>
        <v>1220.95</v>
      </c>
      <c r="D63" s="906" t="s">
        <v>1332</v>
      </c>
      <c r="E63" s="719" t="s">
        <v>1276</v>
      </c>
      <c r="F63" s="751">
        <f t="shared" ca="1" si="0"/>
        <v>0.01</v>
      </c>
      <c r="I63" s="2388" t="s">
        <v>1724</v>
      </c>
      <c r="J63" s="2389">
        <v>70</v>
      </c>
      <c r="K63" s="2389">
        <v>50</v>
      </c>
      <c r="L63" s="2389">
        <v>80</v>
      </c>
      <c r="M63" s="2391">
        <v>0.02</v>
      </c>
      <c r="O63" s="1957" t="s">
        <v>1745</v>
      </c>
      <c r="P63" s="1958" t="s">
        <v>1762</v>
      </c>
      <c r="Q63" s="1959">
        <f ca="1">Q57+Q58</f>
        <v>186066</v>
      </c>
      <c r="R63" s="1962" t="s">
        <v>1746</v>
      </c>
    </row>
    <row r="64" spans="1:18" s="1672" customFormat="1" ht="16.5" thickBot="1">
      <c r="A64" s="1369" t="s">
        <v>1415</v>
      </c>
      <c r="B64" s="719" t="s">
        <v>626</v>
      </c>
      <c r="C64" s="49">
        <f ca="1">ROUND(C55*F64,2)</f>
        <v>183.14</v>
      </c>
      <c r="D64" s="906" t="s">
        <v>627</v>
      </c>
      <c r="E64" s="719" t="s">
        <v>1276</v>
      </c>
      <c r="F64" s="752">
        <f t="shared" ca="1" si="0"/>
        <v>1.5E-3</v>
      </c>
      <c r="I64" s="2388" t="s">
        <v>1725</v>
      </c>
      <c r="J64" s="2389">
        <v>50</v>
      </c>
      <c r="K64" s="2389">
        <v>35</v>
      </c>
      <c r="L64" s="2389">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-1430</v>
      </c>
      <c r="D66" s="905" t="s">
        <v>647</v>
      </c>
      <c r="E66" s="903"/>
      <c r="F66" s="754"/>
      <c r="K66" s="1696"/>
      <c r="O66" s="1957" t="s">
        <v>1733</v>
      </c>
      <c r="P66" s="1958" t="s">
        <v>1763</v>
      </c>
      <c r="Q66" s="1959">
        <f ca="1">C40+J29</f>
        <v>186066</v>
      </c>
      <c r="R66" s="1958" t="s">
        <v>1734</v>
      </c>
    </row>
    <row r="67" spans="1:18" s="1672" customFormat="1" ht="20.25" thickBot="1">
      <c r="A67" s="716" t="s">
        <v>1309</v>
      </c>
      <c r="B67" s="1826" t="s">
        <v>1658</v>
      </c>
      <c r="C67" s="718">
        <f ca="1">ROUND(C66*(1-((1+F69)/(1+F67))^F68)/(F67-F69),0)</f>
        <v>-20062</v>
      </c>
      <c r="D67" s="748" t="s">
        <v>651</v>
      </c>
      <c r="E67" s="719" t="s">
        <v>652</v>
      </c>
      <c r="F67" s="729">
        <f ca="1">F40</f>
        <v>5.5E-2</v>
      </c>
      <c r="K67" s="1696"/>
      <c r="O67" s="1957" t="s">
        <v>1735</v>
      </c>
      <c r="P67" s="1958" t="s">
        <v>1766</v>
      </c>
      <c r="Q67" s="1959">
        <f ca="1">L60</f>
        <v>0</v>
      </c>
      <c r="R67" s="1962" t="s">
        <v>1768</v>
      </c>
    </row>
    <row r="68" spans="1:18" ht="21.75" thickBot="1">
      <c r="A68" s="721"/>
      <c r="B68" s="722"/>
      <c r="C68" s="723"/>
      <c r="D68" s="755" t="s">
        <v>1337</v>
      </c>
      <c r="E68" s="719" t="s">
        <v>1313</v>
      </c>
      <c r="F68" s="756">
        <f ca="1">F41</f>
        <v>27.58</v>
      </c>
      <c r="O68" s="1960" t="s">
        <v>1737</v>
      </c>
      <c r="P68" s="1958" t="s">
        <v>1767</v>
      </c>
      <c r="Q68" s="1964">
        <f ca="1">L51</f>
        <v>7695</v>
      </c>
      <c r="R68" s="1965" t="s">
        <v>1770</v>
      </c>
    </row>
    <row r="69" spans="1:18" ht="20.25" thickBot="1">
      <c r="A69" s="725"/>
      <c r="B69" s="726"/>
      <c r="C69" s="727"/>
      <c r="D69" s="750"/>
      <c r="E69" s="719" t="s">
        <v>657</v>
      </c>
      <c r="F69" s="1934"/>
      <c r="O69" s="1960" t="s">
        <v>1738</v>
      </c>
      <c r="P69" s="1966" t="s">
        <v>1752</v>
      </c>
      <c r="Q69" s="1959">
        <f ca="1">ROUND(Q70-Q71*Q72,0)</f>
        <v>405</v>
      </c>
      <c r="R69" s="1962"/>
    </row>
    <row r="70" spans="1:18" ht="15.75" thickBot="1">
      <c r="A70" s="757" t="s">
        <v>1316</v>
      </c>
      <c r="B70" s="758" t="s">
        <v>1339</v>
      </c>
      <c r="C70" s="759">
        <f ca="1">ROUND(C67*10000/F70,0)</f>
        <v>-663</v>
      </c>
      <c r="D70" s="760" t="s">
        <v>1340</v>
      </c>
      <c r="E70" s="761" t="s">
        <v>1341</v>
      </c>
      <c r="F70" s="762">
        <f ca="1">F43</f>
        <v>302725.5</v>
      </c>
      <c r="O70" s="1960" t="s">
        <v>1753</v>
      </c>
      <c r="P70" s="1966" t="s">
        <v>1754</v>
      </c>
      <c r="Q70" s="1959">
        <f ca="1">C39</f>
        <v>10173</v>
      </c>
      <c r="R70" s="1958" t="s">
        <v>1734</v>
      </c>
    </row>
    <row r="71" spans="1:18" ht="15.75" thickBot="1">
      <c r="O71" s="1960" t="s">
        <v>1755</v>
      </c>
      <c r="P71" s="1966" t="s">
        <v>1756</v>
      </c>
      <c r="Q71" s="1959">
        <f ca="1">C13</f>
        <v>122095</v>
      </c>
      <c r="R71" s="1958" t="s">
        <v>1734</v>
      </c>
    </row>
    <row r="72" spans="1:18" ht="15.75" thickBot="1">
      <c r="O72" s="1960" t="s">
        <v>1757</v>
      </c>
      <c r="P72" s="1966" t="s">
        <v>1758</v>
      </c>
      <c r="Q72" s="1961">
        <f ca="1">J36</f>
        <v>0.08</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建设期及建筑物耐用年限下的土地年期修正系数Kn</v>
      </c>
      <c r="Q75" s="1959" t="e">
        <f ca="1">L59</f>
        <v>#DIV/0!</v>
      </c>
      <c r="R75" s="1962" t="s">
        <v>1751</v>
      </c>
    </row>
    <row r="76" spans="1:18" ht="15.75" thickBot="1">
      <c r="O76" s="1957" t="s">
        <v>1745</v>
      </c>
      <c r="P76" s="1958" t="s">
        <v>1762</v>
      </c>
      <c r="Q76" s="1959">
        <f ca="1">Q66+Q67</f>
        <v>186066</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2438</v>
      </c>
      <c r="B1" s="2817"/>
      <c r="C1" s="2830"/>
      <c r="D1" s="2830"/>
      <c r="E1" s="2818"/>
      <c r="F1" s="2819"/>
      <c r="G1" s="2820"/>
      <c r="J1" s="2823" t="s">
        <v>2295</v>
      </c>
      <c r="K1" s="2824"/>
      <c r="L1" s="2824"/>
      <c r="M1" s="2824"/>
      <c r="N1" s="2824"/>
      <c r="O1" s="2824"/>
      <c r="P1" s="2824"/>
      <c r="Q1" s="2824"/>
      <c r="R1" s="2825"/>
      <c r="S1" s="2826"/>
      <c r="T1" s="2826"/>
      <c r="U1" s="2826"/>
    </row>
    <row r="2" spans="1:22" s="2839" customFormat="1" ht="13.15" customHeight="1">
      <c r="A2" s="2828" t="s">
        <v>2296</v>
      </c>
      <c r="B2" s="2829" t="e">
        <f>C40</f>
        <v>#DIV/0!</v>
      </c>
      <c r="C2" s="2830" t="s">
        <v>2297</v>
      </c>
      <c r="D2" s="2830"/>
      <c r="E2" s="2831"/>
      <c r="F2" s="2832"/>
      <c r="G2" s="2833"/>
      <c r="H2" s="2834"/>
      <c r="I2" s="2835"/>
      <c r="J2" s="3696" t="s">
        <v>2298</v>
      </c>
      <c r="K2" s="3697"/>
      <c r="L2" s="2836" t="s">
        <v>2299</v>
      </c>
      <c r="M2" s="2836" t="s">
        <v>2300</v>
      </c>
      <c r="N2" s="2836" t="s">
        <v>2301</v>
      </c>
      <c r="O2" s="2836" t="s">
        <v>2302</v>
      </c>
      <c r="P2" s="2836" t="s">
        <v>2303</v>
      </c>
      <c r="Q2" s="2837" t="s">
        <v>2304</v>
      </c>
      <c r="R2" s="2838" t="s">
        <v>2305</v>
      </c>
      <c r="S2" s="2826"/>
      <c r="T2" s="2826"/>
      <c r="U2" s="2826"/>
      <c r="V2" s="2835"/>
    </row>
    <row r="3" spans="1:22" s="2839" customFormat="1" ht="13.15" customHeight="1">
      <c r="A3" s="2840" t="s">
        <v>2306</v>
      </c>
      <c r="B3" s="2841" t="e">
        <f>ROUND(B2*10000/B4,0)</f>
        <v>#DIV/0!</v>
      </c>
      <c r="C3" s="2830" t="s">
        <v>2307</v>
      </c>
      <c r="D3" s="2830"/>
      <c r="E3" s="2831"/>
      <c r="F3" s="2832"/>
      <c r="G3" s="2833"/>
      <c r="H3" s="2834"/>
      <c r="I3" s="2835"/>
      <c r="J3" s="3698" t="s">
        <v>2308</v>
      </c>
      <c r="K3" s="3699"/>
      <c r="L3" s="2842"/>
      <c r="M3" s="2842"/>
      <c r="N3" s="2842"/>
      <c r="O3" s="2842"/>
      <c r="P3" s="2842"/>
      <c r="Q3" s="2843"/>
      <c r="R3" s="2844">
        <f>SUM(L3:Q3)</f>
        <v>0</v>
      </c>
      <c r="S3" s="2826"/>
      <c r="T3" s="2826"/>
      <c r="U3" s="2826"/>
      <c r="V3" s="2835"/>
    </row>
    <row r="4" spans="1:22" s="2839" customFormat="1" ht="13.15" customHeight="1">
      <c r="A4" s="2845" t="s">
        <v>2309</v>
      </c>
      <c r="B4" s="2846"/>
      <c r="C4" s="2830"/>
      <c r="D4" s="2830"/>
      <c r="E4" s="2831"/>
      <c r="F4" s="2832"/>
      <c r="G4" s="2833"/>
      <c r="H4" s="2834"/>
      <c r="I4" s="2835"/>
      <c r="J4" s="3698" t="s">
        <v>2310</v>
      </c>
      <c r="K4" s="3699"/>
      <c r="L4" s="2847"/>
      <c r="M4" s="2847"/>
      <c r="N4" s="2847"/>
      <c r="O4" s="2847"/>
      <c r="P4" s="2847"/>
      <c r="Q4" s="2848"/>
      <c r="R4" s="2849">
        <f>SUM(L4:Q4)</f>
        <v>0</v>
      </c>
      <c r="S4" s="2826"/>
      <c r="T4" s="2826"/>
      <c r="U4" s="2826"/>
      <c r="V4" s="2835"/>
    </row>
    <row r="5" spans="1:22" s="2839" customFormat="1" ht="13.15" customHeight="1" thickBot="1">
      <c r="A5" s="2850" t="s">
        <v>2311</v>
      </c>
      <c r="B5" s="2851"/>
      <c r="C5" s="2830"/>
      <c r="D5" s="2852"/>
      <c r="E5" s="2832"/>
      <c r="F5" s="2832"/>
      <c r="G5" s="2833"/>
      <c r="H5" s="2834"/>
      <c r="I5" s="2835"/>
      <c r="J5" s="2853" t="s">
        <v>2312</v>
      </c>
      <c r="K5" s="2854"/>
      <c r="L5" s="2854"/>
      <c r="M5" s="2855"/>
      <c r="N5" s="2855"/>
      <c r="O5" s="2855"/>
      <c r="P5" s="2855"/>
      <c r="Q5" s="2855"/>
      <c r="R5" s="2838">
        <f>SUM(R14,R19,R24,R25,R27,R28)</f>
        <v>0</v>
      </c>
      <c r="S5" s="2826"/>
      <c r="T5" s="2826" t="s">
        <v>2313</v>
      </c>
      <c r="U5" s="2826" t="e">
        <f>ROUND(R5*10000/365/R3,1)</f>
        <v>#DIV/0!</v>
      </c>
      <c r="V5" s="2835"/>
    </row>
    <row r="6" spans="1:22" s="2839" customFormat="1" ht="13.15" customHeight="1" thickBot="1">
      <c r="A6" s="3704" t="s">
        <v>2314</v>
      </c>
      <c r="B6" s="3705"/>
      <c r="C6" s="3706"/>
      <c r="D6" s="2856"/>
      <c r="E6" s="2857"/>
      <c r="F6" s="2858"/>
      <c r="G6" s="2859"/>
      <c r="H6" s="2834"/>
      <c r="I6" s="2835"/>
      <c r="J6" s="3690">
        <v>1</v>
      </c>
      <c r="K6" s="3691" t="s">
        <v>2315</v>
      </c>
      <c r="L6" s="2860" t="s">
        <v>2316</v>
      </c>
      <c r="M6" s="2861" t="s">
        <v>2317</v>
      </c>
      <c r="N6" s="2861" t="s">
        <v>2318</v>
      </c>
      <c r="O6" s="2861" t="s">
        <v>2319</v>
      </c>
      <c r="P6" s="2861" t="s">
        <v>2320</v>
      </c>
      <c r="Q6" s="2861" t="s">
        <v>2321</v>
      </c>
      <c r="R6" s="2844" t="s">
        <v>2322</v>
      </c>
      <c r="S6" s="2826"/>
      <c r="T6" s="2826" t="s">
        <v>2323</v>
      </c>
      <c r="U6" s="2826"/>
      <c r="V6" s="2835"/>
    </row>
    <row r="7" spans="1:22" s="2839" customFormat="1" ht="13.15" customHeight="1">
      <c r="A7" s="2862" t="s">
        <v>2324</v>
      </c>
      <c r="B7" s="2863"/>
      <c r="C7" s="2864"/>
      <c r="D7" s="2865">
        <f>SUM(D9,D10,D11,D17,0)</f>
        <v>0</v>
      </c>
      <c r="E7" s="2866" t="e">
        <f>E9+E10+E11+E17</f>
        <v>#DIV/0!</v>
      </c>
      <c r="F7" s="2867"/>
      <c r="G7" s="2868"/>
      <c r="H7" s="2834"/>
      <c r="I7" s="2835"/>
      <c r="J7" s="3690"/>
      <c r="K7" s="3692"/>
      <c r="L7" s="2869" t="s">
        <v>2325</v>
      </c>
      <c r="M7" s="2870"/>
      <c r="N7" s="2846"/>
      <c r="O7" s="2871"/>
      <c r="P7" s="2871"/>
      <c r="Q7" s="2872">
        <v>365</v>
      </c>
      <c r="R7" s="2873">
        <f>ROUND(M7*N7*O7*P7*Q7/10000,0)</f>
        <v>0</v>
      </c>
      <c r="S7" s="2826"/>
      <c r="T7" s="2826" t="s">
        <v>2326</v>
      </c>
      <c r="U7" s="2826"/>
      <c r="V7" s="2835"/>
    </row>
    <row r="8" spans="1:22" s="2839" customFormat="1" ht="13.15" customHeight="1">
      <c r="A8" s="2874" t="s">
        <v>2327</v>
      </c>
      <c r="B8" s="3707" t="s">
        <v>2328</v>
      </c>
      <c r="C8" s="3708"/>
      <c r="D8" s="2875" t="s">
        <v>2329</v>
      </c>
      <c r="E8" s="2876" t="s">
        <v>2330</v>
      </c>
      <c r="F8" s="2877" t="s">
        <v>2331</v>
      </c>
      <c r="G8" s="2878"/>
      <c r="H8" s="2834"/>
      <c r="I8" s="2835"/>
      <c r="J8" s="3690"/>
      <c r="K8" s="3692"/>
      <c r="L8" s="2869" t="s">
        <v>2332</v>
      </c>
      <c r="M8" s="2870"/>
      <c r="N8" s="2846"/>
      <c r="O8" s="2871"/>
      <c r="P8" s="2871"/>
      <c r="Q8" s="2872">
        <v>365</v>
      </c>
      <c r="R8" s="2873">
        <f t="shared" ref="R8:R13" si="0">ROUND(M8*N8*O8*P8*Q8/10000,0)</f>
        <v>0</v>
      </c>
      <c r="S8" s="2826"/>
      <c r="T8" s="2826" t="s">
        <v>2333</v>
      </c>
      <c r="U8" s="2826"/>
      <c r="V8" s="2835"/>
    </row>
    <row r="9" spans="1:22" s="2839" customFormat="1" ht="13.15" customHeight="1">
      <c r="A9" s="2874">
        <v>1</v>
      </c>
      <c r="B9" s="3707" t="s">
        <v>2334</v>
      </c>
      <c r="C9" s="3708"/>
      <c r="D9" s="2875">
        <f>ROUND(D6*E9,0)</f>
        <v>0</v>
      </c>
      <c r="E9" s="2879"/>
      <c r="F9" s="2880" t="s">
        <v>2335</v>
      </c>
      <c r="G9" s="2859"/>
      <c r="H9" s="2834"/>
      <c r="I9" s="2835"/>
      <c r="J9" s="3690"/>
      <c r="K9" s="3692"/>
      <c r="L9" s="2869" t="s">
        <v>2336</v>
      </c>
      <c r="M9" s="2870"/>
      <c r="N9" s="2846"/>
      <c r="O9" s="2871"/>
      <c r="P9" s="2871"/>
      <c r="Q9" s="2872">
        <v>365</v>
      </c>
      <c r="R9" s="2873">
        <f t="shared" si="0"/>
        <v>0</v>
      </c>
      <c r="S9" s="2826"/>
      <c r="T9" s="2826"/>
      <c r="U9" s="2826"/>
      <c r="V9" s="2835"/>
    </row>
    <row r="10" spans="1:22" s="2839" customFormat="1" ht="13.15" customHeight="1">
      <c r="A10" s="2874">
        <v>2</v>
      </c>
      <c r="B10" s="3707" t="s">
        <v>2337</v>
      </c>
      <c r="C10" s="3708"/>
      <c r="D10" s="2875">
        <f>ROUND(D6*E10,0)</f>
        <v>0</v>
      </c>
      <c r="E10" s="2879"/>
      <c r="F10" s="2880" t="s">
        <v>2338</v>
      </c>
      <c r="G10" s="2859"/>
      <c r="H10" s="2834"/>
      <c r="I10" s="2835"/>
      <c r="J10" s="3690"/>
      <c r="K10" s="3692"/>
      <c r="L10" s="2869" t="s">
        <v>2339</v>
      </c>
      <c r="M10" s="2870"/>
      <c r="N10" s="2846"/>
      <c r="O10" s="2871"/>
      <c r="P10" s="2871"/>
      <c r="Q10" s="2872">
        <v>365</v>
      </c>
      <c r="R10" s="2873">
        <f t="shared" si="0"/>
        <v>0</v>
      </c>
      <c r="S10" s="2826"/>
      <c r="T10" s="2826"/>
      <c r="U10" s="2826"/>
      <c r="V10" s="2835"/>
    </row>
    <row r="11" spans="1:22" s="2839" customFormat="1" ht="13.15" customHeight="1">
      <c r="A11" s="2874">
        <v>3</v>
      </c>
      <c r="B11" s="3707" t="s">
        <v>2340</v>
      </c>
      <c r="C11" s="3708"/>
      <c r="D11" s="2875">
        <f>D12+D14+D15+D16</f>
        <v>0</v>
      </c>
      <c r="E11" s="2881" t="e">
        <f>D11/D6</f>
        <v>#DIV/0!</v>
      </c>
      <c r="F11" s="2877"/>
      <c r="G11" s="2878"/>
      <c r="H11" s="2834"/>
      <c r="I11" s="2835"/>
      <c r="J11" s="3690"/>
      <c r="K11" s="3692"/>
      <c r="L11" s="2869" t="s">
        <v>2341</v>
      </c>
      <c r="M11" s="2870"/>
      <c r="N11" s="2846"/>
      <c r="O11" s="2871"/>
      <c r="P11" s="2871"/>
      <c r="Q11" s="2872">
        <v>365</v>
      </c>
      <c r="R11" s="2873">
        <f t="shared" si="0"/>
        <v>0</v>
      </c>
      <c r="S11" s="2826"/>
      <c r="T11" s="2826"/>
      <c r="U11" s="2826"/>
      <c r="V11" s="2835"/>
    </row>
    <row r="12" spans="1:22" s="2839" customFormat="1" ht="13.15" customHeight="1">
      <c r="A12" s="2882" t="s">
        <v>2342</v>
      </c>
      <c r="B12" s="3700" t="s">
        <v>2343</v>
      </c>
      <c r="C12" s="3701"/>
      <c r="D12" s="2883">
        <f>ROUND(D13*1.2%*(1-30%),0)</f>
        <v>0</v>
      </c>
      <c r="E12" s="2884">
        <v>1.2E-2</v>
      </c>
      <c r="F12" s="2877" t="s">
        <v>2344</v>
      </c>
      <c r="G12" s="2878"/>
      <c r="H12" s="2834"/>
      <c r="I12" s="2835"/>
      <c r="J12" s="3690"/>
      <c r="K12" s="3692"/>
      <c r="L12" s="2869" t="s">
        <v>2345</v>
      </c>
      <c r="M12" s="2870"/>
      <c r="N12" s="2846"/>
      <c r="O12" s="2871"/>
      <c r="P12" s="2871"/>
      <c r="Q12" s="2872">
        <v>365</v>
      </c>
      <c r="R12" s="2873">
        <f t="shared" si="0"/>
        <v>0</v>
      </c>
      <c r="S12" s="2826"/>
      <c r="T12" s="2826"/>
      <c r="U12" s="2826"/>
      <c r="V12" s="2835"/>
    </row>
    <row r="13" spans="1:22" s="2839" customFormat="1" ht="13.15" customHeight="1">
      <c r="A13" s="2882"/>
      <c r="B13" s="2885"/>
      <c r="C13" s="2886" t="s">
        <v>2346</v>
      </c>
      <c r="D13" s="2887"/>
      <c r="E13" s="2888"/>
      <c r="F13" s="2877"/>
      <c r="G13" s="2878"/>
      <c r="H13" s="2834"/>
      <c r="I13" s="2835"/>
      <c r="J13" s="3690"/>
      <c r="K13" s="3692"/>
      <c r="L13" s="2869" t="s">
        <v>2347</v>
      </c>
      <c r="M13" s="2870"/>
      <c r="N13" s="2846"/>
      <c r="O13" s="2871"/>
      <c r="P13" s="2871"/>
      <c r="Q13" s="2872">
        <v>365</v>
      </c>
      <c r="R13" s="2873">
        <f t="shared" si="0"/>
        <v>0</v>
      </c>
      <c r="S13" s="2826"/>
      <c r="T13" s="2826"/>
      <c r="U13" s="2826"/>
      <c r="V13" s="2835"/>
    </row>
    <row r="14" spans="1:22" s="2839" customFormat="1" ht="13.15" customHeight="1">
      <c r="A14" s="2882" t="s">
        <v>2348</v>
      </c>
      <c r="B14" s="3700" t="s">
        <v>2349</v>
      </c>
      <c r="C14" s="3701"/>
      <c r="D14" s="2883">
        <f>ROUND(E14*B5/10000,0)</f>
        <v>0</v>
      </c>
      <c r="E14" s="2872"/>
      <c r="F14" s="2877" t="s">
        <v>2350</v>
      </c>
      <c r="G14" s="2878"/>
      <c r="H14" s="2834"/>
      <c r="I14" s="2835"/>
      <c r="J14" s="3690"/>
      <c r="K14" s="3693"/>
      <c r="L14" s="2889" t="s">
        <v>2351</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2352</v>
      </c>
      <c r="B15" s="3700" t="s">
        <v>2353</v>
      </c>
      <c r="C15" s="3701"/>
      <c r="D15" s="2883">
        <f>ROUND(D6*E15,0)</f>
        <v>0</v>
      </c>
      <c r="E15" s="2884">
        <v>5.5E-2</v>
      </c>
      <c r="F15" s="2877" t="s">
        <v>2354</v>
      </c>
      <c r="G15" s="2859"/>
      <c r="H15" s="2834"/>
      <c r="I15" s="2835"/>
      <c r="J15" s="3690">
        <v>2</v>
      </c>
      <c r="K15" s="3691" t="s">
        <v>2355</v>
      </c>
      <c r="L15" s="2869" t="s">
        <v>2356</v>
      </c>
      <c r="M15" s="2870" t="s">
        <v>2357</v>
      </c>
      <c r="N15" s="2870" t="s">
        <v>2358</v>
      </c>
      <c r="O15" s="2871" t="s">
        <v>2359</v>
      </c>
      <c r="P15" s="2871" t="s">
        <v>2360</v>
      </c>
      <c r="Q15" s="2846" t="s">
        <v>2361</v>
      </c>
      <c r="R15" s="2893" t="s">
        <v>2362</v>
      </c>
      <c r="S15" s="2826"/>
      <c r="T15" s="2826"/>
      <c r="U15" s="2826"/>
      <c r="V15" s="2835"/>
    </row>
    <row r="16" spans="1:22" s="2839" customFormat="1" ht="13.15" customHeight="1">
      <c r="A16" s="2882" t="s">
        <v>2363</v>
      </c>
      <c r="B16" s="3700" t="s">
        <v>2364</v>
      </c>
      <c r="C16" s="3701"/>
      <c r="D16" s="2894">
        <f>D6*E16</f>
        <v>0</v>
      </c>
      <c r="E16" s="2895"/>
      <c r="F16" s="2880" t="s">
        <v>2365</v>
      </c>
      <c r="G16" s="2859"/>
      <c r="H16" s="2834"/>
      <c r="I16" s="2835"/>
      <c r="J16" s="3690"/>
      <c r="K16" s="3692"/>
      <c r="L16" s="2869" t="s">
        <v>2366</v>
      </c>
      <c r="M16" s="2870"/>
      <c r="N16" s="2870"/>
      <c r="O16" s="2871"/>
      <c r="P16" s="2872">
        <v>365</v>
      </c>
      <c r="Q16" s="2846"/>
      <c r="R16" s="2893">
        <f>ROUND(M16*N16*O16*P16/10000,0)</f>
        <v>0</v>
      </c>
      <c r="S16" s="2826"/>
      <c r="T16" s="2826"/>
      <c r="U16" s="2826"/>
      <c r="V16" s="2835"/>
    </row>
    <row r="17" spans="1:22" s="2839" customFormat="1" ht="13.15" customHeight="1" thickBot="1">
      <c r="A17" s="2896">
        <v>4</v>
      </c>
      <c r="B17" s="3702" t="s">
        <v>2367</v>
      </c>
      <c r="C17" s="3703"/>
      <c r="D17" s="2897">
        <f>ROUND(D6*E17,0)</f>
        <v>0</v>
      </c>
      <c r="E17" s="2898"/>
      <c r="F17" s="2899" t="s">
        <v>2368</v>
      </c>
      <c r="G17" s="2859"/>
      <c r="H17" s="2834"/>
      <c r="I17" s="2835"/>
      <c r="J17" s="3690"/>
      <c r="K17" s="3692"/>
      <c r="L17" s="2869" t="s">
        <v>2369</v>
      </c>
      <c r="M17" s="2870"/>
      <c r="N17" s="2870"/>
      <c r="O17" s="2871"/>
      <c r="P17" s="2872">
        <v>365</v>
      </c>
      <c r="Q17" s="2846"/>
      <c r="R17" s="2893">
        <f>ROUND(M17*N17*O17*P17/10000,0)</f>
        <v>0</v>
      </c>
      <c r="S17" s="2826"/>
      <c r="T17" s="2826"/>
      <c r="U17" s="2826"/>
      <c r="V17" s="2835"/>
    </row>
    <row r="18" spans="1:22" s="2839" customFormat="1" ht="13.15" customHeight="1" thickBot="1">
      <c r="A18" s="2862" t="s">
        <v>2370</v>
      </c>
      <c r="B18" s="2863"/>
      <c r="C18" s="2863"/>
      <c r="D18" s="2900">
        <f>ROUND(D6*E18,0)</f>
        <v>0</v>
      </c>
      <c r="E18" s="2901"/>
      <c r="F18" s="2902" t="s">
        <v>2371</v>
      </c>
      <c r="G18" s="2859"/>
      <c r="H18" s="2834"/>
      <c r="I18" s="2835"/>
      <c r="J18" s="3690"/>
      <c r="K18" s="3692"/>
      <c r="L18" s="2869" t="s">
        <v>2372</v>
      </c>
      <c r="M18" s="2870"/>
      <c r="N18" s="2870"/>
      <c r="O18" s="2871"/>
      <c r="P18" s="2872">
        <v>365</v>
      </c>
      <c r="Q18" s="2846"/>
      <c r="R18" s="2893">
        <f>ROUND(M18*N18*O18*P18/10000,0)</f>
        <v>0</v>
      </c>
      <c r="S18" s="2826"/>
      <c r="T18" s="2826"/>
      <c r="U18" s="2826"/>
      <c r="V18" s="2835"/>
    </row>
    <row r="19" spans="1:22" s="2839" customFormat="1" ht="13.15" customHeight="1" thickBot="1">
      <c r="A19" s="2903" t="s">
        <v>2373</v>
      </c>
      <c r="B19" s="2857"/>
      <c r="C19" s="2857"/>
      <c r="D19" s="2857"/>
      <c r="E19" s="2857"/>
      <c r="F19" s="2858"/>
      <c r="G19" s="2878"/>
      <c r="H19" s="2834"/>
      <c r="I19" s="2835"/>
      <c r="J19" s="3690"/>
      <c r="K19" s="3693"/>
      <c r="L19" s="2889" t="s">
        <v>2351</v>
      </c>
      <c r="M19" s="2890"/>
      <c r="N19" s="2890">
        <f>SUM(N16:N18)</f>
        <v>0</v>
      </c>
      <c r="O19" s="2891"/>
      <c r="P19" s="2904" t="s">
        <v>2439</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690">
        <v>3</v>
      </c>
      <c r="K20" s="3691" t="s">
        <v>2374</v>
      </c>
      <c r="L20" s="2869" t="s">
        <v>2375</v>
      </c>
      <c r="M20" s="2870" t="s">
        <v>2376</v>
      </c>
      <c r="N20" s="2907" t="s">
        <v>2377</v>
      </c>
      <c r="O20" s="2871" t="s">
        <v>2378</v>
      </c>
      <c r="P20" s="2872" t="s">
        <v>2379</v>
      </c>
      <c r="Q20" s="2846" t="s">
        <v>2380</v>
      </c>
      <c r="R20" s="2893" t="s">
        <v>2322</v>
      </c>
      <c r="S20" s="2826"/>
      <c r="T20" s="2826"/>
      <c r="U20" s="2826"/>
      <c r="V20" s="2835"/>
    </row>
    <row r="21" spans="1:22" s="2839" customFormat="1" ht="13.15" customHeight="1">
      <c r="A21" s="2862"/>
      <c r="B21" s="2863"/>
      <c r="C21" s="2908" t="s">
        <v>2381</v>
      </c>
      <c r="D21" s="2909" t="s">
        <v>2382</v>
      </c>
      <c r="E21" s="2910" t="s">
        <v>2383</v>
      </c>
      <c r="F21" s="2906"/>
      <c r="G21" s="2878"/>
      <c r="H21" s="2834"/>
      <c r="I21" s="2835"/>
      <c r="J21" s="3690"/>
      <c r="K21" s="3692"/>
      <c r="L21" s="2869" t="s">
        <v>2384</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2385</v>
      </c>
      <c r="D22" s="2913" t="s">
        <v>2386</v>
      </c>
      <c r="E22" s="2914" t="s">
        <v>2387</v>
      </c>
      <c r="F22" s="2906"/>
      <c r="G22" s="2826"/>
      <c r="H22" s="2834"/>
      <c r="I22" s="2835"/>
      <c r="J22" s="3690"/>
      <c r="K22" s="3692"/>
      <c r="L22" s="2869" t="s">
        <v>2388</v>
      </c>
      <c r="M22" s="2870"/>
      <c r="N22" s="2870"/>
      <c r="O22" s="2871"/>
      <c r="P22" s="2872">
        <v>365</v>
      </c>
      <c r="Q22" s="2846"/>
      <c r="R22" s="2911">
        <f>ROUND(M22*N22*O22*P22/10000,0)</f>
        <v>0</v>
      </c>
      <c r="S22" s="2826"/>
      <c r="T22" s="2826"/>
      <c r="U22" s="2826"/>
      <c r="V22" s="2835"/>
    </row>
    <row r="23" spans="1:22" s="2839" customFormat="1" ht="13.15" customHeight="1">
      <c r="A23" s="2915">
        <v>1</v>
      </c>
      <c r="B23" s="2916" t="s">
        <v>2389</v>
      </c>
      <c r="C23" s="2917">
        <f>D6</f>
        <v>0</v>
      </c>
      <c r="D23" s="2918">
        <f>C23*(1+D24)</f>
        <v>0</v>
      </c>
      <c r="E23" s="2919">
        <f>D23*(1+E24)</f>
        <v>0</v>
      </c>
      <c r="F23" s="2920"/>
      <c r="G23" s="2921"/>
      <c r="H23" s="2834"/>
      <c r="I23" s="2835"/>
      <c r="J23" s="3690"/>
      <c r="K23" s="3692"/>
      <c r="L23" s="2869" t="s">
        <v>2390</v>
      </c>
      <c r="M23" s="2870"/>
      <c r="N23" s="2870"/>
      <c r="O23" s="2871"/>
      <c r="P23" s="2872">
        <v>365</v>
      </c>
      <c r="Q23" s="2846"/>
      <c r="R23" s="2911">
        <f>ROUND(M23*N23*O23*P23/10000,0)</f>
        <v>0</v>
      </c>
      <c r="S23" s="2826"/>
      <c r="T23" s="2826"/>
      <c r="U23" s="2826"/>
      <c r="V23" s="2835"/>
    </row>
    <row r="24" spans="1:22" s="2839" customFormat="1" ht="13.15" customHeight="1">
      <c r="A24" s="2922"/>
      <c r="B24" s="2923" t="s">
        <v>2391</v>
      </c>
      <c r="C24" s="2924"/>
      <c r="D24" s="2925"/>
      <c r="E24" s="2926"/>
      <c r="F24" s="2927"/>
      <c r="G24" s="2921"/>
      <c r="H24" s="2834"/>
      <c r="I24" s="2835"/>
      <c r="J24" s="3690"/>
      <c r="K24" s="3693"/>
      <c r="L24" s="2889" t="s">
        <v>2351</v>
      </c>
      <c r="M24" s="2890">
        <f>SUM(M21:M23)</f>
        <v>0</v>
      </c>
      <c r="N24" s="2890"/>
      <c r="O24" s="2891"/>
      <c r="P24" s="2904" t="s">
        <v>2439</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2392</v>
      </c>
      <c r="L25" s="2930"/>
      <c r="M25" s="2930"/>
      <c r="N25" s="2930"/>
      <c r="O25" s="2930"/>
      <c r="P25" s="2931"/>
      <c r="Q25" s="2932"/>
      <c r="R25" s="2905">
        <f>ROUND(R14*Q25,0)</f>
        <v>0</v>
      </c>
      <c r="S25" s="2826"/>
      <c r="T25" s="2826"/>
      <c r="U25" s="2826"/>
      <c r="V25" s="2933"/>
    </row>
    <row r="26" spans="1:22" s="2934" customFormat="1" ht="13.15" customHeight="1">
      <c r="A26" s="2915">
        <v>2</v>
      </c>
      <c r="B26" s="2916" t="s">
        <v>2393</v>
      </c>
      <c r="C26" s="2917">
        <f>D7</f>
        <v>0</v>
      </c>
      <c r="D26" s="2918">
        <f>D23*D27</f>
        <v>0</v>
      </c>
      <c r="E26" s="2919">
        <f>E23*E27</f>
        <v>0</v>
      </c>
      <c r="F26" s="2920"/>
      <c r="G26" s="2921"/>
      <c r="H26" s="2834"/>
      <c r="I26" s="2835"/>
      <c r="J26" s="3694">
        <v>5</v>
      </c>
      <c r="K26" s="2935" t="s">
        <v>2394</v>
      </c>
      <c r="L26" s="2936"/>
      <c r="M26" s="2937"/>
      <c r="N26" s="2938" t="s">
        <v>2395</v>
      </c>
      <c r="O26" s="2938" t="s">
        <v>2396</v>
      </c>
      <c r="P26" s="2939" t="s">
        <v>2397</v>
      </c>
      <c r="Q26" s="2939" t="s">
        <v>2398</v>
      </c>
      <c r="R26" s="2844" t="s">
        <v>2399</v>
      </c>
      <c r="S26" s="2878"/>
      <c r="T26" s="2878"/>
      <c r="U26" s="2878"/>
      <c r="V26" s="2933"/>
    </row>
    <row r="27" spans="1:22" s="2839" customFormat="1" ht="13.15" customHeight="1">
      <c r="A27" s="2922"/>
      <c r="B27" s="2923" t="s">
        <v>2400</v>
      </c>
      <c r="C27" s="2940" t="e">
        <f>E7</f>
        <v>#DIV/0!</v>
      </c>
      <c r="D27" s="2925"/>
      <c r="E27" s="2926"/>
      <c r="F27" s="2927"/>
      <c r="G27" s="2921"/>
      <c r="H27" s="2941"/>
      <c r="I27" s="2933"/>
      <c r="J27" s="3695"/>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2401</v>
      </c>
      <c r="F28" s="2927"/>
      <c r="G28" s="2826"/>
      <c r="H28" s="2941"/>
      <c r="I28" s="2933"/>
      <c r="J28" s="2947">
        <v>6</v>
      </c>
      <c r="K28" s="2948" t="s">
        <v>2402</v>
      </c>
      <c r="L28" s="2949" t="s">
        <v>2403</v>
      </c>
      <c r="M28" s="2950"/>
      <c r="N28" s="2949" t="s">
        <v>2404</v>
      </c>
      <c r="O28" s="2951"/>
      <c r="P28" s="2949" t="s">
        <v>2405</v>
      </c>
      <c r="Q28" s="2952">
        <v>1.4999999999999999E-2</v>
      </c>
      <c r="R28" s="2953"/>
      <c r="S28" s="2826"/>
      <c r="T28" s="2826"/>
      <c r="U28" s="2826"/>
      <c r="V28" s="2933"/>
    </row>
    <row r="29" spans="1:22" s="2934" customFormat="1" ht="13.15" customHeight="1">
      <c r="A29" s="2915">
        <v>3</v>
      </c>
      <c r="B29" s="2916" t="s">
        <v>2406</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2407</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2408</v>
      </c>
      <c r="K31" s="2824"/>
      <c r="L31" s="2824"/>
      <c r="M31" s="2824"/>
      <c r="N31" s="2824"/>
      <c r="O31" s="2824"/>
      <c r="P31" s="2824"/>
      <c r="Q31" s="2824"/>
      <c r="R31" s="2825"/>
      <c r="S31" s="2826"/>
      <c r="T31" s="2826"/>
      <c r="U31" s="2826"/>
      <c r="V31" s="2933"/>
    </row>
    <row r="32" spans="1:22" s="2934" customFormat="1" ht="13.15" customHeight="1">
      <c r="A32" s="2915">
        <v>4</v>
      </c>
      <c r="B32" s="2916" t="s">
        <v>2409</v>
      </c>
      <c r="C32" s="2917">
        <f>C23-C26-C29</f>
        <v>0</v>
      </c>
      <c r="D32" s="2918">
        <f>D23-D26-D29</f>
        <v>0</v>
      </c>
      <c r="E32" s="2919">
        <f>E23-E26-E29</f>
        <v>0</v>
      </c>
      <c r="F32" s="2920"/>
      <c r="G32" s="2826"/>
      <c r="H32" s="2834"/>
      <c r="I32" s="2835"/>
      <c r="J32" s="3696" t="s">
        <v>2410</v>
      </c>
      <c r="K32" s="3697"/>
      <c r="L32" s="2836" t="s">
        <v>2411</v>
      </c>
      <c r="M32" s="2836" t="s">
        <v>2300</v>
      </c>
      <c r="N32" s="2836" t="s">
        <v>2301</v>
      </c>
      <c r="O32" s="2836" t="s">
        <v>2302</v>
      </c>
      <c r="P32" s="2836" t="s">
        <v>2303</v>
      </c>
      <c r="Q32" s="2837" t="s">
        <v>2412</v>
      </c>
      <c r="R32" s="2956" t="s">
        <v>2413</v>
      </c>
      <c r="S32" s="2826"/>
      <c r="T32" s="2826"/>
      <c r="U32" s="2826"/>
      <c r="V32" s="2933"/>
    </row>
    <row r="33" spans="1:23" s="2839" customFormat="1" ht="13.15" customHeight="1">
      <c r="A33" s="2915"/>
      <c r="B33" s="2916"/>
      <c r="C33" s="2917"/>
      <c r="D33" s="2957"/>
      <c r="E33" s="2958"/>
      <c r="F33" s="2920"/>
      <c r="G33" s="2826"/>
      <c r="H33" s="2941"/>
      <c r="I33" s="2933"/>
      <c r="J33" s="3698" t="s">
        <v>2414</v>
      </c>
      <c r="K33" s="3699"/>
      <c r="L33" s="2842"/>
      <c r="M33" s="2842"/>
      <c r="N33" s="2842"/>
      <c r="O33" s="2842"/>
      <c r="P33" s="2842"/>
      <c r="Q33" s="2843"/>
      <c r="R33" s="2959">
        <f>SUM(L33:Q33)</f>
        <v>0</v>
      </c>
      <c r="S33" s="2826"/>
      <c r="T33" s="2826"/>
      <c r="U33" s="2826"/>
      <c r="V33" s="2835"/>
    </row>
    <row r="34" spans="1:23" s="2839" customFormat="1" ht="13.15" customHeight="1">
      <c r="A34" s="2915">
        <v>5</v>
      </c>
      <c r="B34" s="2916" t="s">
        <v>2415</v>
      </c>
      <c r="C34" s="2960"/>
      <c r="D34" s="2961"/>
      <c r="E34" s="2962"/>
      <c r="F34" s="2920"/>
      <c r="G34" s="2826"/>
      <c r="H34" s="2941"/>
      <c r="I34" s="2933"/>
      <c r="J34" s="3698" t="s">
        <v>2416</v>
      </c>
      <c r="K34" s="3699"/>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2417</v>
      </c>
      <c r="C35" s="2964"/>
      <c r="D35" s="2965"/>
      <c r="E35" s="2966"/>
      <c r="F35" s="2920"/>
      <c r="G35" s="2967"/>
      <c r="H35" s="2834"/>
      <c r="I35" s="2933"/>
      <c r="J35" s="2853" t="s">
        <v>2418</v>
      </c>
      <c r="K35" s="2854"/>
      <c r="L35" s="2854"/>
      <c r="M35" s="2855"/>
      <c r="N35" s="2855"/>
      <c r="O35" s="2855"/>
      <c r="P35" s="2855"/>
      <c r="Q35" s="2855"/>
      <c r="R35" s="2968">
        <f>R40+R41+R43</f>
        <v>0</v>
      </c>
      <c r="S35" s="2826"/>
      <c r="T35" s="2826" t="s">
        <v>2419</v>
      </c>
      <c r="U35" s="2826"/>
      <c r="V35" s="2835"/>
    </row>
    <row r="36" spans="1:23" s="2839" customFormat="1" ht="13.15" customHeight="1" thickBot="1">
      <c r="A36" s="2915">
        <v>7</v>
      </c>
      <c r="B36" s="2969" t="s">
        <v>2420</v>
      </c>
      <c r="C36" s="2970"/>
      <c r="D36" s="2971"/>
      <c r="E36" s="2972"/>
      <c r="F36" s="2973">
        <f>C36+D36+E36</f>
        <v>0</v>
      </c>
      <c r="G36" s="2826"/>
      <c r="H36" s="2834"/>
      <c r="I36" s="2835"/>
      <c r="J36" s="3690">
        <v>1</v>
      </c>
      <c r="K36" s="3691" t="s">
        <v>2421</v>
      </c>
      <c r="L36" s="2860"/>
      <c r="M36" s="2861"/>
      <c r="N36" s="2861"/>
      <c r="O36" s="2861"/>
      <c r="P36" s="2861"/>
      <c r="Q36" s="2861"/>
      <c r="R36" s="2844" t="s">
        <v>2322</v>
      </c>
      <c r="S36" s="2826"/>
      <c r="T36" s="2826" t="s">
        <v>2323</v>
      </c>
      <c r="U36" s="2826"/>
      <c r="V36" s="2835"/>
    </row>
    <row r="37" spans="1:23" s="2839" customFormat="1" ht="13.15" customHeight="1">
      <c r="A37" s="2915"/>
      <c r="B37" s="2916"/>
      <c r="C37" s="2916"/>
      <c r="D37" s="2916"/>
      <c r="E37" s="2916"/>
      <c r="F37" s="2920"/>
      <c r="G37" s="2826"/>
      <c r="H37" s="2834"/>
      <c r="I37" s="2835"/>
      <c r="J37" s="3690"/>
      <c r="K37" s="3692"/>
      <c r="L37" s="2869"/>
      <c r="M37" s="2870"/>
      <c r="N37" s="2846"/>
      <c r="O37" s="2871"/>
      <c r="P37" s="2871"/>
      <c r="Q37" s="2872"/>
      <c r="R37" s="2873"/>
      <c r="S37" s="2826"/>
      <c r="T37" s="2826" t="s">
        <v>2326</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690"/>
      <c r="K38" s="3692"/>
      <c r="L38" s="2869"/>
      <c r="M38" s="2870"/>
      <c r="N38" s="2846"/>
      <c r="O38" s="2871"/>
      <c r="P38" s="2871"/>
      <c r="Q38" s="2872"/>
      <c r="R38" s="2873"/>
      <c r="S38" s="2826"/>
      <c r="T38" s="2826" t="s">
        <v>2333</v>
      </c>
      <c r="U38" s="2826"/>
      <c r="V38" s="2835"/>
    </row>
    <row r="39" spans="1:23" s="2839" customFormat="1" ht="13.15" customHeight="1">
      <c r="A39" s="2915">
        <v>9</v>
      </c>
      <c r="B39" s="2916" t="s">
        <v>2422</v>
      </c>
      <c r="C39" s="2883" t="e">
        <f>C38</f>
        <v>#DIV/0!</v>
      </c>
      <c r="D39" s="2916">
        <f>D38/(1+D34)^C36</f>
        <v>0</v>
      </c>
      <c r="E39" s="2916">
        <f>E38/(1+E34)^(C36+D36)</f>
        <v>0</v>
      </c>
      <c r="F39" s="2920"/>
      <c r="G39" s="2835"/>
      <c r="H39" s="2834"/>
      <c r="I39" s="2835"/>
      <c r="J39" s="3690"/>
      <c r="K39" s="3692"/>
      <c r="L39" s="2869"/>
      <c r="M39" s="2870"/>
      <c r="N39" s="2846"/>
      <c r="O39" s="2871"/>
      <c r="P39" s="2871"/>
      <c r="Q39" s="2872"/>
      <c r="R39" s="2873"/>
      <c r="S39" s="2826"/>
      <c r="T39" s="2826"/>
      <c r="U39" s="2826"/>
      <c r="V39" s="2835"/>
    </row>
    <row r="40" spans="1:23" s="2839" customFormat="1" ht="13.15" customHeight="1">
      <c r="A40" s="2974">
        <v>10</v>
      </c>
      <c r="B40" s="2916" t="s">
        <v>2423</v>
      </c>
      <c r="C40" s="2975" t="e">
        <f>C39+D39+E39</f>
        <v>#DIV/0!</v>
      </c>
      <c r="D40" s="2976"/>
      <c r="E40" s="2976"/>
      <c r="F40" s="2977"/>
      <c r="G40" s="2826"/>
      <c r="H40" s="2834"/>
      <c r="I40" s="2835"/>
      <c r="J40" s="3690"/>
      <c r="K40" s="3693"/>
      <c r="L40" s="2889" t="s">
        <v>2424</v>
      </c>
      <c r="M40" s="2890"/>
      <c r="N40" s="2890"/>
      <c r="O40" s="2891"/>
      <c r="P40" s="2891"/>
      <c r="Q40" s="2892"/>
      <c r="R40" s="2838">
        <f>SUM(R37:R39)</f>
        <v>0</v>
      </c>
      <c r="S40" s="2826"/>
      <c r="T40" s="2826"/>
      <c r="U40" s="2826"/>
      <c r="V40" s="2835"/>
    </row>
    <row r="41" spans="1:23" s="2839" customFormat="1" ht="13.15" customHeight="1" thickBot="1">
      <c r="A41" s="2978">
        <v>11</v>
      </c>
      <c r="B41" s="2979" t="s">
        <v>2425</v>
      </c>
      <c r="C41" s="2979" t="e">
        <f>ROUND(C40*10000/B4,0)</f>
        <v>#DIV/0!</v>
      </c>
      <c r="D41" s="2980"/>
      <c r="E41" s="2980"/>
      <c r="F41" s="2981"/>
      <c r="G41" s="2834"/>
      <c r="H41" s="2834"/>
      <c r="I41" s="2835"/>
      <c r="J41" s="2928">
        <v>2</v>
      </c>
      <c r="K41" s="2929" t="s">
        <v>2426</v>
      </c>
      <c r="L41" s="2930"/>
      <c r="M41" s="2930"/>
      <c r="N41" s="2930"/>
      <c r="O41" s="2930"/>
      <c r="P41" s="2931"/>
      <c r="Q41" s="2932"/>
      <c r="R41" s="2905">
        <f>ROUND(R40*Q41,0)</f>
        <v>0</v>
      </c>
      <c r="S41" s="2826"/>
      <c r="T41" s="2826"/>
      <c r="U41" s="2878"/>
      <c r="V41" s="2835"/>
    </row>
    <row r="42" spans="1:23" s="2839" customFormat="1" ht="13.15" customHeight="1">
      <c r="G42" s="2834"/>
      <c r="H42" s="2834"/>
      <c r="I42" s="2835"/>
      <c r="J42" s="3694">
        <v>3</v>
      </c>
      <c r="K42" s="2935" t="s">
        <v>2427</v>
      </c>
      <c r="L42" s="2936"/>
      <c r="M42" s="2937"/>
      <c r="N42" s="2938" t="s">
        <v>2428</v>
      </c>
      <c r="O42" s="2938" t="s">
        <v>2429</v>
      </c>
      <c r="P42" s="2939" t="s">
        <v>2430</v>
      </c>
      <c r="Q42" s="2939" t="s">
        <v>2431</v>
      </c>
      <c r="R42" s="2844" t="s">
        <v>2432</v>
      </c>
      <c r="S42" s="2878"/>
      <c r="T42" s="2878"/>
      <c r="U42" s="2826"/>
      <c r="V42" s="2835"/>
    </row>
    <row r="43" spans="1:23" ht="13.15" customHeight="1">
      <c r="A43" s="2839"/>
      <c r="B43" s="2839"/>
      <c r="C43" s="2839"/>
      <c r="D43" s="2839"/>
      <c r="E43" s="2839"/>
      <c r="F43" s="2839"/>
      <c r="I43" s="2821"/>
      <c r="J43" s="3695"/>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2433</v>
      </c>
      <c r="L44" s="2984" t="s">
        <v>2434</v>
      </c>
      <c r="M44" s="2950"/>
      <c r="N44" s="2984" t="s">
        <v>2435</v>
      </c>
      <c r="O44" s="2950"/>
      <c r="P44" s="2984" t="s">
        <v>2436</v>
      </c>
      <c r="Q44" s="2952">
        <v>1.4999999999999999E-2</v>
      </c>
      <c r="R44" s="29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8"/>
      <c r="D2" s="2768"/>
      <c r="E2" s="2768"/>
      <c r="F2" s="2768"/>
      <c r="G2" s="2768"/>
    </row>
    <row r="3" spans="1:25" s="1672" customFormat="1" ht="18" customHeight="1">
      <c r="A3" s="1170" t="s">
        <v>1218</v>
      </c>
      <c r="B3" s="395">
        <f ca="1">ROUND(B2*10000/'数据-汇总表'!E3,0)</f>
        <v>0</v>
      </c>
      <c r="C3" s="2768"/>
      <c r="D3" s="2768"/>
      <c r="E3" s="2768"/>
      <c r="F3" s="2768"/>
      <c r="G3" s="2768"/>
    </row>
    <row r="4" spans="1:25" s="1672" customFormat="1" ht="18" customHeight="1">
      <c r="A4" s="396" t="s">
        <v>428</v>
      </c>
      <c r="B4" s="397">
        <f ca="1">ROUND(B2*10000/'数据-汇总表'!D3,0)</f>
        <v>0</v>
      </c>
      <c r="C4" s="2728"/>
      <c r="D4" s="2768"/>
      <c r="E4" s="2768"/>
      <c r="F4" s="2768"/>
      <c r="G4" s="2768"/>
    </row>
    <row r="5" spans="1:25" s="1672" customFormat="1" ht="18" customHeight="1" thickBot="1">
      <c r="A5" s="399"/>
      <c r="B5" s="400">
        <f ca="1">ROUND(B2/('数据-汇总表'!D3/666.67),0)</f>
        <v>0</v>
      </c>
      <c r="C5" s="401" t="s">
        <v>429</v>
      </c>
      <c r="D5" s="2768"/>
      <c r="E5" s="2768"/>
      <c r="F5" s="2768"/>
      <c r="G5" s="2768"/>
    </row>
    <row r="6" spans="1:25" s="1783" customFormat="1" ht="13.5" customHeight="1">
      <c r="A6" s="680"/>
      <c r="B6" s="681" t="s">
        <v>552</v>
      </c>
      <c r="C6" s="682" t="s">
        <v>553</v>
      </c>
      <c r="D6" s="682" t="s">
        <v>554</v>
      </c>
      <c r="E6" s="683" t="s">
        <v>555</v>
      </c>
      <c r="F6" s="683" t="s">
        <v>556</v>
      </c>
      <c r="G6" s="2767" t="s">
        <v>2280</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1">
        <f>ROUND(D8*E8/10000,0)</f>
        <v>0</v>
      </c>
      <c r="D8" s="2771">
        <v>0</v>
      </c>
      <c r="E8" s="2772">
        <v>0</v>
      </c>
      <c r="F8" s="686"/>
      <c r="G8" s="687"/>
    </row>
    <row r="9" spans="1:25" s="1783" customFormat="1" ht="13.5" customHeight="1">
      <c r="A9" s="1981" t="s">
        <v>1787</v>
      </c>
      <c r="B9" s="1984" t="s">
        <v>1789</v>
      </c>
      <c r="C9" s="2771">
        <f>ROUND(D9*E9/10000,0)</f>
        <v>0</v>
      </c>
      <c r="D9" s="2771">
        <v>0</v>
      </c>
      <c r="E9" s="2772">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0</v>
      </c>
      <c r="D12" s="2771">
        <f>'数据-汇总表'!E5</f>
        <v>0</v>
      </c>
      <c r="E12" s="2771">
        <f>'数据-取费表'!B27</f>
        <v>0</v>
      </c>
      <c r="F12" s="691"/>
      <c r="G12" s="694"/>
    </row>
    <row r="13" spans="1:25" s="1783" customFormat="1" ht="13.5" customHeight="1">
      <c r="A13" s="1987" t="s">
        <v>1793</v>
      </c>
      <c r="B13" s="692" t="s">
        <v>560</v>
      </c>
      <c r="C13" s="693">
        <f>ROUND(D13*E13/10000,0)</f>
        <v>3179</v>
      </c>
      <c r="D13" s="2771">
        <f>'数据-汇总表'!E6</f>
        <v>302725.5</v>
      </c>
      <c r="E13" s="2771">
        <f>'数据-取费表'!B28</f>
        <v>105</v>
      </c>
      <c r="F13" s="691"/>
      <c r="G13" s="694"/>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4" t="s">
        <v>563</v>
      </c>
      <c r="C16" s="2773">
        <f>ROUND(D16*E16/10000,0)</f>
        <v>0</v>
      </c>
      <c r="D16" s="2771">
        <v>0</v>
      </c>
      <c r="E16" s="2772">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0.77500000000000002</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c r="E1" s="1735"/>
      <c r="F1" s="2118"/>
      <c r="G1" s="1328"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5"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t="e">
        <f>C49</f>
        <v>#DIV/0!</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2" t="s">
        <v>471</v>
      </c>
      <c r="D4" s="3603"/>
      <c r="E4" s="3628" t="s">
        <v>472</v>
      </c>
      <c r="F4" s="3629"/>
      <c r="G4" s="3602" t="s">
        <v>473</v>
      </c>
      <c r="H4" s="3603"/>
      <c r="I4" s="3602" t="s">
        <v>474</v>
      </c>
      <c r="J4" s="3603"/>
      <c r="K4" s="787" t="s">
        <v>475</v>
      </c>
      <c r="L4" s="1741"/>
      <c r="M4" s="1742"/>
      <c r="N4" s="1742"/>
      <c r="O4" s="1742"/>
      <c r="P4" s="3604" t="s">
        <v>476</v>
      </c>
      <c r="Q4" s="3605"/>
      <c r="R4" s="3588" t="s">
        <v>472</v>
      </c>
      <c r="S4" s="3589"/>
      <c r="T4" s="3588" t="s">
        <v>473</v>
      </c>
      <c r="U4" s="3589"/>
      <c r="V4" s="3610" t="s">
        <v>474</v>
      </c>
      <c r="W4" s="3610"/>
      <c r="X4" s="1302"/>
      <c r="Y4" s="3588" t="s">
        <v>476</v>
      </c>
      <c r="Z4" s="3589"/>
      <c r="AA4" s="3583" t="s">
        <v>472</v>
      </c>
      <c r="AB4" s="3583" t="s">
        <v>473</v>
      </c>
      <c r="AC4" s="3583" t="s">
        <v>474</v>
      </c>
    </row>
    <row r="5" spans="1:29" ht="15">
      <c r="A5" s="466"/>
      <c r="B5" s="467"/>
      <c r="C5" s="3613" t="s">
        <v>2187</v>
      </c>
      <c r="D5" s="3614"/>
      <c r="E5" s="3630" t="s">
        <v>2188</v>
      </c>
      <c r="F5" s="3631"/>
      <c r="G5" s="3613" t="s">
        <v>2189</v>
      </c>
      <c r="H5" s="3614"/>
      <c r="I5" s="3613" t="s">
        <v>2190</v>
      </c>
      <c r="J5" s="3614"/>
      <c r="K5" s="788"/>
      <c r="L5" s="1741"/>
      <c r="M5" s="1742"/>
      <c r="N5" s="1742"/>
      <c r="O5" s="1742"/>
      <c r="P5" s="3606"/>
      <c r="Q5" s="3607"/>
      <c r="R5" s="3590"/>
      <c r="S5" s="3591"/>
      <c r="T5" s="3590"/>
      <c r="U5" s="3591"/>
      <c r="V5" s="3610"/>
      <c r="W5" s="3610"/>
      <c r="X5" s="1302"/>
      <c r="Y5" s="3590"/>
      <c r="Z5" s="3591"/>
      <c r="AA5" s="3584"/>
      <c r="AB5" s="3584"/>
      <c r="AC5" s="3584"/>
    </row>
    <row r="6" spans="1:29" ht="15.75" thickBot="1">
      <c r="A6" s="468"/>
      <c r="B6" s="469"/>
      <c r="C6" s="3611" t="s">
        <v>2191</v>
      </c>
      <c r="D6" s="3612"/>
      <c r="E6" s="3632" t="s">
        <v>2191</v>
      </c>
      <c r="F6" s="3633"/>
      <c r="G6" s="3611" t="s">
        <v>2191</v>
      </c>
      <c r="H6" s="3612"/>
      <c r="I6" s="3611" t="s">
        <v>2191</v>
      </c>
      <c r="J6" s="3612"/>
      <c r="K6" s="788" t="s">
        <v>477</v>
      </c>
      <c r="L6" s="1741"/>
      <c r="M6" s="1742"/>
      <c r="N6" s="1742"/>
      <c r="O6" s="1742"/>
      <c r="P6" s="3608"/>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SUMIF(58:58,YEAR(E7)&amp;"-"&amp;MONTH(E7),59:59)</f>
        <v>0</v>
      </c>
      <c r="G7" s="474"/>
      <c r="H7" s="471">
        <f>SUMIF(58:58,YEAR(G7)&amp;"-"&amp;MONTH(G7),59:59)</f>
        <v>0</v>
      </c>
      <c r="I7" s="474"/>
      <c r="J7" s="471">
        <f>SUMIF(58:58,YEAR(I7)&amp;"-"&amp;MONTH(I7),59:59)</f>
        <v>0</v>
      </c>
      <c r="K7" s="789"/>
      <c r="L7" s="1743"/>
      <c r="M7" s="1640"/>
      <c r="N7" s="1640"/>
      <c r="O7" s="1640"/>
      <c r="P7" s="3586" t="s">
        <v>479</v>
      </c>
      <c r="Q7" s="3595"/>
      <c r="R7" s="1303" t="s">
        <v>10</v>
      </c>
      <c r="S7" s="1304">
        <f t="shared" ref="S7:S15" si="0">F7</f>
        <v>0</v>
      </c>
      <c r="T7" s="1303" t="s">
        <v>10</v>
      </c>
      <c r="U7" s="1304">
        <f t="shared" ref="U7:U15" si="1">H7</f>
        <v>0</v>
      </c>
      <c r="V7" s="1303" t="s">
        <v>10</v>
      </c>
      <c r="W7" s="1304">
        <f t="shared" ref="W7:W15"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586" t="s">
        <v>482</v>
      </c>
      <c r="Q8" s="3587"/>
      <c r="R8" s="1303" t="s">
        <v>10</v>
      </c>
      <c r="S8" s="1304">
        <f t="shared" si="0"/>
        <v>0</v>
      </c>
      <c r="T8" s="1303" t="s">
        <v>10</v>
      </c>
      <c r="U8" s="1304">
        <f t="shared" si="1"/>
        <v>0</v>
      </c>
      <c r="V8" s="1303" t="s">
        <v>10</v>
      </c>
      <c r="W8" s="1304">
        <f t="shared" si="2"/>
        <v>0</v>
      </c>
      <c r="X8" s="1305"/>
      <c r="Y8" s="3586" t="s">
        <v>482</v>
      </c>
      <c r="Z8" s="3587"/>
      <c r="AA8" s="996" t="e">
        <f t="shared" ref="AA8:AA46" si="3">D8/F8</f>
        <v>#DIV/0!</v>
      </c>
      <c r="AB8" s="996" t="e">
        <f t="shared" ref="AB8:AB46" si="4">D8/H8</f>
        <v>#DIV/0!</v>
      </c>
      <c r="AC8" s="996" t="e">
        <f t="shared" ref="AC8:AC46" si="5">D8/J8</f>
        <v>#DIV/0!</v>
      </c>
    </row>
    <row r="9" spans="1:29" s="1059"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594" t="s">
        <v>484</v>
      </c>
      <c r="Q9" s="818"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3"/>
      <c r="B11" s="2217"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594"/>
      <c r="Q11" s="818" t="str">
        <f t="shared" si="6"/>
        <v>容积率</v>
      </c>
      <c r="R11" s="1303" t="s">
        <v>8</v>
      </c>
      <c r="S11" s="1304" t="e">
        <f t="shared" si="0"/>
        <v>#N/A</v>
      </c>
      <c r="T11" s="1303" t="s">
        <v>8</v>
      </c>
      <c r="U11" s="1304" t="e">
        <f t="shared" si="1"/>
        <v>#N/A</v>
      </c>
      <c r="V11" s="1303" t="s">
        <v>8</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4"/>
      <c r="Q12" s="818">
        <f t="shared" si="6"/>
        <v>111</v>
      </c>
      <c r="R12" s="1303" t="s">
        <v>8</v>
      </c>
      <c r="S12" s="1304">
        <f t="shared" si="0"/>
        <v>100</v>
      </c>
      <c r="T12" s="1303" t="s">
        <v>8</v>
      </c>
      <c r="U12" s="1304">
        <f t="shared" si="1"/>
        <v>100</v>
      </c>
      <c r="V12" s="1303" t="s">
        <v>8</v>
      </c>
      <c r="W12" s="1304">
        <f t="shared" si="2"/>
        <v>100</v>
      </c>
      <c r="X12" s="1305"/>
      <c r="Y12" s="3546"/>
      <c r="Z12" s="996">
        <f t="shared" si="7"/>
        <v>111</v>
      </c>
      <c r="AA12" s="996">
        <f>D12/F12</f>
        <v>1</v>
      </c>
      <c r="AB12" s="996">
        <f>D12/H12</f>
        <v>1</v>
      </c>
      <c r="AC12" s="996">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4"/>
      <c r="Q13" s="818">
        <f t="shared" si="6"/>
        <v>111</v>
      </c>
      <c r="R13" s="1303" t="s">
        <v>8</v>
      </c>
      <c r="S13" s="1304">
        <f t="shared" si="0"/>
        <v>100</v>
      </c>
      <c r="T13" s="1303" t="s">
        <v>8</v>
      </c>
      <c r="U13" s="1304">
        <f t="shared" si="1"/>
        <v>100</v>
      </c>
      <c r="V13" s="1303" t="s">
        <v>8</v>
      </c>
      <c r="W13" s="1304">
        <f t="shared" si="2"/>
        <v>100</v>
      </c>
      <c r="X13" s="1305"/>
      <c r="Y13" s="3546"/>
      <c r="Z13" s="996">
        <f t="shared" si="7"/>
        <v>111</v>
      </c>
      <c r="AA13" s="996">
        <f t="shared" si="3"/>
        <v>1</v>
      </c>
      <c r="AB13" s="996">
        <f t="shared" si="4"/>
        <v>1</v>
      </c>
      <c r="AC13" s="996">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4"/>
      <c r="Q14" s="818">
        <f t="shared" si="6"/>
        <v>111</v>
      </c>
      <c r="R14" s="1303" t="s">
        <v>8</v>
      </c>
      <c r="S14" s="1304">
        <f t="shared" si="0"/>
        <v>100</v>
      </c>
      <c r="T14" s="1303" t="s">
        <v>8</v>
      </c>
      <c r="U14" s="1304">
        <f t="shared" si="1"/>
        <v>100</v>
      </c>
      <c r="V14" s="1303" t="s">
        <v>8</v>
      </c>
      <c r="W14" s="1304">
        <f t="shared" si="2"/>
        <v>100</v>
      </c>
      <c r="X14" s="1305"/>
      <c r="Y14" s="3546"/>
      <c r="Z14" s="996">
        <f t="shared" si="7"/>
        <v>111</v>
      </c>
      <c r="AA14" s="996">
        <f t="shared" si="3"/>
        <v>1</v>
      </c>
      <c r="AB14" s="996">
        <f t="shared" si="4"/>
        <v>1</v>
      </c>
      <c r="AC14" s="996">
        <f t="shared" si="5"/>
        <v>1</v>
      </c>
    </row>
    <row r="15" spans="1:29" ht="15">
      <c r="A15" s="2207"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596" t="s">
        <v>489</v>
      </c>
      <c r="Q15" s="1306" t="str">
        <f t="shared" si="6"/>
        <v>居住社区成熟度</v>
      </c>
      <c r="R15" s="1307" t="s">
        <v>8</v>
      </c>
      <c r="S15" s="1308">
        <f t="shared" si="0"/>
        <v>100</v>
      </c>
      <c r="T15" s="1307" t="s">
        <v>8</v>
      </c>
      <c r="U15" s="1308">
        <f t="shared" si="1"/>
        <v>100</v>
      </c>
      <c r="V15" s="1307" t="s">
        <v>8</v>
      </c>
      <c r="W15" s="1308">
        <f t="shared" si="2"/>
        <v>100</v>
      </c>
      <c r="X15" s="1302"/>
      <c r="Y15" s="3596" t="s">
        <v>489</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597"/>
      <c r="Q16" s="1306"/>
      <c r="R16" s="1307"/>
      <c r="S16" s="1308"/>
      <c r="T16" s="1307"/>
      <c r="U16" s="1308"/>
      <c r="V16" s="1307"/>
      <c r="W16" s="1308"/>
      <c r="X16" s="1302"/>
      <c r="Y16" s="3597"/>
      <c r="Z16" s="1309"/>
      <c r="AA16" s="1309">
        <v>1</v>
      </c>
      <c r="AB16" s="1309">
        <v>1</v>
      </c>
      <c r="AC16" s="1309">
        <v>1</v>
      </c>
    </row>
    <row r="17" spans="1:29" ht="114">
      <c r="A17" s="482"/>
      <c r="B17" s="677" t="s">
        <v>262</v>
      </c>
      <c r="C17" s="801" t="str">
        <f>估价对象房地状况!C6</f>
        <v>估价对象周边道路状况一般、公共交通通达情况较差，有5、122路经过、停车便捷程度，综合评价交通便捷度一般</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597"/>
      <c r="Q17" s="1306" t="str">
        <f>B17</f>
        <v>交通便捷度</v>
      </c>
      <c r="R17" s="1307" t="s">
        <v>8</v>
      </c>
      <c r="S17" s="1308">
        <f>F17</f>
        <v>100</v>
      </c>
      <c r="T17" s="1307" t="s">
        <v>8</v>
      </c>
      <c r="U17" s="1308">
        <f>H17</f>
        <v>100</v>
      </c>
      <c r="V17" s="1307" t="s">
        <v>8</v>
      </c>
      <c r="W17" s="1308">
        <f>J17</f>
        <v>100</v>
      </c>
      <c r="X17" s="1302"/>
      <c r="Y17" s="359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597"/>
      <c r="Q18" s="1306"/>
      <c r="R18" s="1307"/>
      <c r="S18" s="1308"/>
      <c r="T18" s="1307"/>
      <c r="U18" s="1308"/>
      <c r="V18" s="1307"/>
      <c r="W18" s="1308"/>
      <c r="X18" s="1302"/>
      <c r="Y18" s="3597"/>
      <c r="Z18" s="1309"/>
      <c r="AA18" s="1309">
        <v>1</v>
      </c>
      <c r="AB18" s="1309">
        <v>1</v>
      </c>
      <c r="AC18" s="1309">
        <v>1</v>
      </c>
    </row>
    <row r="19" spans="1:29" ht="42.75">
      <c r="A19" s="482"/>
      <c r="B19" s="2059" t="s">
        <v>1829</v>
      </c>
      <c r="C19" s="801" t="str">
        <f>估价对象房地状况!C7</f>
        <v>估价对象所在区域公共配套设施齐备情况较差</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597"/>
      <c r="Q19" s="1306" t="str">
        <f>B19</f>
        <v>公共配套设施</v>
      </c>
      <c r="R19" s="1307" t="s">
        <v>8</v>
      </c>
      <c r="S19" s="1308">
        <f>F19</f>
        <v>100</v>
      </c>
      <c r="T19" s="1307" t="s">
        <v>8</v>
      </c>
      <c r="U19" s="1308">
        <f>H19</f>
        <v>100</v>
      </c>
      <c r="V19" s="1307" t="s">
        <v>8</v>
      </c>
      <c r="W19" s="1308">
        <f>J19</f>
        <v>100</v>
      </c>
      <c r="X19" s="1302"/>
      <c r="Y19" s="3597"/>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597"/>
      <c r="Q20" s="1306"/>
      <c r="R20" s="1307"/>
      <c r="S20" s="1308"/>
      <c r="T20" s="1307"/>
      <c r="U20" s="1308"/>
      <c r="V20" s="1307"/>
      <c r="W20" s="1308"/>
      <c r="X20" s="1302"/>
      <c r="Y20" s="3597"/>
      <c r="Z20" s="1309"/>
      <c r="AA20" s="1309">
        <v>1</v>
      </c>
      <c r="AB20" s="1309">
        <v>1</v>
      </c>
      <c r="AC20" s="1309">
        <v>1</v>
      </c>
    </row>
    <row r="21" spans="1:29" ht="15">
      <c r="A21" s="482"/>
      <c r="B21" s="2052" t="s">
        <v>1841</v>
      </c>
      <c r="C21" s="801" t="str">
        <f>估价对象房地状况!C8</f>
        <v>六通</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597"/>
      <c r="Q21" s="1306" t="str">
        <f>B21</f>
        <v>基础设施水平</v>
      </c>
      <c r="R21" s="1307" t="s">
        <v>8</v>
      </c>
      <c r="S21" s="1308">
        <f>F21</f>
        <v>100</v>
      </c>
      <c r="T21" s="1307" t="s">
        <v>8</v>
      </c>
      <c r="U21" s="1308">
        <f>H21</f>
        <v>100</v>
      </c>
      <c r="V21" s="1307" t="s">
        <v>8</v>
      </c>
      <c r="W21" s="1308">
        <f>J21</f>
        <v>100</v>
      </c>
      <c r="X21" s="1302"/>
      <c r="Y21" s="3597"/>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58"/>
      <c r="L22" s="1749"/>
      <c r="M22" s="1742"/>
      <c r="N22" s="1742"/>
      <c r="O22" s="1748"/>
      <c r="P22" s="3597"/>
      <c r="Q22" s="1306"/>
      <c r="R22" s="1307"/>
      <c r="S22" s="1308"/>
      <c r="T22" s="1307"/>
      <c r="U22" s="1308"/>
      <c r="V22" s="1307"/>
      <c r="W22" s="1308"/>
      <c r="X22" s="1302"/>
      <c r="Y22" s="3597"/>
      <c r="Z22" s="1309"/>
      <c r="AA22" s="1309">
        <v>1</v>
      </c>
      <c r="AB22" s="1309">
        <v>1</v>
      </c>
      <c r="AC22" s="1309">
        <v>1</v>
      </c>
    </row>
    <row r="23" spans="1:29" ht="57">
      <c r="A23" s="482"/>
      <c r="B23" s="677" t="s">
        <v>263</v>
      </c>
      <c r="C23" s="801" t="str">
        <f>估价对象房地状况!C9</f>
        <v>区域自然环境：；人文环境；综合评价环境状况较好</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597"/>
      <c r="Q23" s="1306" t="str">
        <f>B23</f>
        <v>自然及人文环境</v>
      </c>
      <c r="R23" s="1307" t="s">
        <v>8</v>
      </c>
      <c r="S23" s="1308">
        <f>F23</f>
        <v>100</v>
      </c>
      <c r="T23" s="1307" t="s">
        <v>8</v>
      </c>
      <c r="U23" s="1308">
        <f>H23</f>
        <v>100</v>
      </c>
      <c r="V23" s="1307" t="s">
        <v>8</v>
      </c>
      <c r="W23" s="1308">
        <f>J23</f>
        <v>100</v>
      </c>
      <c r="X23" s="1302"/>
      <c r="Y23" s="3597"/>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597"/>
      <c r="Q24" s="1306"/>
      <c r="R24" s="1307"/>
      <c r="S24" s="1308"/>
      <c r="T24" s="1307"/>
      <c r="U24" s="1308"/>
      <c r="V24" s="1307"/>
      <c r="W24" s="1308"/>
      <c r="X24" s="1302"/>
      <c r="Y24" s="3597"/>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597"/>
      <c r="Q25" s="1306" t="str">
        <f t="shared" ref="Q25:Q46" si="8">B25</f>
        <v>楼层-1</v>
      </c>
      <c r="R25" s="1307" t="s">
        <v>8</v>
      </c>
      <c r="S25" s="1308">
        <f>F25</f>
        <v>100</v>
      </c>
      <c r="T25" s="1307" t="s">
        <v>8</v>
      </c>
      <c r="U25" s="1308">
        <f>H25</f>
        <v>100</v>
      </c>
      <c r="V25" s="1307" t="s">
        <v>8</v>
      </c>
      <c r="W25" s="1308">
        <f>J25</f>
        <v>100</v>
      </c>
      <c r="X25" s="1302"/>
      <c r="Y25" s="3597"/>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597"/>
      <c r="Q26" s="1306" t="str">
        <f t="shared" si="8"/>
        <v>朝向</v>
      </c>
      <c r="R26" s="1307" t="s">
        <v>8</v>
      </c>
      <c r="S26" s="1308">
        <f>F26</f>
        <v>100</v>
      </c>
      <c r="T26" s="1307" t="s">
        <v>8</v>
      </c>
      <c r="U26" s="1308">
        <f>H26</f>
        <v>100</v>
      </c>
      <c r="V26" s="1307" t="s">
        <v>8</v>
      </c>
      <c r="W26" s="1308">
        <f>J26</f>
        <v>100</v>
      </c>
      <c r="X26" s="1302"/>
      <c r="Y26" s="3597"/>
      <c r="Z26" s="1309" t="str">
        <f>Q26</f>
        <v>朝向</v>
      </c>
      <c r="AA26" s="1309">
        <f t="shared" si="3"/>
        <v>1</v>
      </c>
      <c r="AB26" s="1309">
        <f t="shared" si="4"/>
        <v>1</v>
      </c>
      <c r="AC26" s="1309">
        <f t="shared" si="5"/>
        <v>1</v>
      </c>
    </row>
    <row r="27" spans="1:29" s="1059"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597"/>
      <c r="Q27" s="818" t="str">
        <f t="shared" si="8"/>
        <v>道路级别</v>
      </c>
      <c r="R27" s="1303" t="s">
        <v>8</v>
      </c>
      <c r="S27" s="1304">
        <f>F27</f>
        <v>100</v>
      </c>
      <c r="T27" s="1303" t="s">
        <v>8</v>
      </c>
      <c r="U27" s="1304">
        <f>H27</f>
        <v>100</v>
      </c>
      <c r="V27" s="1303" t="s">
        <v>8</v>
      </c>
      <c r="W27" s="1304">
        <f>J27</f>
        <v>100</v>
      </c>
      <c r="X27" s="1305"/>
      <c r="Y27" s="3597"/>
      <c r="Z27" s="996"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597"/>
      <c r="Q28" s="1306">
        <f t="shared" si="8"/>
        <v>111</v>
      </c>
      <c r="R28" s="1307" t="s">
        <v>8</v>
      </c>
      <c r="S28" s="1308">
        <f t="shared" ref="S28:S46" si="9">F28</f>
        <v>100</v>
      </c>
      <c r="T28" s="1307" t="s">
        <v>8</v>
      </c>
      <c r="U28" s="1308">
        <f t="shared" ref="U28:U46" si="10">H28</f>
        <v>100</v>
      </c>
      <c r="V28" s="1307" t="s">
        <v>8</v>
      </c>
      <c r="W28" s="1308">
        <f t="shared" ref="W28:W46" si="11">J28</f>
        <v>100</v>
      </c>
      <c r="X28" s="1302"/>
      <c r="Y28" s="3597"/>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597"/>
      <c r="Q29" s="1306">
        <f t="shared" si="8"/>
        <v>111</v>
      </c>
      <c r="R29" s="1307" t="s">
        <v>8</v>
      </c>
      <c r="S29" s="1308">
        <f t="shared" si="9"/>
        <v>100</v>
      </c>
      <c r="T29" s="1307" t="s">
        <v>8</v>
      </c>
      <c r="U29" s="1308">
        <f t="shared" si="10"/>
        <v>100</v>
      </c>
      <c r="V29" s="1307" t="s">
        <v>8</v>
      </c>
      <c r="W29" s="1308">
        <f t="shared" si="11"/>
        <v>100</v>
      </c>
      <c r="X29" s="1302"/>
      <c r="Y29" s="3597"/>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597"/>
      <c r="Q30" s="1306">
        <f t="shared" si="8"/>
        <v>111</v>
      </c>
      <c r="R30" s="1307" t="s">
        <v>8</v>
      </c>
      <c r="S30" s="1308">
        <f t="shared" si="9"/>
        <v>100</v>
      </c>
      <c r="T30" s="1307" t="s">
        <v>8</v>
      </c>
      <c r="U30" s="1308">
        <f t="shared" si="10"/>
        <v>100</v>
      </c>
      <c r="V30" s="1307" t="s">
        <v>8</v>
      </c>
      <c r="W30" s="1308">
        <f t="shared" si="11"/>
        <v>100</v>
      </c>
      <c r="X30" s="1302"/>
      <c r="Y30" s="3597"/>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597"/>
      <c r="Q31" s="1306">
        <f t="shared" si="8"/>
        <v>111</v>
      </c>
      <c r="R31" s="1307" t="s">
        <v>8</v>
      </c>
      <c r="S31" s="1308">
        <f t="shared" si="9"/>
        <v>100</v>
      </c>
      <c r="T31" s="1307" t="s">
        <v>8</v>
      </c>
      <c r="U31" s="1308">
        <f t="shared" si="10"/>
        <v>100</v>
      </c>
      <c r="V31" s="1307" t="s">
        <v>8</v>
      </c>
      <c r="W31" s="1308">
        <f t="shared" si="11"/>
        <v>100</v>
      </c>
      <c r="X31" s="1302"/>
      <c r="Y31" s="3597"/>
      <c r="Z31" s="1309">
        <f t="shared" si="12"/>
        <v>111</v>
      </c>
      <c r="AA31" s="1309">
        <f t="shared" si="3"/>
        <v>1</v>
      </c>
      <c r="AB31" s="1309">
        <f t="shared" si="4"/>
        <v>1</v>
      </c>
      <c r="AC31" s="1309">
        <f t="shared" si="5"/>
        <v>1</v>
      </c>
    </row>
    <row r="32" spans="1:29" ht="15">
      <c r="A32" s="2204"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598" t="s">
        <v>499</v>
      </c>
      <c r="Q32" s="1306" t="str">
        <f t="shared" si="8"/>
        <v>建筑类型</v>
      </c>
      <c r="R32" s="1307" t="s">
        <v>8</v>
      </c>
      <c r="S32" s="1308">
        <f t="shared" si="9"/>
        <v>100</v>
      </c>
      <c r="T32" s="1307" t="s">
        <v>8</v>
      </c>
      <c r="U32" s="1308">
        <f t="shared" si="10"/>
        <v>100</v>
      </c>
      <c r="V32" s="1307" t="s">
        <v>8</v>
      </c>
      <c r="W32" s="1308">
        <f t="shared" si="11"/>
        <v>100</v>
      </c>
      <c r="X32" s="1302"/>
      <c r="Y32" s="3599" t="s">
        <v>499</v>
      </c>
      <c r="Z32" s="1309" t="str">
        <f t="shared" si="12"/>
        <v>建筑类型</v>
      </c>
      <c r="AA32" s="1309">
        <f t="shared" si="3"/>
        <v>1</v>
      </c>
      <c r="AB32" s="1309">
        <f t="shared" si="4"/>
        <v>1</v>
      </c>
      <c r="AC32" s="1309">
        <f t="shared" si="5"/>
        <v>1</v>
      </c>
    </row>
    <row r="33" spans="1:29" s="1133"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599"/>
      <c r="Q33" s="819" t="str">
        <f t="shared" si="8"/>
        <v>项目建筑规模</v>
      </c>
      <c r="R33" s="1310" t="s">
        <v>8</v>
      </c>
      <c r="S33" s="1311" t="e">
        <f t="shared" si="9"/>
        <v>#N/A</v>
      </c>
      <c r="T33" s="1310" t="s">
        <v>8</v>
      </c>
      <c r="U33" s="1311" t="e">
        <f t="shared" si="10"/>
        <v>#N/A</v>
      </c>
      <c r="V33" s="1310" t="s">
        <v>8</v>
      </c>
      <c r="W33" s="1311" t="e">
        <f t="shared" si="11"/>
        <v>#N/A</v>
      </c>
      <c r="X33" s="1312"/>
      <c r="Y33" s="3599"/>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599"/>
      <c r="Q34" s="1306" t="str">
        <f t="shared" si="8"/>
        <v>建筑结构</v>
      </c>
      <c r="R34" s="1307" t="s">
        <v>8</v>
      </c>
      <c r="S34" s="1308">
        <f t="shared" si="9"/>
        <v>100</v>
      </c>
      <c r="T34" s="1307" t="s">
        <v>8</v>
      </c>
      <c r="U34" s="1308">
        <f t="shared" si="10"/>
        <v>100</v>
      </c>
      <c r="V34" s="1307" t="s">
        <v>8</v>
      </c>
      <c r="W34" s="1308">
        <f t="shared" si="11"/>
        <v>100</v>
      </c>
      <c r="X34" s="1302"/>
      <c r="Y34" s="3599"/>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599"/>
      <c r="Q35" s="1306" t="str">
        <f t="shared" si="8"/>
        <v>建筑品质</v>
      </c>
      <c r="R35" s="1307" t="s">
        <v>8</v>
      </c>
      <c r="S35" s="1308">
        <f t="shared" si="9"/>
        <v>100</v>
      </c>
      <c r="T35" s="1307" t="s">
        <v>8</v>
      </c>
      <c r="U35" s="1308">
        <f t="shared" si="10"/>
        <v>100</v>
      </c>
      <c r="V35" s="1307" t="s">
        <v>8</v>
      </c>
      <c r="W35" s="1308">
        <f t="shared" si="11"/>
        <v>100</v>
      </c>
      <c r="X35" s="1302"/>
      <c r="Y35" s="3599"/>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599"/>
      <c r="Q36" s="1306" t="str">
        <f t="shared" si="8"/>
        <v>公共部分装修</v>
      </c>
      <c r="R36" s="1307" t="s">
        <v>8</v>
      </c>
      <c r="S36" s="1308">
        <f t="shared" si="9"/>
        <v>100</v>
      </c>
      <c r="T36" s="1307" t="s">
        <v>8</v>
      </c>
      <c r="U36" s="1308">
        <f t="shared" si="10"/>
        <v>100</v>
      </c>
      <c r="V36" s="1307" t="s">
        <v>8</v>
      </c>
      <c r="W36" s="1308">
        <f t="shared" si="11"/>
        <v>100</v>
      </c>
      <c r="X36" s="1302"/>
      <c r="Y36" s="3599"/>
      <c r="Z36" s="1309" t="str">
        <f t="shared" si="12"/>
        <v>公共部分装修</v>
      </c>
      <c r="AA36" s="1309">
        <f t="shared" si="3"/>
        <v>1</v>
      </c>
      <c r="AB36" s="1309">
        <f t="shared" si="4"/>
        <v>1</v>
      </c>
      <c r="AC36" s="1309">
        <f t="shared" si="5"/>
        <v>1</v>
      </c>
    </row>
    <row r="37" spans="1:29" s="1059"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599"/>
      <c r="Q37" s="818" t="str">
        <f t="shared" si="8"/>
        <v>成新度</v>
      </c>
      <c r="R37" s="1303" t="s">
        <v>8</v>
      </c>
      <c r="S37" s="1304" t="e">
        <f t="shared" si="9"/>
        <v>#N/A</v>
      </c>
      <c r="T37" s="1303" t="s">
        <v>8</v>
      </c>
      <c r="U37" s="1304" t="e">
        <f t="shared" si="10"/>
        <v>#N/A</v>
      </c>
      <c r="V37" s="1303" t="s">
        <v>8</v>
      </c>
      <c r="W37" s="1304" t="e">
        <f t="shared" si="11"/>
        <v>#N/A</v>
      </c>
      <c r="X37" s="1305"/>
      <c r="Y37" s="3599"/>
      <c r="Z37" s="996" t="str">
        <f t="shared" si="12"/>
        <v>成新度</v>
      </c>
      <c r="AA37" s="996" t="e">
        <f t="shared" si="3"/>
        <v>#N/A</v>
      </c>
      <c r="AB37" s="996" t="e">
        <f t="shared" si="4"/>
        <v>#N/A</v>
      </c>
      <c r="AC37" s="996"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599" t="s">
        <v>499</v>
      </c>
      <c r="Q38" s="1306" t="str">
        <f t="shared" si="8"/>
        <v>物业管理</v>
      </c>
      <c r="R38" s="1307" t="s">
        <v>8</v>
      </c>
      <c r="S38" s="1308">
        <f t="shared" si="9"/>
        <v>100</v>
      </c>
      <c r="T38" s="1307" t="s">
        <v>8</v>
      </c>
      <c r="U38" s="1308">
        <f t="shared" si="10"/>
        <v>100</v>
      </c>
      <c r="V38" s="1307" t="s">
        <v>8</v>
      </c>
      <c r="W38" s="1308">
        <f t="shared" si="11"/>
        <v>100</v>
      </c>
      <c r="X38" s="1302"/>
      <c r="Y38" s="3599"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599"/>
      <c r="Q39" s="1306" t="str">
        <f t="shared" si="8"/>
        <v>市政基础设施</v>
      </c>
      <c r="R39" s="1307" t="s">
        <v>8</v>
      </c>
      <c r="S39" s="1308">
        <f t="shared" si="9"/>
        <v>100</v>
      </c>
      <c r="T39" s="1307" t="s">
        <v>8</v>
      </c>
      <c r="U39" s="1308">
        <f t="shared" si="10"/>
        <v>100</v>
      </c>
      <c r="V39" s="1307" t="s">
        <v>8</v>
      </c>
      <c r="W39" s="1308">
        <f t="shared" si="11"/>
        <v>100</v>
      </c>
      <c r="X39" s="1302"/>
      <c r="Y39" s="3599"/>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599"/>
      <c r="Q40" s="1306" t="str">
        <f t="shared" si="8"/>
        <v>房型</v>
      </c>
      <c r="R40" s="1307" t="s">
        <v>8</v>
      </c>
      <c r="S40" s="1308">
        <f t="shared" si="9"/>
        <v>100</v>
      </c>
      <c r="T40" s="1307" t="s">
        <v>8</v>
      </c>
      <c r="U40" s="1308">
        <f t="shared" si="10"/>
        <v>100</v>
      </c>
      <c r="V40" s="1307" t="s">
        <v>8</v>
      </c>
      <c r="W40" s="1308">
        <f t="shared" si="11"/>
        <v>100</v>
      </c>
      <c r="X40" s="1302"/>
      <c r="Y40" s="3599"/>
      <c r="Z40" s="1309" t="str">
        <f t="shared" si="12"/>
        <v>房型</v>
      </c>
      <c r="AA40" s="1309">
        <f t="shared" si="3"/>
        <v>1</v>
      </c>
      <c r="AB40" s="1309">
        <f t="shared" si="4"/>
        <v>1</v>
      </c>
      <c r="AC40" s="1309">
        <f t="shared" si="5"/>
        <v>1</v>
      </c>
    </row>
    <row r="41" spans="1:29" s="1133"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599"/>
      <c r="Q41" s="819" t="str">
        <f t="shared" si="8"/>
        <v>单套/主力户型建筑面积</v>
      </c>
      <c r="R41" s="1310" t="s">
        <v>8</v>
      </c>
      <c r="S41" s="1311">
        <f t="shared" si="9"/>
        <v>100</v>
      </c>
      <c r="T41" s="1310" t="s">
        <v>8</v>
      </c>
      <c r="U41" s="1311">
        <f t="shared" si="10"/>
        <v>100</v>
      </c>
      <c r="V41" s="1310" t="s">
        <v>8</v>
      </c>
      <c r="W41" s="1311">
        <f t="shared" si="11"/>
        <v>100</v>
      </c>
      <c r="X41" s="1312"/>
      <c r="Y41" s="3599"/>
      <c r="Z41" s="1313" t="str">
        <f t="shared" si="12"/>
        <v>单套/主力户型建筑面积</v>
      </c>
      <c r="AA41" s="1309">
        <f t="shared" si="3"/>
        <v>1</v>
      </c>
      <c r="AB41" s="1309">
        <f t="shared" si="4"/>
        <v>1</v>
      </c>
      <c r="AC41" s="1309">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599"/>
      <c r="Q42" s="1306" t="str">
        <f t="shared" si="8"/>
        <v>内部装修</v>
      </c>
      <c r="R42" s="1307" t="s">
        <v>8</v>
      </c>
      <c r="S42" s="1308">
        <f t="shared" si="9"/>
        <v>100</v>
      </c>
      <c r="T42" s="1307" t="s">
        <v>8</v>
      </c>
      <c r="U42" s="1308">
        <f t="shared" si="10"/>
        <v>100</v>
      </c>
      <c r="V42" s="1307" t="s">
        <v>8</v>
      </c>
      <c r="W42" s="1308">
        <f t="shared" si="11"/>
        <v>100</v>
      </c>
      <c r="X42" s="1302"/>
      <c r="Y42" s="3599"/>
      <c r="Z42" s="1309" t="str">
        <f t="shared" si="12"/>
        <v>内部装修</v>
      </c>
      <c r="AA42" s="1309">
        <f t="shared" si="3"/>
        <v>1</v>
      </c>
      <c r="AB42" s="1309">
        <f t="shared" si="4"/>
        <v>1</v>
      </c>
      <c r="AC42" s="1309">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599"/>
      <c r="Q43" s="1306" t="str">
        <f t="shared" si="8"/>
        <v>内部装修维护情况</v>
      </c>
      <c r="R43" s="1307" t="s">
        <v>8</v>
      </c>
      <c r="S43" s="1308">
        <f t="shared" si="9"/>
        <v>100</v>
      </c>
      <c r="T43" s="1307" t="s">
        <v>8</v>
      </c>
      <c r="U43" s="1308">
        <f t="shared" si="10"/>
        <v>100</v>
      </c>
      <c r="V43" s="1307" t="s">
        <v>8</v>
      </c>
      <c r="W43" s="1308">
        <f t="shared" si="11"/>
        <v>100</v>
      </c>
      <c r="X43" s="1302"/>
      <c r="Y43" s="3599"/>
      <c r="Z43" s="1309" t="str">
        <f t="shared" si="12"/>
        <v>内部装修维护情况</v>
      </c>
      <c r="AA43" s="1309">
        <f t="shared" si="3"/>
        <v>1</v>
      </c>
      <c r="AB43" s="1309">
        <f t="shared" si="4"/>
        <v>1</v>
      </c>
      <c r="AC43" s="1309">
        <f t="shared" si="5"/>
        <v>1</v>
      </c>
    </row>
    <row r="44" spans="1:29" s="1059"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599"/>
      <c r="Q44" s="818">
        <f t="shared" si="8"/>
        <v>111</v>
      </c>
      <c r="R44" s="1303" t="s">
        <v>8</v>
      </c>
      <c r="S44" s="1304">
        <f t="shared" si="9"/>
        <v>100</v>
      </c>
      <c r="T44" s="1303" t="s">
        <v>8</v>
      </c>
      <c r="U44" s="1304">
        <f t="shared" si="10"/>
        <v>100</v>
      </c>
      <c r="V44" s="1303" t="s">
        <v>8</v>
      </c>
      <c r="W44" s="1304">
        <f t="shared" si="11"/>
        <v>100</v>
      </c>
      <c r="X44" s="1305"/>
      <c r="Y44" s="3599"/>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599"/>
      <c r="Q45" s="1306">
        <f t="shared" si="8"/>
        <v>111</v>
      </c>
      <c r="R45" s="1307" t="s">
        <v>8</v>
      </c>
      <c r="S45" s="1308">
        <f t="shared" si="9"/>
        <v>100</v>
      </c>
      <c r="T45" s="1307" t="s">
        <v>8</v>
      </c>
      <c r="U45" s="1308">
        <f t="shared" si="10"/>
        <v>100</v>
      </c>
      <c r="V45" s="1307" t="s">
        <v>8</v>
      </c>
      <c r="W45" s="1308">
        <f t="shared" si="11"/>
        <v>100</v>
      </c>
      <c r="X45" s="1302"/>
      <c r="Y45" s="3599"/>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10"/>
      <c r="Q46" s="1306">
        <f t="shared" si="8"/>
        <v>111</v>
      </c>
      <c r="R46" s="1307" t="s">
        <v>7</v>
      </c>
      <c r="S46" s="1308">
        <f t="shared" si="9"/>
        <v>100</v>
      </c>
      <c r="T46" s="1307" t="s">
        <v>7</v>
      </c>
      <c r="U46" s="1308">
        <f t="shared" si="10"/>
        <v>100</v>
      </c>
      <c r="V46" s="1307" t="s">
        <v>7</v>
      </c>
      <c r="W46" s="1308">
        <f t="shared" si="11"/>
        <v>100</v>
      </c>
      <c r="X46" s="1302"/>
      <c r="Y46" s="3710"/>
      <c r="Z46" s="1309">
        <f t="shared" si="12"/>
        <v>111</v>
      </c>
      <c r="AA46" s="1309">
        <f t="shared" si="3"/>
        <v>1</v>
      </c>
      <c r="AB46" s="1309">
        <f t="shared" si="4"/>
        <v>1</v>
      </c>
      <c r="AC46" s="1309">
        <f t="shared" si="5"/>
        <v>1</v>
      </c>
    </row>
    <row r="47" spans="1:29" ht="15">
      <c r="A47" s="556" t="s">
        <v>683</v>
      </c>
      <c r="B47" s="812"/>
      <c r="C47" s="2081" t="s">
        <v>6</v>
      </c>
      <c r="D47" s="559"/>
      <c r="E47" s="560"/>
      <c r="F47" s="561"/>
      <c r="G47" s="562"/>
      <c r="H47" s="563"/>
      <c r="I47" s="560"/>
      <c r="J47" s="563"/>
      <c r="K47" s="1331"/>
      <c r="L47" s="1751"/>
      <c r="M47" s="1742"/>
      <c r="N47" s="1742"/>
      <c r="O47" s="1742"/>
      <c r="P47" s="3594" t="str">
        <f>A47</f>
        <v>成交单价（元/平方米）</v>
      </c>
      <c r="Q47" s="3594"/>
      <c r="R47" s="3610">
        <f>E47</f>
        <v>0</v>
      </c>
      <c r="S47" s="3610"/>
      <c r="T47" s="3610">
        <f>G47</f>
        <v>0</v>
      </c>
      <c r="U47" s="3610"/>
      <c r="V47" s="3610">
        <f>I47</f>
        <v>0</v>
      </c>
      <c r="W47" s="3610"/>
      <c r="X47" s="799"/>
      <c r="Y47" s="1314"/>
      <c r="Z47" s="799"/>
      <c r="AA47" s="799"/>
      <c r="AB47" s="799"/>
      <c r="AC47" s="799"/>
    </row>
    <row r="48" spans="1:29" ht="15.75" thickBot="1">
      <c r="A48" s="564" t="s">
        <v>2042</v>
      </c>
      <c r="B48" s="813"/>
      <c r="C48" s="2082" t="e">
        <f>R49</f>
        <v>#DIV/0!</v>
      </c>
      <c r="D48" s="2550" t="s">
        <v>2256</v>
      </c>
      <c r="E48" s="2083" t="e">
        <f>R48</f>
        <v>#DIV/0!</v>
      </c>
      <c r="F48" s="2551"/>
      <c r="G48" s="2082" t="e">
        <f>T48</f>
        <v>#DIV/0!</v>
      </c>
      <c r="H48" s="2551"/>
      <c r="I48" s="2083" t="e">
        <f>V48</f>
        <v>#DIV/0!</v>
      </c>
      <c r="J48" s="2551"/>
      <c r="K48" s="2558">
        <f>F48+H48+J48</f>
        <v>0</v>
      </c>
      <c r="L48" s="1751"/>
      <c r="M48" s="1742"/>
      <c r="N48" s="1742"/>
      <c r="O48" s="1742"/>
      <c r="P48" s="3594" t="str">
        <f>A48</f>
        <v>比较价格（元/平方米）</v>
      </c>
      <c r="Q48" s="3594"/>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799"/>
      <c r="Y48" s="799"/>
      <c r="Z48" s="799"/>
      <c r="AA48" s="799"/>
      <c r="AB48" s="799"/>
      <c r="AC48" s="799"/>
    </row>
    <row r="49" spans="1:29" ht="15.75" thickBot="1">
      <c r="A49" s="568" t="s">
        <v>2193</v>
      </c>
      <c r="B49" s="569"/>
      <c r="C49" s="469" t="e">
        <f>R49</f>
        <v>#DIV/0!</v>
      </c>
      <c r="D49" s="469"/>
      <c r="E49" s="469"/>
      <c r="F49" s="469"/>
      <c r="G49" s="469"/>
      <c r="H49" s="469"/>
      <c r="I49" s="469"/>
      <c r="J49" s="469"/>
      <c r="K49" s="1332"/>
      <c r="L49" s="1751"/>
      <c r="M49" s="1742"/>
      <c r="N49" s="1742"/>
      <c r="O49" s="1742"/>
      <c r="P49" s="3600" t="str">
        <f>A49</f>
        <v>估价对象XX用房的比较价格（楼面单价，元/平方米）</v>
      </c>
      <c r="Q49" s="3601"/>
      <c r="R49" s="3709" t="e">
        <f>IF(F1="售价",ROUND(IF(D48="简单平均",AVERAGE(R48:V48),R48*F48+T48*H48+V48*J48),0),ROUND(IF(D48="简单平均",AVERAGE(R48:V48),R48*F48+T48*H48+V48*J48),1))</f>
        <v>#DIV/0!</v>
      </c>
      <c r="S49" s="3709"/>
      <c r="T49" s="3709"/>
      <c r="U49" s="3709"/>
      <c r="V49" s="3709"/>
      <c r="W49" s="3709"/>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2023-5</v>
      </c>
      <c r="D58" s="2115">
        <f>EDATE(C58,-1)</f>
        <v>45017</v>
      </c>
      <c r="E58" s="2115">
        <f t="shared" ref="E58:O58" si="13">EDATE(D58,-1)</f>
        <v>44986</v>
      </c>
      <c r="F58" s="2115">
        <f t="shared" si="13"/>
        <v>44958</v>
      </c>
      <c r="G58" s="2115">
        <f t="shared" si="13"/>
        <v>44927</v>
      </c>
      <c r="H58" s="2115">
        <f t="shared" si="13"/>
        <v>44896</v>
      </c>
      <c r="I58" s="2115">
        <f t="shared" si="13"/>
        <v>44866</v>
      </c>
      <c r="J58" s="2115">
        <f t="shared" si="13"/>
        <v>44835</v>
      </c>
      <c r="K58" s="2115">
        <f t="shared" si="13"/>
        <v>44805</v>
      </c>
      <c r="L58" s="2115">
        <f t="shared" si="13"/>
        <v>44774</v>
      </c>
      <c r="M58" s="2115">
        <f t="shared" si="13"/>
        <v>44743</v>
      </c>
      <c r="N58" s="2115">
        <f t="shared" si="13"/>
        <v>44713</v>
      </c>
      <c r="O58" s="2115">
        <f t="shared" si="13"/>
        <v>44682</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5" zoomScale="85" zoomScaleNormal="60" zoomScaleSheetLayoutView="85" workbookViewId="0">
      <selection activeCell="R49" sqref="R49:W49"/>
    </sheetView>
  </sheetViews>
  <sheetFormatPr defaultColWidth="9" defaultRowHeight="14.25"/>
  <cols>
    <col min="1" max="1" width="10.5" style="1131" customWidth="1"/>
    <col min="2" max="2" width="15.75" style="1131" customWidth="1"/>
    <col min="3" max="3" width="1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t="s">
        <v>2736</v>
      </c>
      <c r="E1" s="457"/>
      <c r="F1" s="2118" t="s">
        <v>3375</v>
      </c>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f>ROUND(B3*D3/10000,0)</f>
        <v>215692</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f>C49</f>
        <v>7125</v>
      </c>
      <c r="C3" s="786" t="s">
        <v>669</v>
      </c>
      <c r="D3" s="785">
        <f>SUMIF('数据-汇总表'!$C19:$C33,D1,'数据-汇总表'!$E19:$E33)</f>
        <v>302725.5</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2" t="s">
        <v>471</v>
      </c>
      <c r="D4" s="3603"/>
      <c r="E4" s="3628" t="s">
        <v>472</v>
      </c>
      <c r="F4" s="3629"/>
      <c r="G4" s="3602" t="s">
        <v>473</v>
      </c>
      <c r="H4" s="3603"/>
      <c r="I4" s="3602" t="s">
        <v>474</v>
      </c>
      <c r="J4" s="3603"/>
      <c r="K4" s="465" t="s">
        <v>475</v>
      </c>
      <c r="L4" s="1741"/>
      <c r="M4" s="1742"/>
      <c r="N4" s="1742"/>
      <c r="O4" s="1742"/>
      <c r="P4" s="3604" t="s">
        <v>476</v>
      </c>
      <c r="Q4" s="3605"/>
      <c r="R4" s="3588" t="s">
        <v>472</v>
      </c>
      <c r="S4" s="3589"/>
      <c r="T4" s="3588" t="s">
        <v>473</v>
      </c>
      <c r="U4" s="3589"/>
      <c r="V4" s="3610" t="s">
        <v>474</v>
      </c>
      <c r="W4" s="3610"/>
      <c r="X4" s="1302"/>
      <c r="Y4" s="3588" t="s">
        <v>476</v>
      </c>
      <c r="Z4" s="3589"/>
      <c r="AA4" s="3583" t="s">
        <v>472</v>
      </c>
      <c r="AB4" s="3610" t="s">
        <v>473</v>
      </c>
      <c r="AC4" s="3583" t="s">
        <v>474</v>
      </c>
    </row>
    <row r="5" spans="1:29" ht="15">
      <c r="A5" s="466"/>
      <c r="B5" s="467"/>
      <c r="C5" s="3613" t="s">
        <v>2187</v>
      </c>
      <c r="D5" s="3614"/>
      <c r="E5" s="3711" t="s">
        <v>3444</v>
      </c>
      <c r="F5" s="3631"/>
      <c r="G5" s="3712" t="s">
        <v>3445</v>
      </c>
      <c r="H5" s="3614"/>
      <c r="I5" s="3712" t="s">
        <v>3446</v>
      </c>
      <c r="J5" s="3614"/>
      <c r="K5" s="465"/>
      <c r="L5" s="1741"/>
      <c r="M5" s="1742"/>
      <c r="N5" s="1742"/>
      <c r="O5" s="1742"/>
      <c r="P5" s="3606"/>
      <c r="Q5" s="3607"/>
      <c r="R5" s="3590"/>
      <c r="S5" s="3591"/>
      <c r="T5" s="3590"/>
      <c r="U5" s="3591"/>
      <c r="V5" s="3610"/>
      <c r="W5" s="3610"/>
      <c r="X5" s="1302"/>
      <c r="Y5" s="3590"/>
      <c r="Z5" s="3591"/>
      <c r="AA5" s="3584"/>
      <c r="AB5" s="3610"/>
      <c r="AC5" s="3584"/>
    </row>
    <row r="6" spans="1:29" ht="15.75" thickBot="1">
      <c r="A6" s="468"/>
      <c r="B6" s="469"/>
      <c r="C6" s="3611" t="s">
        <v>2191</v>
      </c>
      <c r="D6" s="3612"/>
      <c r="E6" s="3632" t="s">
        <v>2191</v>
      </c>
      <c r="F6" s="3633"/>
      <c r="G6" s="3611" t="s">
        <v>2191</v>
      </c>
      <c r="H6" s="3612"/>
      <c r="I6" s="3611" t="s">
        <v>2191</v>
      </c>
      <c r="J6" s="3612"/>
      <c r="K6" s="465" t="s">
        <v>477</v>
      </c>
      <c r="L6" s="1741"/>
      <c r="M6" s="1742"/>
      <c r="N6" s="1742"/>
      <c r="O6" s="1742"/>
      <c r="P6" s="3608"/>
      <c r="Q6" s="3609"/>
      <c r="R6" s="3590"/>
      <c r="S6" s="3591"/>
      <c r="T6" s="3592"/>
      <c r="U6" s="3593"/>
      <c r="V6" s="3610"/>
      <c r="W6" s="3610"/>
      <c r="X6" s="1302"/>
      <c r="Y6" s="3592"/>
      <c r="Z6" s="3593"/>
      <c r="AA6" s="3585"/>
      <c r="AB6" s="3610"/>
      <c r="AC6" s="3585"/>
    </row>
    <row r="7" spans="1:29" s="1059" customFormat="1" ht="15.75" thickBot="1">
      <c r="A7" s="2209"/>
      <c r="B7" s="2216" t="s">
        <v>478</v>
      </c>
      <c r="C7" s="470">
        <f>'数据-取费表'!B2</f>
        <v>45057</v>
      </c>
      <c r="D7" s="471">
        <v>100</v>
      </c>
      <c r="E7" s="472">
        <v>45017</v>
      </c>
      <c r="F7" s="473">
        <f>SUMIF(58:58,YEAR(E7)&amp;"-"&amp;MONTH(E7),59:59)</f>
        <v>100</v>
      </c>
      <c r="G7" s="472">
        <v>45017</v>
      </c>
      <c r="H7" s="471">
        <f>SUMIF(58:58,YEAR(G7)&amp;"-"&amp;MONTH(G7),59:59)</f>
        <v>100</v>
      </c>
      <c r="I7" s="472">
        <v>45017</v>
      </c>
      <c r="J7" s="471">
        <f>SUMIF(58:58,YEAR(I7)&amp;"-"&amp;MONTH(I7),59:59)</f>
        <v>100</v>
      </c>
      <c r="K7" s="88"/>
      <c r="L7" s="1743"/>
      <c r="M7" s="1640"/>
      <c r="N7" s="1640"/>
      <c r="O7" s="1640"/>
      <c r="P7" s="3586" t="s">
        <v>479</v>
      </c>
      <c r="Q7" s="3595"/>
      <c r="R7" s="1303" t="s">
        <v>5</v>
      </c>
      <c r="S7" s="1304">
        <f t="shared" ref="S7:S15" si="0">F7</f>
        <v>100</v>
      </c>
      <c r="T7" s="1303" t="s">
        <v>5</v>
      </c>
      <c r="U7" s="1304">
        <f t="shared" ref="U7:U15" si="1">H7</f>
        <v>100</v>
      </c>
      <c r="V7" s="1303" t="s">
        <v>5</v>
      </c>
      <c r="W7" s="1304">
        <f t="shared" ref="W7:W15" si="2">J7</f>
        <v>100</v>
      </c>
      <c r="X7" s="1305"/>
      <c r="Y7" s="3586" t="s">
        <v>479</v>
      </c>
      <c r="Z7" s="3587"/>
      <c r="AA7" s="996">
        <f>D7/F7</f>
        <v>1</v>
      </c>
      <c r="AB7" s="996">
        <f>D7/H7</f>
        <v>1</v>
      </c>
      <c r="AC7" s="996">
        <f>D7/J7</f>
        <v>1</v>
      </c>
    </row>
    <row r="8" spans="1:29" s="1059" customFormat="1" ht="15.75" thickBot="1">
      <c r="A8" s="2210"/>
      <c r="B8" s="2217" t="s">
        <v>480</v>
      </c>
      <c r="C8" s="475" t="s">
        <v>524</v>
      </c>
      <c r="D8" s="471">
        <v>100</v>
      </c>
      <c r="E8" s="475" t="s">
        <v>3358</v>
      </c>
      <c r="F8" s="473">
        <f>SUMIF(61:61,E8,62:62)-SUMIF(61:61,C8,62:62)+100</f>
        <v>100</v>
      </c>
      <c r="G8" s="475" t="s">
        <v>3358</v>
      </c>
      <c r="H8" s="471">
        <f>SUMIF(61:61,G8,62:62)-SUMIF(61:61,C8,62:62)+100</f>
        <v>100</v>
      </c>
      <c r="I8" s="475" t="s">
        <v>3358</v>
      </c>
      <c r="J8" s="471">
        <f>SUMIF(61:61,I8,62:62)-SUMIF(61:61,C8,62:62)+100</f>
        <v>100</v>
      </c>
      <c r="K8" s="88"/>
      <c r="L8" s="1743"/>
      <c r="M8" s="1640"/>
      <c r="N8" s="1640"/>
      <c r="O8" s="1640"/>
      <c r="P8" s="3586" t="s">
        <v>482</v>
      </c>
      <c r="Q8" s="3587"/>
      <c r="R8" s="1303" t="s">
        <v>5</v>
      </c>
      <c r="S8" s="1304">
        <f t="shared" si="0"/>
        <v>100</v>
      </c>
      <c r="T8" s="1303" t="s">
        <v>5</v>
      </c>
      <c r="U8" s="1304">
        <f t="shared" si="1"/>
        <v>100</v>
      </c>
      <c r="V8" s="1303" t="s">
        <v>5</v>
      </c>
      <c r="W8" s="1304">
        <f t="shared" si="2"/>
        <v>100</v>
      </c>
      <c r="X8" s="1305"/>
      <c r="Y8" s="3586" t="s">
        <v>482</v>
      </c>
      <c r="Z8" s="3587"/>
      <c r="AA8" s="996">
        <f t="shared" ref="AA8:AA46" si="3">D8/F8</f>
        <v>1</v>
      </c>
      <c r="AB8" s="996">
        <f t="shared" ref="AB8:AB46" si="4">D8/H8</f>
        <v>1</v>
      </c>
      <c r="AC8" s="996">
        <f t="shared" ref="AC8:AC46" si="5">D8/J8</f>
        <v>1</v>
      </c>
    </row>
    <row r="9" spans="1:29" s="1059" customFormat="1" ht="15">
      <c r="A9" s="2211"/>
      <c r="B9" s="2218" t="s">
        <v>2038</v>
      </c>
      <c r="C9" s="3405" t="s">
        <v>3357</v>
      </c>
      <c r="D9" s="154">
        <v>100</v>
      </c>
      <c r="E9" s="793" t="s">
        <v>3356</v>
      </c>
      <c r="F9" s="154">
        <f>SUMIF(63:63,E9,64:64)-SUMIF(63:63,C9,64:64)+100</f>
        <v>100</v>
      </c>
      <c r="G9" s="793" t="s">
        <v>3356</v>
      </c>
      <c r="H9" s="154">
        <f>SUMIF(63:63,G9,64:64)-SUMIF(63:63,C9,64:64)+100</f>
        <v>100</v>
      </c>
      <c r="I9" s="793" t="s">
        <v>3356</v>
      </c>
      <c r="J9" s="154">
        <f>SUMIF(63:63,I9,64:64)-SUMIF(63:63,C9,64:64)+100</f>
        <v>100</v>
      </c>
      <c r="K9" s="88"/>
      <c r="L9" s="1743"/>
      <c r="M9" s="1640"/>
      <c r="N9" s="1640"/>
      <c r="O9" s="1744"/>
      <c r="P9" s="3594" t="s">
        <v>484</v>
      </c>
      <c r="Q9" s="818"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SUMIF(65:65,E10,66:66)-SUMIF(65:65,C10,66:66)+100</f>
        <v>100</v>
      </c>
      <c r="G10" s="3387"/>
      <c r="H10" s="235">
        <f>SUMIF(65:65,G10,66:66)-SUMIF(65:65,C10,66:66)+100</f>
        <v>100</v>
      </c>
      <c r="I10" s="3387"/>
      <c r="J10" s="235">
        <f>SUMIF(65:65,I10,66:66)-SUMIF(65:65,C10,66:66)+100</f>
        <v>100</v>
      </c>
      <c r="K10" s="88"/>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3"/>
      <c r="B11" s="2217" t="s">
        <v>2040</v>
      </c>
      <c r="C11" s="483">
        <v>3</v>
      </c>
      <c r="D11" s="235">
        <v>100</v>
      </c>
      <c r="E11" s="483">
        <v>3</v>
      </c>
      <c r="F11" s="235">
        <f>LOOKUP(E11,68:68,69:69)-LOOKUP(C11,68:68,69:69)+100</f>
        <v>100</v>
      </c>
      <c r="G11" s="484">
        <v>3</v>
      </c>
      <c r="H11" s="235">
        <f>LOOKUP(G11,68:68,69:69)-LOOKUP(C11,68:68,69:69)+100</f>
        <v>100</v>
      </c>
      <c r="I11" s="483">
        <v>3</v>
      </c>
      <c r="J11" s="235">
        <f>LOOKUP(I11,68:68,69:69)-LOOKUP(C11,68:68,69:69)+100</f>
        <v>100</v>
      </c>
      <c r="K11" s="533"/>
      <c r="L11" s="1747"/>
      <c r="M11" s="1742"/>
      <c r="N11" s="1742"/>
      <c r="O11" s="1748"/>
      <c r="P11" s="3594"/>
      <c r="Q11" s="818" t="str">
        <f t="shared" si="6"/>
        <v>容积率</v>
      </c>
      <c r="R11" s="1303" t="s">
        <v>5</v>
      </c>
      <c r="S11" s="1304">
        <f t="shared" si="0"/>
        <v>100</v>
      </c>
      <c r="T11" s="1303" t="s">
        <v>5</v>
      </c>
      <c r="U11" s="1304">
        <f t="shared" si="1"/>
        <v>100</v>
      </c>
      <c r="V11" s="1303" t="s">
        <v>5</v>
      </c>
      <c r="W11" s="1304">
        <f t="shared" si="2"/>
        <v>100</v>
      </c>
      <c r="X11" s="1305"/>
      <c r="Y11" s="3546"/>
      <c r="Z11" s="996" t="str">
        <f t="shared" si="7"/>
        <v>容积率</v>
      </c>
      <c r="AA11" s="996">
        <f t="shared" si="3"/>
        <v>1</v>
      </c>
      <c r="AB11" s="996">
        <f t="shared" si="4"/>
        <v>1</v>
      </c>
      <c r="AC11" s="996">
        <f t="shared" si="5"/>
        <v>1</v>
      </c>
    </row>
    <row r="12" spans="1:29" s="1059" customFormat="1" ht="15">
      <c r="A12" s="2214"/>
      <c r="B12" s="2220"/>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594"/>
      <c r="Q12" s="818">
        <f t="shared" si="6"/>
        <v>0</v>
      </c>
      <c r="R12" s="1303" t="s">
        <v>5</v>
      </c>
      <c r="S12" s="1304">
        <f t="shared" si="0"/>
        <v>100</v>
      </c>
      <c r="T12" s="1303" t="s">
        <v>5</v>
      </c>
      <c r="U12" s="1304">
        <f t="shared" si="1"/>
        <v>100</v>
      </c>
      <c r="V12" s="1303" t="s">
        <v>5</v>
      </c>
      <c r="W12" s="1304">
        <f t="shared" si="2"/>
        <v>100</v>
      </c>
      <c r="X12" s="1305"/>
      <c r="Y12" s="3546"/>
      <c r="Z12" s="996">
        <f t="shared" si="7"/>
        <v>0</v>
      </c>
      <c r="AA12" s="996">
        <f>D12/F12</f>
        <v>1</v>
      </c>
      <c r="AB12" s="996">
        <f>D12/H12</f>
        <v>1</v>
      </c>
      <c r="AC12" s="996">
        <f>D12/J12</f>
        <v>1</v>
      </c>
    </row>
    <row r="13" spans="1:29" ht="15">
      <c r="A13" s="2214"/>
      <c r="B13" s="2220"/>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594"/>
      <c r="Q13" s="818">
        <f t="shared" si="6"/>
        <v>0</v>
      </c>
      <c r="R13" s="1303" t="s">
        <v>5</v>
      </c>
      <c r="S13" s="1304">
        <f t="shared" si="0"/>
        <v>100</v>
      </c>
      <c r="T13" s="1303" t="s">
        <v>5</v>
      </c>
      <c r="U13" s="1304">
        <f t="shared" si="1"/>
        <v>100</v>
      </c>
      <c r="V13" s="1303" t="s">
        <v>5</v>
      </c>
      <c r="W13" s="1304">
        <f t="shared" si="2"/>
        <v>100</v>
      </c>
      <c r="X13" s="1305"/>
      <c r="Y13" s="3546"/>
      <c r="Z13" s="996">
        <f t="shared" si="7"/>
        <v>0</v>
      </c>
      <c r="AA13" s="996">
        <f t="shared" si="3"/>
        <v>1</v>
      </c>
      <c r="AB13" s="996">
        <f t="shared" si="4"/>
        <v>1</v>
      </c>
      <c r="AC13" s="996">
        <f t="shared" si="5"/>
        <v>1</v>
      </c>
    </row>
    <row r="14" spans="1:29" ht="15.75" thickBot="1">
      <c r="A14" s="2215"/>
      <c r="B14" s="2221"/>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594"/>
      <c r="Q14" s="818">
        <f t="shared" si="6"/>
        <v>0</v>
      </c>
      <c r="R14" s="1303" t="s">
        <v>5</v>
      </c>
      <c r="S14" s="1304">
        <f t="shared" si="0"/>
        <v>100</v>
      </c>
      <c r="T14" s="1303" t="s">
        <v>5</v>
      </c>
      <c r="U14" s="1304">
        <f t="shared" si="1"/>
        <v>100</v>
      </c>
      <c r="V14" s="1303" t="s">
        <v>5</v>
      </c>
      <c r="W14" s="1304">
        <f t="shared" si="2"/>
        <v>100</v>
      </c>
      <c r="X14" s="1305"/>
      <c r="Y14" s="3546"/>
      <c r="Z14" s="996">
        <f t="shared" si="7"/>
        <v>0</v>
      </c>
      <c r="AA14" s="996">
        <f t="shared" si="3"/>
        <v>1</v>
      </c>
      <c r="AB14" s="996">
        <f t="shared" si="4"/>
        <v>1</v>
      </c>
      <c r="AC14" s="996">
        <f t="shared" si="5"/>
        <v>1</v>
      </c>
    </row>
    <row r="15" spans="1:29" ht="57">
      <c r="A15" s="2207" t="s">
        <v>2036</v>
      </c>
      <c r="B15" s="150" t="s">
        <v>490</v>
      </c>
      <c r="C15" s="797" t="str">
        <f>估价对象房地状况!C4</f>
        <v>估价对象周边商业氛围成熟度较差，人流量较少，住宅底商为主，商业繁华度较差</v>
      </c>
      <c r="D15" s="499">
        <v>100</v>
      </c>
      <c r="E15" s="500"/>
      <c r="F15" s="501">
        <f>SUMIF(76:76,E16,77:77)-SUMIF(76:76,C16,77:77)+100</f>
        <v>110</v>
      </c>
      <c r="G15" s="502"/>
      <c r="H15" s="499">
        <f>SUMIF(76:76,G16,77:77)-SUMIF(76:76,C16,77:77)+100</f>
        <v>110</v>
      </c>
      <c r="I15" s="500"/>
      <c r="J15" s="499">
        <f>SUMIF(76:76,I16,77:77)-SUMIF(76:76,C16,77:77)+100</f>
        <v>110</v>
      </c>
      <c r="K15" s="822">
        <v>5</v>
      </c>
      <c r="L15" s="1749"/>
      <c r="M15" s="1742"/>
      <c r="N15" s="1742"/>
      <c r="O15" s="1748"/>
      <c r="P15" s="3596" t="s">
        <v>489</v>
      </c>
      <c r="Q15" s="1306" t="str">
        <f t="shared" si="6"/>
        <v>商业繁华度</v>
      </c>
      <c r="R15" s="1307" t="s">
        <v>5</v>
      </c>
      <c r="S15" s="1308">
        <f t="shared" si="0"/>
        <v>110</v>
      </c>
      <c r="T15" s="1307" t="s">
        <v>5</v>
      </c>
      <c r="U15" s="1308">
        <f t="shared" si="1"/>
        <v>110</v>
      </c>
      <c r="V15" s="1307" t="s">
        <v>5</v>
      </c>
      <c r="W15" s="1308">
        <f t="shared" si="2"/>
        <v>110</v>
      </c>
      <c r="X15" s="1302"/>
      <c r="Y15" s="3596" t="s">
        <v>489</v>
      </c>
      <c r="Z15" s="1309" t="str">
        <f t="shared" si="7"/>
        <v>商业繁华度</v>
      </c>
      <c r="AA15" s="1309">
        <f t="shared" si="3"/>
        <v>0.90909090909090906</v>
      </c>
      <c r="AB15" s="1309">
        <f t="shared" si="4"/>
        <v>0.90909090909090906</v>
      </c>
      <c r="AC15" s="1309">
        <f t="shared" si="5"/>
        <v>0.90909090909090906</v>
      </c>
    </row>
    <row r="16" spans="1:29" ht="15">
      <c r="A16" s="482"/>
      <c r="B16" s="799"/>
      <c r="C16" s="526" t="s">
        <v>3360</v>
      </c>
      <c r="D16" s="505"/>
      <c r="E16" s="526" t="s">
        <v>3345</v>
      </c>
      <c r="F16" s="507"/>
      <c r="G16" s="526" t="s">
        <v>3345</v>
      </c>
      <c r="H16" s="509"/>
      <c r="I16" s="526" t="s">
        <v>3345</v>
      </c>
      <c r="J16" s="505"/>
      <c r="K16" s="823"/>
      <c r="L16" s="1749"/>
      <c r="M16" s="1742"/>
      <c r="N16" s="1742"/>
      <c r="O16" s="1748"/>
      <c r="P16" s="3597"/>
      <c r="Q16" s="1306"/>
      <c r="R16" s="1307"/>
      <c r="S16" s="1308"/>
      <c r="T16" s="1307"/>
      <c r="U16" s="1308"/>
      <c r="V16" s="1307"/>
      <c r="W16" s="1308"/>
      <c r="X16" s="1302"/>
      <c r="Y16" s="3597"/>
      <c r="Z16" s="1309"/>
      <c r="AA16" s="1309">
        <v>1</v>
      </c>
      <c r="AB16" s="1309">
        <v>1</v>
      </c>
      <c r="AC16" s="1309">
        <v>1</v>
      </c>
    </row>
    <row r="17" spans="1:29" ht="85.5">
      <c r="A17" s="482"/>
      <c r="B17" s="677" t="s">
        <v>262</v>
      </c>
      <c r="C17" s="801" t="str">
        <f>估价对象房地状况!C6</f>
        <v>估价对象周边道路状况一般、公共交通通达情况较差，有5、122路经过、停车便捷程度，综合评价交通便捷度一般</v>
      </c>
      <c r="D17" s="509">
        <v>100</v>
      </c>
      <c r="E17" s="512"/>
      <c r="F17" s="513">
        <f>SUMIF(78:78,E18,79:79)-SUMIF(78:78,C18,79:79)+100</f>
        <v>103</v>
      </c>
      <c r="G17" s="514"/>
      <c r="H17" s="515">
        <f>SUMIF(78:78,G18,79:79)-SUMIF(78:78,C18,79:79)+100</f>
        <v>103</v>
      </c>
      <c r="I17" s="512"/>
      <c r="J17" s="515">
        <f>SUMIF(78:78,I18,79:79)-SUMIF(78:78,C18,79:79)+100</f>
        <v>103</v>
      </c>
      <c r="K17" s="822">
        <v>3</v>
      </c>
      <c r="L17" s="1749"/>
      <c r="M17" s="1742"/>
      <c r="N17" s="1742"/>
      <c r="O17" s="1748"/>
      <c r="P17" s="3597"/>
      <c r="Q17" s="1306" t="str">
        <f>B17</f>
        <v>交通便捷度</v>
      </c>
      <c r="R17" s="1307" t="s">
        <v>5</v>
      </c>
      <c r="S17" s="1308">
        <f>F17</f>
        <v>103</v>
      </c>
      <c r="T17" s="1307" t="s">
        <v>5</v>
      </c>
      <c r="U17" s="1308">
        <f>H17</f>
        <v>103</v>
      </c>
      <c r="V17" s="1307" t="s">
        <v>5</v>
      </c>
      <c r="W17" s="1308">
        <f>J17</f>
        <v>103</v>
      </c>
      <c r="X17" s="1302"/>
      <c r="Y17" s="3597"/>
      <c r="Z17" s="1309" t="str">
        <f>Q17</f>
        <v>交通便捷度</v>
      </c>
      <c r="AA17" s="1309">
        <f t="shared" si="3"/>
        <v>0.970873786407767</v>
      </c>
      <c r="AB17" s="1309">
        <f t="shared" si="4"/>
        <v>0.970873786407767</v>
      </c>
      <c r="AC17" s="1309">
        <f t="shared" si="5"/>
        <v>0.970873786407767</v>
      </c>
    </row>
    <row r="18" spans="1:29" ht="15">
      <c r="A18" s="482"/>
      <c r="B18" s="544"/>
      <c r="C18" s="802" t="s">
        <v>3340</v>
      </c>
      <c r="D18" s="509"/>
      <c r="E18" s="519" t="s">
        <v>3345</v>
      </c>
      <c r="F18" s="513"/>
      <c r="G18" s="519" t="s">
        <v>3345</v>
      </c>
      <c r="H18" s="505"/>
      <c r="I18" s="519" t="s">
        <v>3345</v>
      </c>
      <c r="J18" s="505"/>
      <c r="K18" s="823"/>
      <c r="L18" s="1749"/>
      <c r="M18" s="1742"/>
      <c r="N18" s="1742"/>
      <c r="O18" s="1748"/>
      <c r="P18" s="3597"/>
      <c r="Q18" s="1306"/>
      <c r="R18" s="1307"/>
      <c r="S18" s="1308"/>
      <c r="T18" s="1307"/>
      <c r="U18" s="1308"/>
      <c r="V18" s="1307"/>
      <c r="W18" s="1308"/>
      <c r="X18" s="1302"/>
      <c r="Y18" s="3597"/>
      <c r="Z18" s="1309"/>
      <c r="AA18" s="1309">
        <v>1</v>
      </c>
      <c r="AB18" s="1309">
        <v>1</v>
      </c>
      <c r="AC18" s="1309">
        <v>1</v>
      </c>
    </row>
    <row r="19" spans="1:29" ht="42.75">
      <c r="A19" s="482"/>
      <c r="B19" s="2059" t="s">
        <v>1829</v>
      </c>
      <c r="C19" s="801" t="str">
        <f>估价对象房地状况!C7</f>
        <v>估价对象所在区域公共配套设施齐备情况较差</v>
      </c>
      <c r="D19" s="515">
        <v>100</v>
      </c>
      <c r="E19" s="520"/>
      <c r="F19" s="521">
        <f>SUMIF(80:80,E20,81:81)-SUMIF(80:80,C20,81:81)+100</f>
        <v>110</v>
      </c>
      <c r="G19" s="522"/>
      <c r="H19" s="509">
        <f>SUMIF(80:80,G20,81:81)-SUMIF(80:80,C20,81:81)+100</f>
        <v>110</v>
      </c>
      <c r="I19" s="520"/>
      <c r="J19" s="509">
        <f>SUMIF(80:80,I20,81:81)-SUMIF(80:80,C20,81:81)+100</f>
        <v>110</v>
      </c>
      <c r="K19" s="822">
        <v>5</v>
      </c>
      <c r="L19" s="1749"/>
      <c r="M19" s="1742"/>
      <c r="N19" s="1742"/>
      <c r="O19" s="1748"/>
      <c r="P19" s="3597"/>
      <c r="Q19" s="1306" t="str">
        <f>B19</f>
        <v>公共配套设施</v>
      </c>
      <c r="R19" s="1307" t="s">
        <v>5</v>
      </c>
      <c r="S19" s="1308">
        <f>F19</f>
        <v>110</v>
      </c>
      <c r="T19" s="1307" t="s">
        <v>5</v>
      </c>
      <c r="U19" s="1308">
        <f>H19</f>
        <v>110</v>
      </c>
      <c r="V19" s="1307" t="s">
        <v>5</v>
      </c>
      <c r="W19" s="1308">
        <f>J19</f>
        <v>110</v>
      </c>
      <c r="X19" s="1302"/>
      <c r="Y19" s="3597"/>
      <c r="Z19" s="1309" t="str">
        <f>Q19</f>
        <v>公共配套设施</v>
      </c>
      <c r="AA19" s="1309">
        <f t="shared" si="3"/>
        <v>0.90909090909090906</v>
      </c>
      <c r="AB19" s="1309">
        <f t="shared" si="4"/>
        <v>0.90909090909090906</v>
      </c>
      <c r="AC19" s="1309">
        <f t="shared" si="5"/>
        <v>0.90909090909090906</v>
      </c>
    </row>
    <row r="20" spans="1:29" ht="15">
      <c r="A20" s="482"/>
      <c r="B20" s="544"/>
      <c r="C20" s="526" t="s">
        <v>3360</v>
      </c>
      <c r="D20" s="505"/>
      <c r="E20" s="519" t="s">
        <v>3345</v>
      </c>
      <c r="F20" s="507"/>
      <c r="G20" s="519" t="s">
        <v>3345</v>
      </c>
      <c r="H20" s="505"/>
      <c r="I20" s="519" t="s">
        <v>3345</v>
      </c>
      <c r="J20" s="505"/>
      <c r="K20" s="823"/>
      <c r="L20" s="1749"/>
      <c r="M20" s="1742"/>
      <c r="N20" s="1742"/>
      <c r="O20" s="1748"/>
      <c r="P20" s="3597"/>
      <c r="Q20" s="1306"/>
      <c r="R20" s="1307"/>
      <c r="S20" s="1308"/>
      <c r="T20" s="1307"/>
      <c r="U20" s="1308"/>
      <c r="V20" s="1307"/>
      <c r="W20" s="1308"/>
      <c r="X20" s="1302"/>
      <c r="Y20" s="3597"/>
      <c r="Z20" s="1309"/>
      <c r="AA20" s="1309">
        <v>1</v>
      </c>
      <c r="AB20" s="1309">
        <v>1</v>
      </c>
      <c r="AC20" s="1309">
        <v>1</v>
      </c>
    </row>
    <row r="21" spans="1:29" ht="15">
      <c r="A21" s="482"/>
      <c r="B21" s="2052" t="s">
        <v>1841</v>
      </c>
      <c r="C21" s="801" t="str">
        <f>估价对象房地状况!C8</f>
        <v>六通</v>
      </c>
      <c r="D21" s="515">
        <v>100</v>
      </c>
      <c r="E21" s="522"/>
      <c r="F21" s="521">
        <f>SUMIF(82:82,E22,83:83)-SUMIF(82:82,C22,83:83)+100</f>
        <v>100</v>
      </c>
      <c r="G21" s="522"/>
      <c r="H21" s="515">
        <f>SUMIF(82:82,G22,83:83)-SUMIF(82:82,C22,83:83)+100</f>
        <v>100</v>
      </c>
      <c r="I21" s="520"/>
      <c r="J21" s="515">
        <f>SUMIF(82:82,I22,83:83)-SUMIF(82:82,C22,83:83)+100</f>
        <v>100</v>
      </c>
      <c r="K21" s="822">
        <v>1</v>
      </c>
      <c r="L21" s="1749"/>
      <c r="M21" s="1742"/>
      <c r="N21" s="1742"/>
      <c r="O21" s="1748"/>
      <c r="P21" s="3597"/>
      <c r="Q21" s="1306" t="str">
        <f>B21</f>
        <v>基础设施水平</v>
      </c>
      <c r="R21" s="1307" t="s">
        <v>5</v>
      </c>
      <c r="S21" s="1308">
        <f>F21</f>
        <v>100</v>
      </c>
      <c r="T21" s="1307" t="s">
        <v>5</v>
      </c>
      <c r="U21" s="1308">
        <f>H21</f>
        <v>100</v>
      </c>
      <c r="V21" s="1307" t="s">
        <v>5</v>
      </c>
      <c r="W21" s="1308">
        <f>J21</f>
        <v>100</v>
      </c>
      <c r="X21" s="1302"/>
      <c r="Y21" s="3597"/>
      <c r="Z21" s="1309" t="str">
        <f>Q21</f>
        <v>基础设施水平</v>
      </c>
      <c r="AA21" s="1309">
        <f>D21/F21</f>
        <v>1</v>
      </c>
      <c r="AB21" s="1309">
        <f>D21/H21</f>
        <v>1</v>
      </c>
      <c r="AC21" s="1309">
        <f>D21/J21</f>
        <v>1</v>
      </c>
    </row>
    <row r="22" spans="1:29" ht="15">
      <c r="A22" s="482"/>
      <c r="B22" s="843"/>
      <c r="C22" s="802" t="s">
        <v>3361</v>
      </c>
      <c r="D22" s="505"/>
      <c r="E22" s="802" t="s">
        <v>3361</v>
      </c>
      <c r="F22" s="507"/>
      <c r="G22" s="802" t="s">
        <v>3361</v>
      </c>
      <c r="H22" s="505"/>
      <c r="I22" s="802" t="s">
        <v>3361</v>
      </c>
      <c r="J22" s="505"/>
      <c r="K22" s="2061"/>
      <c r="L22" s="1749"/>
      <c r="M22" s="1742"/>
      <c r="N22" s="1742"/>
      <c r="O22" s="1748"/>
      <c r="P22" s="3597"/>
      <c r="Q22" s="1306"/>
      <c r="R22" s="1307"/>
      <c r="S22" s="1308"/>
      <c r="T22" s="1307"/>
      <c r="U22" s="1308"/>
      <c r="V22" s="1307"/>
      <c r="W22" s="1308"/>
      <c r="X22" s="1302"/>
      <c r="Y22" s="3597"/>
      <c r="Z22" s="1309"/>
      <c r="AA22" s="1309">
        <v>1</v>
      </c>
      <c r="AB22" s="1309">
        <v>1</v>
      </c>
      <c r="AC22" s="1309">
        <v>1</v>
      </c>
    </row>
    <row r="23" spans="1:29" ht="42.75">
      <c r="A23" s="482"/>
      <c r="B23" s="677" t="s">
        <v>263</v>
      </c>
      <c r="C23" s="824" t="str">
        <f>估价对象房地状况!C9</f>
        <v>区域自然环境：；人文环境；综合评价环境状况较好</v>
      </c>
      <c r="D23" s="509">
        <v>100</v>
      </c>
      <c r="E23" s="512"/>
      <c r="F23" s="513">
        <f>SUMIF(84:84,E24,85:85)-SUMIF(84:84,C24,85:85)+100</f>
        <v>97</v>
      </c>
      <c r="G23" s="514"/>
      <c r="H23" s="509">
        <f>SUMIF(84:84,G24,85:85)-SUMIF(84:84,C24,85:85)+100</f>
        <v>97</v>
      </c>
      <c r="I23" s="512"/>
      <c r="J23" s="509">
        <f>SUMIF(84:84,I24,85:85)-SUMIF(84:84,C24,85:85)+100</f>
        <v>97</v>
      </c>
      <c r="K23" s="822">
        <f>'比较法-住宅、综合'!K27</f>
        <v>3</v>
      </c>
      <c r="L23" s="1749"/>
      <c r="M23" s="1742"/>
      <c r="N23" s="1742"/>
      <c r="O23" s="1748"/>
      <c r="P23" s="3597"/>
      <c r="Q23" s="1306" t="str">
        <f>B23</f>
        <v>自然及人文环境</v>
      </c>
      <c r="R23" s="1307" t="s">
        <v>5</v>
      </c>
      <c r="S23" s="1308">
        <f>F23</f>
        <v>97</v>
      </c>
      <c r="T23" s="1307" t="s">
        <v>5</v>
      </c>
      <c r="U23" s="1308">
        <f>H23</f>
        <v>97</v>
      </c>
      <c r="V23" s="1307" t="s">
        <v>5</v>
      </c>
      <c r="W23" s="1308">
        <f>J23</f>
        <v>97</v>
      </c>
      <c r="X23" s="1302"/>
      <c r="Y23" s="3597"/>
      <c r="Z23" s="1309" t="str">
        <f>Q23</f>
        <v>自然及人文环境</v>
      </c>
      <c r="AA23" s="1309">
        <f t="shared" si="3"/>
        <v>1.0309278350515463</v>
      </c>
      <c r="AB23" s="1309">
        <f t="shared" si="4"/>
        <v>1.0309278350515463</v>
      </c>
      <c r="AC23" s="1309">
        <f t="shared" si="5"/>
        <v>1.0309278350515463</v>
      </c>
    </row>
    <row r="24" spans="1:29" ht="15">
      <c r="A24" s="482"/>
      <c r="B24" s="544"/>
      <c r="C24" s="526" t="s">
        <v>3345</v>
      </c>
      <c r="D24" s="505"/>
      <c r="E24" s="518" t="s">
        <v>3340</v>
      </c>
      <c r="F24" s="507"/>
      <c r="G24" s="518" t="s">
        <v>3340</v>
      </c>
      <c r="H24" s="505"/>
      <c r="I24" s="518" t="s">
        <v>3340</v>
      </c>
      <c r="J24" s="505"/>
      <c r="K24" s="823"/>
      <c r="L24" s="1749"/>
      <c r="M24" s="1742"/>
      <c r="N24" s="1742"/>
      <c r="O24" s="1748"/>
      <c r="P24" s="3597"/>
      <c r="Q24" s="1306"/>
      <c r="R24" s="1307"/>
      <c r="S24" s="1308"/>
      <c r="T24" s="1307"/>
      <c r="U24" s="1308"/>
      <c r="V24" s="1307"/>
      <c r="W24" s="1308"/>
      <c r="X24" s="1302"/>
      <c r="Y24" s="3597"/>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597"/>
      <c r="Q25" s="1306" t="str">
        <f t="shared" ref="Q25:Q46" si="8">B25</f>
        <v>临街状况</v>
      </c>
      <c r="R25" s="1307" t="s">
        <v>5</v>
      </c>
      <c r="S25" s="1308">
        <f>F25</f>
        <v>100</v>
      </c>
      <c r="T25" s="1307" t="s">
        <v>5</v>
      </c>
      <c r="U25" s="1308">
        <f>H25</f>
        <v>100</v>
      </c>
      <c r="V25" s="1307" t="s">
        <v>5</v>
      </c>
      <c r="W25" s="1308">
        <f>J25</f>
        <v>100</v>
      </c>
      <c r="X25" s="1302"/>
      <c r="Y25" s="3597"/>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597"/>
      <c r="Q26" s="1306" t="str">
        <f t="shared" si="8"/>
        <v>平面位置/可视性</v>
      </c>
      <c r="R26" s="1307" t="s">
        <v>5</v>
      </c>
      <c r="S26" s="1308">
        <f>F26</f>
        <v>100</v>
      </c>
      <c r="T26" s="1307" t="s">
        <v>5</v>
      </c>
      <c r="U26" s="1308">
        <f>H26</f>
        <v>100</v>
      </c>
      <c r="V26" s="1307" t="s">
        <v>5</v>
      </c>
      <c r="W26" s="1308">
        <f>J26</f>
        <v>100</v>
      </c>
      <c r="X26" s="1302"/>
      <c r="Y26" s="3597"/>
      <c r="Z26" s="1309" t="str">
        <f>Q26</f>
        <v>平面位置/可视性</v>
      </c>
      <c r="AA26" s="1309">
        <f t="shared" si="3"/>
        <v>1</v>
      </c>
      <c r="AB26" s="1309">
        <f t="shared" si="4"/>
        <v>1</v>
      </c>
      <c r="AC26" s="1309">
        <f t="shared" si="5"/>
        <v>1</v>
      </c>
    </row>
    <row r="27" spans="1:29" s="1059"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597"/>
      <c r="Q27" s="818" t="str">
        <f t="shared" si="8"/>
        <v>人流量</v>
      </c>
      <c r="R27" s="1303" t="s">
        <v>5</v>
      </c>
      <c r="S27" s="1304">
        <f>F27</f>
        <v>100</v>
      </c>
      <c r="T27" s="1303" t="s">
        <v>5</v>
      </c>
      <c r="U27" s="1304">
        <f>H27</f>
        <v>100</v>
      </c>
      <c r="V27" s="1303" t="s">
        <v>5</v>
      </c>
      <c r="W27" s="1304">
        <f>J27</f>
        <v>100</v>
      </c>
      <c r="X27" s="1305"/>
      <c r="Y27" s="3597"/>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597"/>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597"/>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597"/>
      <c r="Q29" s="1306">
        <f t="shared" si="8"/>
        <v>111</v>
      </c>
      <c r="R29" s="1307" t="s">
        <v>5</v>
      </c>
      <c r="S29" s="1308">
        <f t="shared" si="9"/>
        <v>100</v>
      </c>
      <c r="T29" s="1307" t="s">
        <v>5</v>
      </c>
      <c r="U29" s="1308">
        <f t="shared" si="10"/>
        <v>100</v>
      </c>
      <c r="V29" s="1307" t="s">
        <v>5</v>
      </c>
      <c r="W29" s="1308">
        <f t="shared" si="11"/>
        <v>100</v>
      </c>
      <c r="X29" s="1302"/>
      <c r="Y29" s="3597"/>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597"/>
      <c r="Q30" s="1306">
        <f t="shared" si="8"/>
        <v>111</v>
      </c>
      <c r="R30" s="1307" t="s">
        <v>5</v>
      </c>
      <c r="S30" s="1308">
        <f t="shared" si="9"/>
        <v>100</v>
      </c>
      <c r="T30" s="1307" t="s">
        <v>5</v>
      </c>
      <c r="U30" s="1308">
        <f t="shared" si="10"/>
        <v>100</v>
      </c>
      <c r="V30" s="1307" t="s">
        <v>5</v>
      </c>
      <c r="W30" s="1308">
        <f t="shared" si="11"/>
        <v>100</v>
      </c>
      <c r="X30" s="1302"/>
      <c r="Y30" s="3597"/>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597"/>
      <c r="Q31" s="1306">
        <f t="shared" si="8"/>
        <v>111</v>
      </c>
      <c r="R31" s="1307" t="s">
        <v>5</v>
      </c>
      <c r="S31" s="1308">
        <f t="shared" si="9"/>
        <v>100</v>
      </c>
      <c r="T31" s="1307" t="s">
        <v>5</v>
      </c>
      <c r="U31" s="1308">
        <f t="shared" si="10"/>
        <v>100</v>
      </c>
      <c r="V31" s="1307" t="s">
        <v>5</v>
      </c>
      <c r="W31" s="1308">
        <f t="shared" si="11"/>
        <v>100</v>
      </c>
      <c r="X31" s="1302"/>
      <c r="Y31" s="3597"/>
      <c r="Z31" s="1309">
        <f t="shared" si="12"/>
        <v>111</v>
      </c>
      <c r="AA31" s="1309">
        <f t="shared" si="3"/>
        <v>1</v>
      </c>
      <c r="AB31" s="1309">
        <f t="shared" si="4"/>
        <v>1</v>
      </c>
      <c r="AC31" s="1309">
        <f t="shared" si="5"/>
        <v>1</v>
      </c>
    </row>
    <row r="32" spans="1:29" ht="15">
      <c r="A32" s="2204" t="s">
        <v>2037</v>
      </c>
      <c r="B32" s="156" t="s">
        <v>702</v>
      </c>
      <c r="C32" s="804" t="s">
        <v>3363</v>
      </c>
      <c r="D32" s="546">
        <v>100</v>
      </c>
      <c r="E32" s="804" t="s">
        <v>3363</v>
      </c>
      <c r="F32" s="525">
        <f>SUMIF(100:100,E32,101:101)-SUMIF(100:100,C32,101:101)+100</f>
        <v>100</v>
      </c>
      <c r="G32" s="804" t="s">
        <v>3363</v>
      </c>
      <c r="H32" s="490">
        <f>SUMIF(100:100,G32,101:101)-SUMIF(100:100,C32,101:101)+100</f>
        <v>100</v>
      </c>
      <c r="I32" s="804" t="s">
        <v>3363</v>
      </c>
      <c r="J32" s="546">
        <f>SUMIF(100:100,I32,101:101)-SUMIF(100:100,C32,101:101)+100</f>
        <v>100</v>
      </c>
      <c r="K32" s="533">
        <v>2</v>
      </c>
      <c r="L32" s="1749"/>
      <c r="M32" s="1742"/>
      <c r="N32" s="1742"/>
      <c r="O32" s="1748"/>
      <c r="P32" s="3598" t="s">
        <v>499</v>
      </c>
      <c r="Q32" s="1306" t="str">
        <f t="shared" si="8"/>
        <v>商业类型</v>
      </c>
      <c r="R32" s="1307" t="s">
        <v>5</v>
      </c>
      <c r="S32" s="1308">
        <f t="shared" si="9"/>
        <v>100</v>
      </c>
      <c r="T32" s="1307" t="s">
        <v>5</v>
      </c>
      <c r="U32" s="1308">
        <f t="shared" si="10"/>
        <v>100</v>
      </c>
      <c r="V32" s="1307" t="s">
        <v>5</v>
      </c>
      <c r="W32" s="1308">
        <f t="shared" si="11"/>
        <v>100</v>
      </c>
      <c r="X32" s="1302"/>
      <c r="Y32" s="3599" t="s">
        <v>499</v>
      </c>
      <c r="Z32" s="1309" t="str">
        <f t="shared" si="12"/>
        <v>商业类型</v>
      </c>
      <c r="AA32" s="1309">
        <f t="shared" si="3"/>
        <v>1</v>
      </c>
      <c r="AB32" s="1309">
        <f t="shared" si="4"/>
        <v>1</v>
      </c>
      <c r="AC32" s="1309">
        <f t="shared" si="5"/>
        <v>1</v>
      </c>
    </row>
    <row r="33" spans="1:29" s="1133" customFormat="1" ht="15">
      <c r="A33" s="552"/>
      <c r="B33" s="477" t="s">
        <v>673</v>
      </c>
      <c r="C33" s="806">
        <v>500</v>
      </c>
      <c r="D33" s="235">
        <v>100</v>
      </c>
      <c r="E33" s="806">
        <v>500</v>
      </c>
      <c r="F33" s="477">
        <f>LOOKUP(E33,103:103,104:104)-LOOKUP(C33,103:103,104:104)+100</f>
        <v>100</v>
      </c>
      <c r="G33" s="806">
        <v>500</v>
      </c>
      <c r="H33" s="235">
        <f>LOOKUP(G33,103:103,104:104)-LOOKUP(C33,103:103,104:104)+100</f>
        <v>100</v>
      </c>
      <c r="I33" s="806">
        <v>500</v>
      </c>
      <c r="J33" s="235">
        <f>LOOKUP(I33,103:103,104:104)-LOOKUP(C33,103:103,104:104)+100</f>
        <v>100</v>
      </c>
      <c r="K33" s="531"/>
      <c r="L33" s="1747"/>
      <c r="M33" s="1771"/>
      <c r="N33" s="1771"/>
      <c r="O33" s="1750"/>
      <c r="P33" s="3599"/>
      <c r="Q33" s="819" t="str">
        <f t="shared" si="8"/>
        <v>项目建筑规模</v>
      </c>
      <c r="R33" s="1310" t="s">
        <v>5</v>
      </c>
      <c r="S33" s="1311">
        <f t="shared" si="9"/>
        <v>100</v>
      </c>
      <c r="T33" s="1310" t="s">
        <v>5</v>
      </c>
      <c r="U33" s="1311">
        <f t="shared" si="10"/>
        <v>100</v>
      </c>
      <c r="V33" s="1310" t="s">
        <v>5</v>
      </c>
      <c r="W33" s="1311">
        <f t="shared" si="11"/>
        <v>100</v>
      </c>
      <c r="X33" s="1312"/>
      <c r="Y33" s="3599"/>
      <c r="Z33" s="1313" t="str">
        <f t="shared" si="12"/>
        <v>项目建筑规模</v>
      </c>
      <c r="AA33" s="1309">
        <f t="shared" si="3"/>
        <v>1</v>
      </c>
      <c r="AB33" s="1309">
        <f t="shared" si="4"/>
        <v>1</v>
      </c>
      <c r="AC33" s="1309">
        <f t="shared" si="5"/>
        <v>1</v>
      </c>
    </row>
    <row r="34" spans="1:29" ht="15">
      <c r="A34" s="543"/>
      <c r="B34" s="477" t="s">
        <v>674</v>
      </c>
      <c r="C34" s="524" t="s">
        <v>3349</v>
      </c>
      <c r="D34" s="490">
        <v>100</v>
      </c>
      <c r="E34" s="524" t="s">
        <v>3349</v>
      </c>
      <c r="F34" s="525">
        <f>SUMIF(105:105,E34,106:106)-SUMIF(105:105,C34,106:106)+100</f>
        <v>100</v>
      </c>
      <c r="G34" s="524" t="s">
        <v>3349</v>
      </c>
      <c r="H34" s="490">
        <f>SUMIF(105:105,G34,106:106)-SUMIF(105:105,C34,106:106)+100</f>
        <v>100</v>
      </c>
      <c r="I34" s="524" t="s">
        <v>3349</v>
      </c>
      <c r="J34" s="490">
        <f>SUMIF(105:105,I34,106:106)-SUMIF(105:105,C34,106:106)+100</f>
        <v>100</v>
      </c>
      <c r="K34" s="533">
        <v>2</v>
      </c>
      <c r="L34" s="1749"/>
      <c r="M34" s="1742"/>
      <c r="N34" s="1742"/>
      <c r="O34" s="1748"/>
      <c r="P34" s="3599"/>
      <c r="Q34" s="1306" t="str">
        <f t="shared" si="8"/>
        <v>建筑结构</v>
      </c>
      <c r="R34" s="1307" t="s">
        <v>5</v>
      </c>
      <c r="S34" s="1308">
        <f t="shared" si="9"/>
        <v>100</v>
      </c>
      <c r="T34" s="1307" t="s">
        <v>5</v>
      </c>
      <c r="U34" s="1308">
        <f t="shared" si="10"/>
        <v>100</v>
      </c>
      <c r="V34" s="1307" t="s">
        <v>5</v>
      </c>
      <c r="W34" s="1308">
        <f t="shared" si="11"/>
        <v>100</v>
      </c>
      <c r="X34" s="1302"/>
      <c r="Y34" s="3599"/>
      <c r="Z34" s="1309" t="str">
        <f t="shared" si="12"/>
        <v>建筑结构</v>
      </c>
      <c r="AA34" s="1309">
        <f t="shared" si="3"/>
        <v>1</v>
      </c>
      <c r="AB34" s="1309">
        <f t="shared" si="4"/>
        <v>1</v>
      </c>
      <c r="AC34" s="1309">
        <f t="shared" si="5"/>
        <v>1</v>
      </c>
    </row>
    <row r="35" spans="1:29" ht="15">
      <c r="A35" s="543"/>
      <c r="B35" s="477" t="s">
        <v>703</v>
      </c>
      <c r="C35" s="548" t="s">
        <v>3366</v>
      </c>
      <c r="D35" s="490">
        <v>100</v>
      </c>
      <c r="E35" s="548" t="s">
        <v>3366</v>
      </c>
      <c r="F35" s="525">
        <f>SUMIF(107:107,E35,108:108)-SUMIF(107:107,C35,108:108)+100</f>
        <v>100</v>
      </c>
      <c r="G35" s="548" t="s">
        <v>3366</v>
      </c>
      <c r="H35" s="490">
        <f>SUMIF(107:107,G35,108:108)-SUMIF(107:107,C35,108:108)+100</f>
        <v>100</v>
      </c>
      <c r="I35" s="548" t="s">
        <v>3366</v>
      </c>
      <c r="J35" s="490">
        <f>SUMIF(107:107,I35,108:108)-SUMIF(107:107,C35,108:108)+100</f>
        <v>100</v>
      </c>
      <c r="K35" s="533">
        <v>2</v>
      </c>
      <c r="L35" s="1749"/>
      <c r="M35" s="1742"/>
      <c r="N35" s="1742"/>
      <c r="O35" s="1748"/>
      <c r="P35" s="3599"/>
      <c r="Q35" s="1306" t="str">
        <f t="shared" si="8"/>
        <v>公共部分装修</v>
      </c>
      <c r="R35" s="1307" t="s">
        <v>5</v>
      </c>
      <c r="S35" s="1308">
        <f t="shared" si="9"/>
        <v>100</v>
      </c>
      <c r="T35" s="1307" t="s">
        <v>5</v>
      </c>
      <c r="U35" s="1308">
        <f t="shared" si="10"/>
        <v>100</v>
      </c>
      <c r="V35" s="1307" t="s">
        <v>5</v>
      </c>
      <c r="W35" s="1308">
        <f t="shared" si="11"/>
        <v>100</v>
      </c>
      <c r="X35" s="1302"/>
      <c r="Y35" s="3599"/>
      <c r="Z35" s="1309" t="str">
        <f t="shared" si="12"/>
        <v>公共部分装修</v>
      </c>
      <c r="AA35" s="1309">
        <f t="shared" si="3"/>
        <v>1</v>
      </c>
      <c r="AB35" s="1309">
        <f t="shared" si="4"/>
        <v>1</v>
      </c>
      <c r="AC35" s="1309">
        <f t="shared" si="5"/>
        <v>1</v>
      </c>
    </row>
    <row r="36" spans="1:29" ht="15">
      <c r="A36" s="543"/>
      <c r="B36" s="477" t="s">
        <v>704</v>
      </c>
      <c r="C36" s="808">
        <v>1</v>
      </c>
      <c r="D36" s="490">
        <v>100</v>
      </c>
      <c r="E36" s="808">
        <v>1</v>
      </c>
      <c r="F36" s="525">
        <f>LOOKUP(E36,110:110,111:111)-LOOKUP(C36,110:110,111:111)+100</f>
        <v>100</v>
      </c>
      <c r="G36" s="808">
        <v>1</v>
      </c>
      <c r="H36" s="525">
        <f>LOOKUP(G36,110:110,111:111)-LOOKUP(C36,110:110,111:111)+100</f>
        <v>100</v>
      </c>
      <c r="I36" s="808">
        <v>1</v>
      </c>
      <c r="J36" s="490">
        <f>LOOKUP(I36,110:110,111:111)-LOOKUP(C36,110:110,111:111)+100</f>
        <v>100</v>
      </c>
      <c r="K36" s="533"/>
      <c r="L36" s="1749"/>
      <c r="M36" s="1742"/>
      <c r="N36" s="1742"/>
      <c r="O36" s="1748"/>
      <c r="P36" s="3599"/>
      <c r="Q36" s="1306" t="str">
        <f t="shared" si="8"/>
        <v>成新度</v>
      </c>
      <c r="R36" s="1307" t="s">
        <v>5</v>
      </c>
      <c r="S36" s="1308">
        <f t="shared" si="9"/>
        <v>100</v>
      </c>
      <c r="T36" s="1307" t="s">
        <v>5</v>
      </c>
      <c r="U36" s="1308">
        <f t="shared" si="10"/>
        <v>100</v>
      </c>
      <c r="V36" s="1307" t="s">
        <v>5</v>
      </c>
      <c r="W36" s="1308">
        <f t="shared" si="11"/>
        <v>100</v>
      </c>
      <c r="X36" s="1302"/>
      <c r="Y36" s="3599"/>
      <c r="Z36" s="1309" t="str">
        <f t="shared" si="12"/>
        <v>成新度</v>
      </c>
      <c r="AA36" s="1309">
        <f t="shared" si="3"/>
        <v>1</v>
      </c>
      <c r="AB36" s="1309">
        <f t="shared" si="4"/>
        <v>1</v>
      </c>
      <c r="AC36" s="1309">
        <f t="shared" si="5"/>
        <v>1</v>
      </c>
    </row>
    <row r="37" spans="1:29" s="1059" customFormat="1" ht="15">
      <c r="A37" s="549"/>
      <c r="B37" s="1554" t="s">
        <v>1848</v>
      </c>
      <c r="C37" s="548" t="s">
        <v>3361</v>
      </c>
      <c r="D37" s="235">
        <v>100</v>
      </c>
      <c r="E37" s="548" t="s">
        <v>3361</v>
      </c>
      <c r="F37" s="525">
        <f>SUMIF(112:112,E37,113:113)-SUMIF(112:112,C37,113:113)+100</f>
        <v>100</v>
      </c>
      <c r="G37" s="548" t="s">
        <v>3361</v>
      </c>
      <c r="H37" s="490">
        <f>SUMIF(112:112,G37,113:113)-SUMIF(112:112,C37,113:113)+100</f>
        <v>100</v>
      </c>
      <c r="I37" s="548" t="s">
        <v>3361</v>
      </c>
      <c r="J37" s="490">
        <f>SUMIF(112:112,I37,113:113)-SUMIF(112:112,C37,113:113)+100</f>
        <v>100</v>
      </c>
      <c r="K37" s="533">
        <v>1</v>
      </c>
      <c r="L37" s="1743"/>
      <c r="M37" s="1640"/>
      <c r="N37" s="1640"/>
      <c r="O37" s="1744"/>
      <c r="P37" s="3599"/>
      <c r="Q37" s="818" t="str">
        <f t="shared" si="8"/>
        <v>市政基础设施</v>
      </c>
      <c r="R37" s="1303" t="s">
        <v>5</v>
      </c>
      <c r="S37" s="1304">
        <f t="shared" si="9"/>
        <v>100</v>
      </c>
      <c r="T37" s="1303" t="s">
        <v>5</v>
      </c>
      <c r="U37" s="1304">
        <f t="shared" si="10"/>
        <v>100</v>
      </c>
      <c r="V37" s="1303" t="s">
        <v>5</v>
      </c>
      <c r="W37" s="1304">
        <f t="shared" si="11"/>
        <v>100</v>
      </c>
      <c r="X37" s="1305"/>
      <c r="Y37" s="3599"/>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599" t="s">
        <v>706</v>
      </c>
      <c r="Q38" s="1306" t="str">
        <f t="shared" si="8"/>
        <v>业态</v>
      </c>
      <c r="R38" s="1307" t="s">
        <v>5</v>
      </c>
      <c r="S38" s="1308">
        <f t="shared" si="9"/>
        <v>100</v>
      </c>
      <c r="T38" s="1307" t="s">
        <v>5</v>
      </c>
      <c r="U38" s="1308">
        <f t="shared" si="10"/>
        <v>100</v>
      </c>
      <c r="V38" s="1307" t="s">
        <v>5</v>
      </c>
      <c r="W38" s="1308">
        <f t="shared" si="11"/>
        <v>100</v>
      </c>
      <c r="X38" s="1302"/>
      <c r="Y38" s="3599" t="s">
        <v>706</v>
      </c>
      <c r="Z38" s="1309" t="str">
        <f t="shared" si="12"/>
        <v>业态</v>
      </c>
      <c r="AA38" s="1309">
        <f t="shared" si="3"/>
        <v>1</v>
      </c>
      <c r="AB38" s="1309">
        <f t="shared" si="4"/>
        <v>1</v>
      </c>
      <c r="AC38" s="1309">
        <f t="shared" si="5"/>
        <v>1</v>
      </c>
    </row>
    <row r="39" spans="1:29" ht="15">
      <c r="A39" s="543"/>
      <c r="B39" s="477" t="s">
        <v>707</v>
      </c>
      <c r="C39" s="548" t="s">
        <v>3369</v>
      </c>
      <c r="D39" s="490">
        <v>100</v>
      </c>
      <c r="E39" s="548" t="s">
        <v>3369</v>
      </c>
      <c r="F39" s="525">
        <f>SUMIF(116:116,E39,117:117)-SUMIF(116:116,C39,117:117)+100</f>
        <v>100</v>
      </c>
      <c r="G39" s="548" t="s">
        <v>3369</v>
      </c>
      <c r="H39" s="490">
        <f>SUMIF(116:116,G39,117:117)-SUMIF(116:116,C39,117:117)+100</f>
        <v>100</v>
      </c>
      <c r="I39" s="548" t="s">
        <v>3369</v>
      </c>
      <c r="J39" s="490">
        <f>SUMIF(116:116,I39,117:117)-SUMIF(116:116,C39,117:117)+100</f>
        <v>100</v>
      </c>
      <c r="K39" s="533">
        <v>2</v>
      </c>
      <c r="L39" s="1749"/>
      <c r="M39" s="1742"/>
      <c r="N39" s="1742"/>
      <c r="O39" s="1748"/>
      <c r="P39" s="3599"/>
      <c r="Q39" s="1306" t="str">
        <f t="shared" si="8"/>
        <v>层高</v>
      </c>
      <c r="R39" s="1307" t="s">
        <v>5</v>
      </c>
      <c r="S39" s="1308">
        <f t="shared" si="9"/>
        <v>100</v>
      </c>
      <c r="T39" s="1307" t="s">
        <v>5</v>
      </c>
      <c r="U39" s="1308">
        <f t="shared" si="10"/>
        <v>100</v>
      </c>
      <c r="V39" s="1307" t="s">
        <v>5</v>
      </c>
      <c r="W39" s="1308">
        <f t="shared" si="11"/>
        <v>100</v>
      </c>
      <c r="X39" s="1302"/>
      <c r="Y39" s="3599"/>
      <c r="Z39" s="1309" t="str">
        <f t="shared" si="12"/>
        <v>层高</v>
      </c>
      <c r="AA39" s="1309">
        <f t="shared" si="3"/>
        <v>1</v>
      </c>
      <c r="AB39" s="1309">
        <f t="shared" si="4"/>
        <v>1</v>
      </c>
      <c r="AC39" s="1309">
        <f t="shared" si="5"/>
        <v>1</v>
      </c>
    </row>
    <row r="40" spans="1:29" ht="15">
      <c r="A40" s="543"/>
      <c r="B40" s="477" t="s">
        <v>708</v>
      </c>
      <c r="C40" s="826"/>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599"/>
      <c r="Q40" s="1306" t="str">
        <f t="shared" si="8"/>
        <v>单套建筑面积</v>
      </c>
      <c r="R40" s="1307" t="s">
        <v>5</v>
      </c>
      <c r="S40" s="1308">
        <f t="shared" si="9"/>
        <v>100</v>
      </c>
      <c r="T40" s="1307" t="s">
        <v>5</v>
      </c>
      <c r="U40" s="1308">
        <f t="shared" si="10"/>
        <v>100</v>
      </c>
      <c r="V40" s="1307" t="s">
        <v>5</v>
      </c>
      <c r="W40" s="1308">
        <f t="shared" si="11"/>
        <v>100</v>
      </c>
      <c r="X40" s="1302"/>
      <c r="Y40" s="3599"/>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599"/>
      <c r="Q41" s="819" t="str">
        <f t="shared" si="8"/>
        <v>进深比</v>
      </c>
      <c r="R41" s="1310" t="s">
        <v>5</v>
      </c>
      <c r="S41" s="1311">
        <f t="shared" si="9"/>
        <v>100</v>
      </c>
      <c r="T41" s="1310" t="s">
        <v>5</v>
      </c>
      <c r="U41" s="1311">
        <f t="shared" si="10"/>
        <v>100</v>
      </c>
      <c r="V41" s="1310" t="s">
        <v>5</v>
      </c>
      <c r="W41" s="1311">
        <f t="shared" si="11"/>
        <v>100</v>
      </c>
      <c r="X41" s="1312"/>
      <c r="Y41" s="3599"/>
      <c r="Z41" s="1313" t="str">
        <f t="shared" si="12"/>
        <v>进深比</v>
      </c>
      <c r="AA41" s="1309">
        <f t="shared" si="3"/>
        <v>1</v>
      </c>
      <c r="AB41" s="1309">
        <f t="shared" si="4"/>
        <v>1</v>
      </c>
      <c r="AC41" s="1309">
        <f t="shared" si="5"/>
        <v>1</v>
      </c>
    </row>
    <row r="42" spans="1:29" ht="15">
      <c r="A42" s="543"/>
      <c r="B42" s="477" t="s">
        <v>710</v>
      </c>
      <c r="C42" s="548" t="s">
        <v>3373</v>
      </c>
      <c r="D42" s="490">
        <v>100</v>
      </c>
      <c r="E42" s="548" t="s">
        <v>3371</v>
      </c>
      <c r="F42" s="525">
        <f>SUMIF(122:122,E42,123:123)-SUMIF(122:122,C42,123:123)+100</f>
        <v>103</v>
      </c>
      <c r="G42" s="548" t="s">
        <v>3371</v>
      </c>
      <c r="H42" s="490">
        <f>SUMIF(122:122,G42,123:123)-SUMIF(122:122,C42,123:123)+100</f>
        <v>103</v>
      </c>
      <c r="I42" s="548" t="s">
        <v>3371</v>
      </c>
      <c r="J42" s="490">
        <f>SUMIF(122:122,I42,123:123)-SUMIF(122:122,C42,123:123)+100</f>
        <v>103</v>
      </c>
      <c r="K42" s="533">
        <v>3</v>
      </c>
      <c r="L42" s="1749"/>
      <c r="M42" s="1742"/>
      <c r="N42" s="1742"/>
      <c r="O42" s="1748"/>
      <c r="P42" s="3599"/>
      <c r="Q42" s="1306" t="str">
        <f t="shared" si="8"/>
        <v>内部装修</v>
      </c>
      <c r="R42" s="1307" t="s">
        <v>5</v>
      </c>
      <c r="S42" s="1308">
        <f t="shared" si="9"/>
        <v>103</v>
      </c>
      <c r="T42" s="1307" t="s">
        <v>5</v>
      </c>
      <c r="U42" s="1308">
        <f t="shared" si="10"/>
        <v>103</v>
      </c>
      <c r="V42" s="1307" t="s">
        <v>5</v>
      </c>
      <c r="W42" s="1308">
        <f t="shared" si="11"/>
        <v>103</v>
      </c>
      <c r="X42" s="1302"/>
      <c r="Y42" s="3599"/>
      <c r="Z42" s="1309" t="str">
        <f t="shared" si="12"/>
        <v>内部装修</v>
      </c>
      <c r="AA42" s="1309">
        <f t="shared" si="3"/>
        <v>0.970873786407767</v>
      </c>
      <c r="AB42" s="1309">
        <f t="shared" si="4"/>
        <v>0.970873786407767</v>
      </c>
      <c r="AC42" s="1309">
        <f t="shared" si="5"/>
        <v>0.970873786407767</v>
      </c>
    </row>
    <row r="43" spans="1:29" ht="27">
      <c r="A43" s="543"/>
      <c r="B43" s="477" t="s">
        <v>682</v>
      </c>
      <c r="C43" s="548" t="s">
        <v>3345</v>
      </c>
      <c r="D43" s="490">
        <v>100</v>
      </c>
      <c r="E43" s="548" t="s">
        <v>3345</v>
      </c>
      <c r="F43" s="525">
        <f>SUMIF(124:124,E43,125:125)-SUMIF(124:124,C43,125:125)+100</f>
        <v>100</v>
      </c>
      <c r="G43" s="548" t="s">
        <v>3345</v>
      </c>
      <c r="H43" s="490">
        <f>SUMIF(124:124,G43,125:125)-SUMIF(124:124,C43,125:125)+100</f>
        <v>100</v>
      </c>
      <c r="I43" s="548" t="s">
        <v>3345</v>
      </c>
      <c r="J43" s="490">
        <f>SUMIF(124:124,I43,125:125)-SUMIF(124:124,C43,125:125)+100</f>
        <v>100</v>
      </c>
      <c r="K43" s="533">
        <v>2</v>
      </c>
      <c r="L43" s="1749"/>
      <c r="M43" s="1742"/>
      <c r="N43" s="1742"/>
      <c r="O43" s="1748"/>
      <c r="P43" s="3599"/>
      <c r="Q43" s="1306" t="str">
        <f t="shared" si="8"/>
        <v>内部装修维护情况</v>
      </c>
      <c r="R43" s="1307" t="s">
        <v>5</v>
      </c>
      <c r="S43" s="1308">
        <f t="shared" si="9"/>
        <v>100</v>
      </c>
      <c r="T43" s="1307" t="s">
        <v>5</v>
      </c>
      <c r="U43" s="1308">
        <f t="shared" si="10"/>
        <v>100</v>
      </c>
      <c r="V43" s="1307" t="s">
        <v>5</v>
      </c>
      <c r="W43" s="1308">
        <f t="shared" si="11"/>
        <v>100</v>
      </c>
      <c r="X43" s="1302"/>
      <c r="Y43" s="3599"/>
      <c r="Z43" s="1309" t="str">
        <f t="shared" si="12"/>
        <v>内部装修维护情况</v>
      </c>
      <c r="AA43" s="1309">
        <f t="shared" si="3"/>
        <v>1</v>
      </c>
      <c r="AB43" s="1309">
        <f t="shared" si="4"/>
        <v>1</v>
      </c>
      <c r="AC43" s="1309">
        <f t="shared" si="5"/>
        <v>1</v>
      </c>
    </row>
    <row r="44" spans="1:29" s="1059"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599"/>
      <c r="Q44" s="818">
        <f t="shared" si="8"/>
        <v>111</v>
      </c>
      <c r="R44" s="1303" t="s">
        <v>5</v>
      </c>
      <c r="S44" s="1304">
        <f t="shared" si="9"/>
        <v>100</v>
      </c>
      <c r="T44" s="1303" t="s">
        <v>5</v>
      </c>
      <c r="U44" s="1304">
        <f t="shared" si="10"/>
        <v>100</v>
      </c>
      <c r="V44" s="1303" t="s">
        <v>5</v>
      </c>
      <c r="W44" s="1304">
        <f t="shared" si="11"/>
        <v>100</v>
      </c>
      <c r="X44" s="1305"/>
      <c r="Y44" s="3599"/>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599"/>
      <c r="Q45" s="1306">
        <f t="shared" si="8"/>
        <v>111</v>
      </c>
      <c r="R45" s="1307" t="s">
        <v>5</v>
      </c>
      <c r="S45" s="1308">
        <f t="shared" si="9"/>
        <v>100</v>
      </c>
      <c r="T45" s="1307" t="s">
        <v>5</v>
      </c>
      <c r="U45" s="1308">
        <f t="shared" si="10"/>
        <v>100</v>
      </c>
      <c r="V45" s="1307" t="s">
        <v>5</v>
      </c>
      <c r="W45" s="1308">
        <f t="shared" si="11"/>
        <v>100</v>
      </c>
      <c r="X45" s="1302"/>
      <c r="Y45" s="3599"/>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10"/>
      <c r="Q46" s="1306">
        <f t="shared" si="8"/>
        <v>111</v>
      </c>
      <c r="R46" s="1307" t="s">
        <v>5</v>
      </c>
      <c r="S46" s="1308">
        <f t="shared" si="9"/>
        <v>100</v>
      </c>
      <c r="T46" s="1307" t="s">
        <v>5</v>
      </c>
      <c r="U46" s="1308">
        <f t="shared" si="10"/>
        <v>100</v>
      </c>
      <c r="V46" s="1307" t="s">
        <v>5</v>
      </c>
      <c r="W46" s="1308">
        <f t="shared" si="11"/>
        <v>100</v>
      </c>
      <c r="X46" s="1302"/>
      <c r="Y46" s="3710"/>
      <c r="Z46" s="1309">
        <f t="shared" si="12"/>
        <v>111</v>
      </c>
      <c r="AA46" s="1309">
        <f t="shared" si="3"/>
        <v>1</v>
      </c>
      <c r="AB46" s="1309">
        <f t="shared" si="4"/>
        <v>1</v>
      </c>
      <c r="AC46" s="1309">
        <f t="shared" si="5"/>
        <v>1</v>
      </c>
    </row>
    <row r="47" spans="1:29" ht="15">
      <c r="A47" s="556" t="s">
        <v>683</v>
      </c>
      <c r="B47" s="812"/>
      <c r="C47" s="2081" t="s">
        <v>0</v>
      </c>
      <c r="D47" s="559"/>
      <c r="E47" s="560">
        <v>9134</v>
      </c>
      <c r="F47" s="561"/>
      <c r="G47" s="562">
        <v>8206</v>
      </c>
      <c r="H47" s="563"/>
      <c r="I47" s="560">
        <v>9278</v>
      </c>
      <c r="J47" s="563"/>
      <c r="K47" s="1335"/>
      <c r="L47" s="1751"/>
      <c r="M47" s="1742"/>
      <c r="N47" s="1742"/>
      <c r="O47" s="1742"/>
      <c r="P47" s="3594" t="str">
        <f>A47</f>
        <v>成交单价（元/平方米）</v>
      </c>
      <c r="Q47" s="3594"/>
      <c r="R47" s="3610">
        <f>E47</f>
        <v>9134</v>
      </c>
      <c r="S47" s="3610"/>
      <c r="T47" s="3610">
        <f>G47</f>
        <v>8206</v>
      </c>
      <c r="U47" s="3610"/>
      <c r="V47" s="3610">
        <f>I47</f>
        <v>9278</v>
      </c>
      <c r="W47" s="3610"/>
      <c r="X47" s="799"/>
      <c r="Y47" s="1314"/>
      <c r="Z47" s="799"/>
      <c r="AA47" s="799"/>
      <c r="AB47" s="799"/>
      <c r="AC47" s="799"/>
    </row>
    <row r="48" spans="1:29" ht="15.75" thickBot="1">
      <c r="A48" s="564" t="s">
        <v>2042</v>
      </c>
      <c r="B48" s="813"/>
      <c r="C48" s="2082">
        <f>R49</f>
        <v>7125</v>
      </c>
      <c r="D48" s="2550" t="s">
        <v>2256</v>
      </c>
      <c r="E48" s="2083">
        <f>R48</f>
        <v>7335</v>
      </c>
      <c r="F48" s="2551"/>
      <c r="G48" s="2082">
        <f>T48</f>
        <v>6590</v>
      </c>
      <c r="H48" s="2551"/>
      <c r="I48" s="2083">
        <f>V48</f>
        <v>7451</v>
      </c>
      <c r="J48" s="2551"/>
      <c r="K48" s="2558">
        <f>F48+H48+J48</f>
        <v>0</v>
      </c>
      <c r="L48" s="1751"/>
      <c r="M48" s="1742"/>
      <c r="N48" s="1742"/>
      <c r="O48" s="1742"/>
      <c r="P48" s="3594" t="str">
        <f>A48</f>
        <v>比较价格（元/平方米）</v>
      </c>
      <c r="Q48" s="3594"/>
      <c r="R48" s="3610">
        <f>IF(F1="售价",ROUND(PRODUCT(R47,AA7:AA46),0),ROUND(PRODUCT(R47,AA7:AA46),1))</f>
        <v>7335</v>
      </c>
      <c r="S48" s="3610"/>
      <c r="T48" s="3610">
        <f>IF(F1="售价",ROUND(PRODUCT(T47,AB7:AB46),0),ROUND(PRODUCT(T47,AB7:AB46),1))</f>
        <v>6590</v>
      </c>
      <c r="U48" s="3610"/>
      <c r="V48" s="3610">
        <f>IF(F1="售价",ROUND(PRODUCT(V47,AC7:AC46),0),ROUND(PRODUCT(V47,AC7:AC46),1))</f>
        <v>7451</v>
      </c>
      <c r="W48" s="3610"/>
      <c r="X48" s="799"/>
      <c r="Y48" s="799"/>
      <c r="Z48" s="799"/>
      <c r="AA48" s="799"/>
      <c r="AB48" s="799"/>
      <c r="AC48" s="799"/>
    </row>
    <row r="49" spans="1:29" ht="15.75" thickBot="1">
      <c r="A49" s="568" t="s">
        <v>2193</v>
      </c>
      <c r="B49" s="569"/>
      <c r="C49" s="469">
        <f>R49</f>
        <v>7125</v>
      </c>
      <c r="D49" s="469"/>
      <c r="E49" s="469"/>
      <c r="F49" s="469"/>
      <c r="G49" s="469"/>
      <c r="H49" s="469"/>
      <c r="I49" s="469"/>
      <c r="J49" s="469"/>
      <c r="K49" s="1336"/>
      <c r="L49" s="1751"/>
      <c r="M49" s="1742"/>
      <c r="N49" s="1742"/>
      <c r="O49" s="1742"/>
      <c r="P49" s="3600" t="str">
        <f>A49</f>
        <v>估价对象XX用房的比较价格（楼面单价，元/平方米）</v>
      </c>
      <c r="Q49" s="3601"/>
      <c r="R49" s="3709">
        <f>IF(F1="售价",ROUND(IF(D48="简单平均",AVERAGE(R48:V48),R48*F48+T48*H48+V48*J48),0),ROUND(IF(D48="简单平均",AVERAGE(R48:V48),R48*F48+T48*H48+V48*J48),1))</f>
        <v>7125</v>
      </c>
      <c r="S49" s="3709"/>
      <c r="T49" s="3709"/>
      <c r="U49" s="3709"/>
      <c r="V49" s="3709"/>
      <c r="W49" s="3709"/>
      <c r="X49" s="799"/>
      <c r="Y49" s="799"/>
      <c r="Z49" s="799"/>
      <c r="AA49" s="799"/>
      <c r="AB49" s="799"/>
      <c r="AC49" s="799"/>
    </row>
    <row r="50" spans="1:29">
      <c r="A50" s="2721"/>
      <c r="B50" s="2721"/>
      <c r="C50" s="2721"/>
      <c r="D50" s="2721"/>
      <c r="E50" s="2721"/>
      <c r="F50" s="2721"/>
      <c r="G50" s="2723"/>
      <c r="H50" s="2721"/>
      <c r="I50" s="2721">
        <v>0.98</v>
      </c>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f>IF(E47&lt;E48,E48/E47-1,E47/E48-1)</f>
        <v>0.24526244035446498</v>
      </c>
      <c r="F52" s="574" t="str">
        <f>IF(OR(E52&gt;=0.3,E52&lt;=-0.3),"超过30%","")</f>
        <v/>
      </c>
      <c r="G52" s="573">
        <f>IF(G47&lt;G48,G48/G47-1,G47/G48-1)</f>
        <v>0.24522003034901374</v>
      </c>
      <c r="H52" s="574" t="str">
        <f>IF(OR(G52&gt;=0.3,G52&lt;=-0.3),"超过30%","")</f>
        <v/>
      </c>
      <c r="I52" s="573">
        <f>IF(I47&lt;I48,I48/I47-1,I47/I48-1)</f>
        <v>0.24520198631056234</v>
      </c>
      <c r="J52" s="574" t="str">
        <f>IF(OR(I52&gt;=0.3,I52&lt;=-0.3),"超过30%","")</f>
        <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f>IF(E48&lt;G48,G48/E48-1,E48/G48-1)</f>
        <v>0.11305007587253413</v>
      </c>
      <c r="F53" s="574" t="str">
        <f>IF(OR(E53&gt;=0.2,E53&lt;=-0.2),"超过20%","")</f>
        <v/>
      </c>
      <c r="G53" s="573">
        <f>IF(G48&lt;I48,I48/G48-1,G48/I48-1)</f>
        <v>0.13065250379362681</v>
      </c>
      <c r="H53" s="574" t="str">
        <f>IF(OR(G53&gt;=0.2,G53&lt;=-0.2),"超过20%","")</f>
        <v/>
      </c>
      <c r="I53" s="573">
        <f>IF(I48&lt;E48,E48/I48-1,I48/E48-1)</f>
        <v>1.5814587593728779E-2</v>
      </c>
      <c r="J53" s="574" t="str">
        <f>IF(OR(I53&gt;=0.2,I53&lt;=-0.2),"超过20%","")</f>
        <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f>IF(E47&lt;G47,G47/E47-1,E47/G47-1)</f>
        <v>0.11308798440165724</v>
      </c>
      <c r="F54" s="574" t="str">
        <f>IF(OR(E54&gt;=0.3,E54&lt;=-0.3),"超过30%","")</f>
        <v/>
      </c>
      <c r="G54" s="573">
        <f>IF(G47&lt;I47,I47/G47-1,G47/I47-1)</f>
        <v>0.13063611991225943</v>
      </c>
      <c r="H54" s="574" t="str">
        <f>IF(OR(G54&gt;=0.3,G54&lt;=-0.3),"超过30%","")</f>
        <v/>
      </c>
      <c r="I54" s="573">
        <f>IF(I47&lt;E47,E47/I47-1,I47/E47-1)</f>
        <v>1.5765272607838776E-2</v>
      </c>
      <c r="J54" s="574" t="str">
        <f>IF(OR(I54&gt;=0.3,I54&lt;=-0.3),"超过30%","")</f>
        <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2023-5</v>
      </c>
      <c r="D58" s="2115">
        <f>EDATE(C58,-1)</f>
        <v>45017</v>
      </c>
      <c r="E58" s="2115">
        <f t="shared" ref="E58:O58" si="13">EDATE(D58,-1)</f>
        <v>44986</v>
      </c>
      <c r="F58" s="2115">
        <f t="shared" si="13"/>
        <v>44958</v>
      </c>
      <c r="G58" s="2115">
        <f t="shared" si="13"/>
        <v>44927</v>
      </c>
      <c r="H58" s="2115">
        <f t="shared" si="13"/>
        <v>44896</v>
      </c>
      <c r="I58" s="2115">
        <f t="shared" si="13"/>
        <v>44866</v>
      </c>
      <c r="J58" s="2115">
        <f t="shared" si="13"/>
        <v>44835</v>
      </c>
      <c r="K58" s="2115">
        <f t="shared" si="13"/>
        <v>44805</v>
      </c>
      <c r="L58" s="2115">
        <f t="shared" si="13"/>
        <v>44774</v>
      </c>
      <c r="M58" s="2115">
        <f t="shared" si="13"/>
        <v>44743</v>
      </c>
      <c r="N58" s="2115">
        <f t="shared" si="13"/>
        <v>44713</v>
      </c>
      <c r="O58" s="2115">
        <f t="shared" si="13"/>
        <v>44682</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v>100</v>
      </c>
      <c r="E59" s="596">
        <v>100</v>
      </c>
      <c r="F59" s="596">
        <v>100</v>
      </c>
      <c r="G59" s="596">
        <v>100</v>
      </c>
      <c r="H59" s="596">
        <v>100</v>
      </c>
      <c r="I59" s="596">
        <v>100</v>
      </c>
      <c r="J59" s="596">
        <v>100</v>
      </c>
      <c r="K59" s="596">
        <v>100</v>
      </c>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t="str">
        <f>C9</f>
        <v>商服</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3404" t="s">
        <v>3357</v>
      </c>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0</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0</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0</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95</v>
      </c>
      <c r="E77" s="621">
        <f>D77-$K15</f>
        <v>90</v>
      </c>
      <c r="F77" s="621">
        <f>E77-$K15</f>
        <v>85</v>
      </c>
      <c r="G77" s="621">
        <f>F77-$K15</f>
        <v>80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97</v>
      </c>
      <c r="E79" s="621">
        <f>D79-$K17</f>
        <v>94</v>
      </c>
      <c r="F79" s="621">
        <f>E79-$K17</f>
        <v>91</v>
      </c>
      <c r="G79" s="621">
        <f>F79-$K17</f>
        <v>88</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95</v>
      </c>
      <c r="E81" s="621">
        <f>D81-$K19</f>
        <v>90</v>
      </c>
      <c r="F81" s="621">
        <f>E81-$K19</f>
        <v>85</v>
      </c>
      <c r="G81" s="621">
        <f>F81-$K19</f>
        <v>80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3399" t="s">
        <v>3364</v>
      </c>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98</v>
      </c>
      <c r="E101" s="621">
        <f t="shared" si="18"/>
        <v>96</v>
      </c>
      <c r="F101" s="621">
        <f t="shared" si="18"/>
        <v>94</v>
      </c>
      <c r="G101" s="621">
        <f t="shared" si="18"/>
        <v>92</v>
      </c>
      <c r="H101" s="621">
        <f t="shared" si="18"/>
        <v>90</v>
      </c>
      <c r="I101" s="621">
        <f t="shared" si="18"/>
        <v>88</v>
      </c>
      <c r="J101" s="621">
        <f t="shared" si="18"/>
        <v>86</v>
      </c>
      <c r="K101" s="621">
        <f t="shared" si="18"/>
        <v>84</v>
      </c>
      <c r="L101" s="621">
        <f t="shared" si="18"/>
        <v>82</v>
      </c>
      <c r="M101" s="622">
        <f t="shared" si="18"/>
        <v>80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500(含)-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500</v>
      </c>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6" t="s">
        <v>3365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2">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3406" t="s">
        <v>3367</v>
      </c>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2">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3406" t="s">
        <v>3368</v>
      </c>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99</v>
      </c>
      <c r="E113" s="621">
        <f t="shared" ref="E113:M113" si="23">D113-$K37</f>
        <v>98</v>
      </c>
      <c r="F113" s="621">
        <f t="shared" si="23"/>
        <v>97</v>
      </c>
      <c r="G113" s="621">
        <f t="shared" si="23"/>
        <v>96</v>
      </c>
      <c r="H113" s="621">
        <f t="shared" si="23"/>
        <v>95</v>
      </c>
      <c r="I113" s="621">
        <f t="shared" si="23"/>
        <v>94</v>
      </c>
      <c r="J113" s="621">
        <f t="shared" si="23"/>
        <v>93</v>
      </c>
      <c r="K113" s="621">
        <f t="shared" si="23"/>
        <v>92</v>
      </c>
      <c r="L113" s="621">
        <f t="shared" si="23"/>
        <v>91</v>
      </c>
      <c r="M113" s="621">
        <f t="shared" si="23"/>
        <v>90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3406" t="s">
        <v>3370</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98</v>
      </c>
      <c r="E117" s="621">
        <f>D117-$K39</f>
        <v>96</v>
      </c>
      <c r="F117" s="621">
        <f>E117-$K39</f>
        <v>94</v>
      </c>
      <c r="G117" s="621">
        <f>F117-$K39</f>
        <v>92</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6" t="s">
        <v>3372</v>
      </c>
      <c r="D122" s="3406" t="s">
        <v>3374</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97</v>
      </c>
      <c r="E123" s="621">
        <f t="shared" si="26"/>
        <v>94</v>
      </c>
      <c r="F123" s="621">
        <f t="shared" si="26"/>
        <v>91</v>
      </c>
      <c r="G123" s="621">
        <f t="shared" si="26"/>
        <v>88</v>
      </c>
      <c r="H123" s="621">
        <f t="shared" si="26"/>
        <v>85</v>
      </c>
      <c r="I123" s="621">
        <f t="shared" si="26"/>
        <v>82</v>
      </c>
      <c r="J123" s="621">
        <f t="shared" si="26"/>
        <v>79</v>
      </c>
      <c r="K123" s="621">
        <f t="shared" si="26"/>
        <v>76</v>
      </c>
      <c r="L123" s="621">
        <f t="shared" si="26"/>
        <v>73</v>
      </c>
      <c r="M123" s="622">
        <f t="shared" si="26"/>
        <v>70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470</v>
      </c>
      <c r="B4" s="464"/>
      <c r="C4" s="3602" t="s">
        <v>471</v>
      </c>
      <c r="D4" s="3603"/>
      <c r="E4" s="3628" t="s">
        <v>472</v>
      </c>
      <c r="F4" s="3629"/>
      <c r="G4" s="3602" t="s">
        <v>473</v>
      </c>
      <c r="H4" s="3603"/>
      <c r="I4" s="3602" t="s">
        <v>474</v>
      </c>
      <c r="J4" s="3603"/>
      <c r="K4" s="465" t="s">
        <v>475</v>
      </c>
      <c r="L4" s="1741"/>
      <c r="M4" s="1742"/>
      <c r="N4" s="1742"/>
      <c r="O4" s="1742"/>
      <c r="P4" s="3713" t="s">
        <v>476</v>
      </c>
      <c r="Q4" s="3605"/>
      <c r="R4" s="3588" t="s">
        <v>472</v>
      </c>
      <c r="S4" s="3589"/>
      <c r="T4" s="3588" t="s">
        <v>473</v>
      </c>
      <c r="U4" s="3589"/>
      <c r="V4" s="3610" t="s">
        <v>474</v>
      </c>
      <c r="W4" s="3610"/>
      <c r="X4" s="1302"/>
      <c r="Y4" s="3588" t="s">
        <v>476</v>
      </c>
      <c r="Z4" s="3589"/>
      <c r="AA4" s="3583" t="s">
        <v>472</v>
      </c>
      <c r="AB4" s="3583" t="s">
        <v>473</v>
      </c>
      <c r="AC4" s="3583" t="s">
        <v>474</v>
      </c>
    </row>
    <row r="5" spans="1:29" ht="15">
      <c r="A5" s="466"/>
      <c r="B5" s="467"/>
      <c r="C5" s="3613" t="s">
        <v>2187</v>
      </c>
      <c r="D5" s="3614"/>
      <c r="E5" s="3630" t="s">
        <v>2188</v>
      </c>
      <c r="F5" s="3631"/>
      <c r="G5" s="3613" t="s">
        <v>2189</v>
      </c>
      <c r="H5" s="3614"/>
      <c r="I5" s="3613" t="s">
        <v>2190</v>
      </c>
      <c r="J5" s="3614"/>
      <c r="K5" s="465"/>
      <c r="L5" s="1741"/>
      <c r="M5" s="1742"/>
      <c r="N5" s="1742"/>
      <c r="O5" s="1742"/>
      <c r="P5" s="3714"/>
      <c r="Q5" s="3607"/>
      <c r="R5" s="3590"/>
      <c r="S5" s="3591"/>
      <c r="T5" s="3590"/>
      <c r="U5" s="3591"/>
      <c r="V5" s="3610"/>
      <c r="W5" s="3610"/>
      <c r="X5" s="1302"/>
      <c r="Y5" s="3590"/>
      <c r="Z5" s="3591"/>
      <c r="AA5" s="3584"/>
      <c r="AB5" s="3584"/>
      <c r="AC5" s="3584"/>
    </row>
    <row r="6" spans="1:29" ht="15.75" thickBot="1">
      <c r="A6" s="468"/>
      <c r="B6" s="469"/>
      <c r="C6" s="3611" t="s">
        <v>2191</v>
      </c>
      <c r="D6" s="3612"/>
      <c r="E6" s="3632" t="s">
        <v>2191</v>
      </c>
      <c r="F6" s="3633"/>
      <c r="G6" s="3611" t="s">
        <v>2191</v>
      </c>
      <c r="H6" s="3612"/>
      <c r="I6" s="3611" t="s">
        <v>2191</v>
      </c>
      <c r="J6" s="3612"/>
      <c r="K6" s="465" t="s">
        <v>477</v>
      </c>
      <c r="L6" s="1741"/>
      <c r="M6" s="1742"/>
      <c r="N6" s="1742"/>
      <c r="O6" s="1742"/>
      <c r="P6" s="3715"/>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SUMIF(59:59,YEAR(E7)&amp;"-"&amp;MONTH(E7),60:60)</f>
        <v>0</v>
      </c>
      <c r="G7" s="472"/>
      <c r="H7" s="471">
        <f>SUMIF(59:59,YEAR(G7)&amp;"-"&amp;MONTH(G7),60:60)</f>
        <v>0</v>
      </c>
      <c r="I7" s="472"/>
      <c r="J7" s="471">
        <f>SUMIF(59:59,YEAR(I7)&amp;"-"&amp;MONTH(I7),60:60)</f>
        <v>0</v>
      </c>
      <c r="K7" s="88"/>
      <c r="L7" s="1743"/>
      <c r="M7" s="1640"/>
      <c r="N7" s="1640"/>
      <c r="O7" s="1640"/>
      <c r="P7" s="3595" t="s">
        <v>479</v>
      </c>
      <c r="Q7" s="3595"/>
      <c r="R7" s="1303" t="s">
        <v>5</v>
      </c>
      <c r="S7" s="1304">
        <f t="shared" ref="S7:S15" si="0">F7</f>
        <v>0</v>
      </c>
      <c r="T7" s="1303" t="s">
        <v>5</v>
      </c>
      <c r="U7" s="1304">
        <f t="shared" ref="U7:U15" si="1">H7</f>
        <v>0</v>
      </c>
      <c r="V7" s="1303" t="s">
        <v>5</v>
      </c>
      <c r="W7" s="1304">
        <f t="shared" ref="W7:W15"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595" t="s">
        <v>482</v>
      </c>
      <c r="Q8" s="3587"/>
      <c r="R8" s="1303" t="s">
        <v>5</v>
      </c>
      <c r="S8" s="1304">
        <f t="shared" si="0"/>
        <v>0</v>
      </c>
      <c r="T8" s="1303" t="s">
        <v>5</v>
      </c>
      <c r="U8" s="1304">
        <f t="shared" si="1"/>
        <v>0</v>
      </c>
      <c r="V8" s="1303" t="s">
        <v>5</v>
      </c>
      <c r="W8" s="1304">
        <f t="shared" si="2"/>
        <v>0</v>
      </c>
      <c r="X8" s="1305"/>
      <c r="Y8" s="3586" t="s">
        <v>482</v>
      </c>
      <c r="Z8" s="3587"/>
      <c r="AA8" s="996" t="e">
        <f t="shared" ref="AA8:AA47" si="3">D8/F8</f>
        <v>#DIV/0!</v>
      </c>
      <c r="AB8" s="996" t="e">
        <f t="shared" ref="AB8:AB47" si="4">D8/H8</f>
        <v>#DIV/0!</v>
      </c>
      <c r="AC8" s="996" t="e">
        <f t="shared" ref="AC8:AC47" si="5">D8/J8</f>
        <v>#DIV/0!</v>
      </c>
    </row>
    <row r="9" spans="1:29" s="1059"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4" t="s">
        <v>484</v>
      </c>
      <c r="Q9" s="818"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5"/>
      <c r="M10" s="1778"/>
      <c r="N10" s="1778"/>
      <c r="O10" s="1778"/>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4"/>
      <c r="Q11" s="818" t="str">
        <f t="shared" si="6"/>
        <v>容积率</v>
      </c>
      <c r="R11" s="1303" t="s">
        <v>5</v>
      </c>
      <c r="S11" s="1304" t="e">
        <f t="shared" si="0"/>
        <v>#N/A</v>
      </c>
      <c r="T11" s="1303" t="s">
        <v>5</v>
      </c>
      <c r="U11" s="1304" t="e">
        <f t="shared" si="1"/>
        <v>#N/A</v>
      </c>
      <c r="V11" s="1303" t="s">
        <v>5</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594"/>
      <c r="Q12" s="818">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
      <c r="A13" s="2214"/>
      <c r="B13" s="2220">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594"/>
      <c r="Q13" s="818">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5.75" thickBot="1">
      <c r="A14" s="2215"/>
      <c r="B14" s="2221">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594"/>
      <c r="Q14" s="818">
        <f t="shared" si="6"/>
        <v>111</v>
      </c>
      <c r="R14" s="1303" t="s">
        <v>5</v>
      </c>
      <c r="S14" s="1304">
        <f t="shared" si="0"/>
        <v>100</v>
      </c>
      <c r="T14" s="1303" t="s">
        <v>5</v>
      </c>
      <c r="U14" s="1304">
        <f t="shared" si="1"/>
        <v>100</v>
      </c>
      <c r="V14" s="1303" t="s">
        <v>5</v>
      </c>
      <c r="W14" s="1304">
        <f t="shared" si="2"/>
        <v>100</v>
      </c>
      <c r="X14" s="1305"/>
      <c r="Y14" s="3546"/>
      <c r="Z14" s="996">
        <f t="shared" si="7"/>
        <v>111</v>
      </c>
      <c r="AA14" s="996">
        <f t="shared" si="3"/>
        <v>1</v>
      </c>
      <c r="AB14" s="996">
        <f t="shared" si="4"/>
        <v>1</v>
      </c>
      <c r="AC14" s="996">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596" t="s">
        <v>489</v>
      </c>
      <c r="Q15" s="1306" t="str">
        <f t="shared" si="6"/>
        <v>办公集聚程度</v>
      </c>
      <c r="R15" s="1307" t="s">
        <v>5</v>
      </c>
      <c r="S15" s="1308">
        <f t="shared" si="0"/>
        <v>100</v>
      </c>
      <c r="T15" s="1307" t="s">
        <v>5</v>
      </c>
      <c r="U15" s="1308">
        <f t="shared" si="1"/>
        <v>100</v>
      </c>
      <c r="V15" s="1307" t="s">
        <v>5</v>
      </c>
      <c r="W15" s="1308">
        <f t="shared" si="2"/>
        <v>100</v>
      </c>
      <c r="X15" s="1302"/>
      <c r="Y15" s="3596"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597"/>
      <c r="Q16" s="1306"/>
      <c r="R16" s="1307"/>
      <c r="S16" s="1308"/>
      <c r="T16" s="1307"/>
      <c r="U16" s="1308"/>
      <c r="V16" s="1307"/>
      <c r="W16" s="1308"/>
      <c r="X16" s="1302"/>
      <c r="Y16" s="3597"/>
      <c r="Z16" s="1309"/>
      <c r="AA16" s="1309">
        <v>1</v>
      </c>
      <c r="AB16" s="1309">
        <v>1</v>
      </c>
      <c r="AC16" s="1309">
        <v>1</v>
      </c>
    </row>
    <row r="17" spans="1:29" ht="114">
      <c r="A17" s="482"/>
      <c r="B17" s="510" t="s">
        <v>262</v>
      </c>
      <c r="C17" s="523" t="str">
        <f>估价对象房地状况!C6</f>
        <v>估价对象周边道路状况一般、公共交通通达情况较差，有5、122路经过、停车便捷程度，综合评价交通便捷度一般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597"/>
      <c r="Q17" s="1306" t="str">
        <f>B17</f>
        <v>交通便捷度</v>
      </c>
      <c r="R17" s="1307" t="s">
        <v>5</v>
      </c>
      <c r="S17" s="1308">
        <f>F17</f>
        <v>100</v>
      </c>
      <c r="T17" s="1307" t="s">
        <v>5</v>
      </c>
      <c r="U17" s="1308">
        <f>H17</f>
        <v>100</v>
      </c>
      <c r="V17" s="1307" t="s">
        <v>5</v>
      </c>
      <c r="W17" s="1308">
        <f>J17</f>
        <v>100</v>
      </c>
      <c r="X17" s="1302"/>
      <c r="Y17" s="3597"/>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597"/>
      <c r="Q18" s="1306"/>
      <c r="R18" s="1307"/>
      <c r="S18" s="1308"/>
      <c r="T18" s="1307"/>
      <c r="U18" s="1308"/>
      <c r="V18" s="1307"/>
      <c r="W18" s="1308"/>
      <c r="X18" s="1302"/>
      <c r="Y18" s="3597"/>
      <c r="Z18" s="1309"/>
      <c r="AA18" s="1309">
        <v>1</v>
      </c>
      <c r="AB18" s="1309">
        <v>1</v>
      </c>
      <c r="AC18" s="1309">
        <v>1</v>
      </c>
    </row>
    <row r="19" spans="1:29" ht="42.75">
      <c r="A19" s="482"/>
      <c r="B19" s="2062" t="s">
        <v>1829</v>
      </c>
      <c r="C19" s="523" t="str">
        <f>估价对象房地状况!C7</f>
        <v>估价对象所在区域公共配套设施齐备情况较差</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597"/>
      <c r="Q19" s="1306" t="str">
        <f>B19</f>
        <v>公共配套设施</v>
      </c>
      <c r="R19" s="1307" t="s">
        <v>5</v>
      </c>
      <c r="S19" s="1308">
        <f>F19</f>
        <v>100</v>
      </c>
      <c r="T19" s="1307" t="s">
        <v>5</v>
      </c>
      <c r="U19" s="1308">
        <f>H19</f>
        <v>100</v>
      </c>
      <c r="V19" s="1307" t="s">
        <v>5</v>
      </c>
      <c r="W19" s="1308">
        <f>J19</f>
        <v>100</v>
      </c>
      <c r="X19" s="1302"/>
      <c r="Y19" s="3597"/>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597"/>
      <c r="Q20" s="1306"/>
      <c r="R20" s="1307"/>
      <c r="S20" s="1308"/>
      <c r="T20" s="1307"/>
      <c r="U20" s="1308"/>
      <c r="V20" s="1307"/>
      <c r="W20" s="1308"/>
      <c r="X20" s="1302"/>
      <c r="Y20" s="3597"/>
      <c r="Z20" s="1309"/>
      <c r="AA20" s="1309">
        <v>1</v>
      </c>
      <c r="AB20" s="1309">
        <v>1</v>
      </c>
      <c r="AC20" s="1309">
        <v>1</v>
      </c>
    </row>
    <row r="21" spans="1:29" ht="15">
      <c r="A21" s="482"/>
      <c r="B21" s="2050" t="s">
        <v>1841</v>
      </c>
      <c r="C21" s="523" t="str">
        <f>估价对象房地状况!C8</f>
        <v>六通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597"/>
      <c r="Q21" s="1306" t="str">
        <f>B21</f>
        <v>基础设施水平</v>
      </c>
      <c r="R21" s="1307" t="s">
        <v>5</v>
      </c>
      <c r="S21" s="1308">
        <f>F21</f>
        <v>100</v>
      </c>
      <c r="T21" s="1307" t="s">
        <v>5</v>
      </c>
      <c r="U21" s="1308">
        <f>H21</f>
        <v>100</v>
      </c>
      <c r="V21" s="1307" t="s">
        <v>5</v>
      </c>
      <c r="W21" s="1308">
        <f>J21</f>
        <v>100</v>
      </c>
      <c r="X21" s="1302"/>
      <c r="Y21" s="3597"/>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597"/>
      <c r="Q22" s="1306"/>
      <c r="R22" s="1307"/>
      <c r="S22" s="1308"/>
      <c r="T22" s="1307"/>
      <c r="U22" s="1308"/>
      <c r="V22" s="1307"/>
      <c r="W22" s="1308"/>
      <c r="X22" s="1302"/>
      <c r="Y22" s="3597"/>
      <c r="Z22" s="1309"/>
      <c r="AA22" s="1309">
        <v>1</v>
      </c>
      <c r="AB22" s="1309">
        <v>1</v>
      </c>
      <c r="AC22" s="1309">
        <v>1</v>
      </c>
    </row>
    <row r="23" spans="1:29" ht="57">
      <c r="A23" s="482"/>
      <c r="B23" s="510" t="s">
        <v>718</v>
      </c>
      <c r="C23" s="523" t="str">
        <f>估价对象房地状况!C9</f>
        <v>区域自然环境：；人文环境；综合评价环境状况较好</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597"/>
      <c r="Q23" s="1306" t="str">
        <f>B23</f>
        <v>环境质量</v>
      </c>
      <c r="R23" s="1307" t="s">
        <v>5</v>
      </c>
      <c r="S23" s="1308">
        <f>F23</f>
        <v>100</v>
      </c>
      <c r="T23" s="1307" t="s">
        <v>5</v>
      </c>
      <c r="U23" s="1308">
        <f>H23</f>
        <v>100</v>
      </c>
      <c r="V23" s="1307" t="s">
        <v>5</v>
      </c>
      <c r="W23" s="1308">
        <f>J23</f>
        <v>100</v>
      </c>
      <c r="X23" s="1302"/>
      <c r="Y23" s="3597"/>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597"/>
      <c r="Q24" s="1306"/>
      <c r="R24" s="1307"/>
      <c r="S24" s="1308"/>
      <c r="T24" s="1307"/>
      <c r="U24" s="1308"/>
      <c r="V24" s="1307"/>
      <c r="W24" s="1308"/>
      <c r="X24" s="1302"/>
      <c r="Y24" s="3597"/>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2"/>
      <c r="L25" s="1749"/>
      <c r="M25" s="1742"/>
      <c r="N25" s="1742"/>
      <c r="O25" s="1742"/>
      <c r="P25" s="3597"/>
      <c r="Q25" s="1306" t="str">
        <f>B25</f>
        <v>毗邻道路的类型与等级</v>
      </c>
      <c r="R25" s="1307" t="s">
        <v>5</v>
      </c>
      <c r="S25" s="1308">
        <f>F25</f>
        <v>100</v>
      </c>
      <c r="T25" s="1307" t="s">
        <v>5</v>
      </c>
      <c r="U25" s="1308">
        <f>H25</f>
        <v>100</v>
      </c>
      <c r="V25" s="1307" t="s">
        <v>5</v>
      </c>
      <c r="W25" s="1308">
        <f>J25</f>
        <v>100</v>
      </c>
      <c r="X25" s="1302"/>
      <c r="Y25" s="3597"/>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597"/>
      <c r="Q26" s="1306"/>
      <c r="R26" s="1307"/>
      <c r="S26" s="1308"/>
      <c r="T26" s="1307"/>
      <c r="U26" s="1308"/>
      <c r="V26" s="1307"/>
      <c r="W26" s="1308"/>
      <c r="X26" s="1302"/>
      <c r="Y26" s="3597"/>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597"/>
      <c r="Q27" s="1306" t="str">
        <f t="shared" ref="Q27:Q47" si="8">B27</f>
        <v>楼层</v>
      </c>
      <c r="R27" s="1307" t="s">
        <v>5</v>
      </c>
      <c r="S27" s="1308">
        <f>F27</f>
        <v>100</v>
      </c>
      <c r="T27" s="1307" t="s">
        <v>5</v>
      </c>
      <c r="U27" s="1308">
        <f>H27</f>
        <v>100</v>
      </c>
      <c r="V27" s="1307" t="s">
        <v>5</v>
      </c>
      <c r="W27" s="1308">
        <f>J27</f>
        <v>100</v>
      </c>
      <c r="X27" s="1302"/>
      <c r="Y27" s="3597"/>
      <c r="Z27" s="1309" t="str">
        <f>Q27</f>
        <v>楼层</v>
      </c>
      <c r="AA27" s="1309">
        <f t="shared" si="3"/>
        <v>1</v>
      </c>
      <c r="AB27" s="1309">
        <f t="shared" si="4"/>
        <v>1</v>
      </c>
      <c r="AC27" s="1309">
        <f t="shared" si="5"/>
        <v>1</v>
      </c>
    </row>
    <row r="28" spans="1:29" s="1059" customFormat="1" ht="15">
      <c r="A28" s="486"/>
      <c r="B28" s="510" t="s">
        <v>719</v>
      </c>
      <c r="C28" s="835"/>
      <c r="D28" s="516">
        <v>100</v>
      </c>
      <c r="E28" s="825"/>
      <c r="F28" s="516">
        <f>SUMIF(91:91,E28,92:92)-SUMIF(91:91,C28,92:92)+100</f>
        <v>100</v>
      </c>
      <c r="G28" s="835"/>
      <c r="H28" s="516">
        <f>SUMIF(91:91,G28,92:92)-SUMIF(91:91,C28,92:92)+100</f>
        <v>100</v>
      </c>
      <c r="I28" s="825"/>
      <c r="J28" s="516">
        <f>SUMIF(91:91,I28,92:92)-SUMIF(91:91,C28,92:92)+100</f>
        <v>100</v>
      </c>
      <c r="K28" s="533"/>
      <c r="L28" s="1743"/>
      <c r="M28" s="1640"/>
      <c r="N28" s="1640"/>
      <c r="O28" s="1640"/>
      <c r="P28" s="3597"/>
      <c r="Q28" s="818" t="str">
        <f t="shared" si="8"/>
        <v>朝向</v>
      </c>
      <c r="R28" s="1303" t="s">
        <v>5</v>
      </c>
      <c r="S28" s="1304">
        <f>F28</f>
        <v>100</v>
      </c>
      <c r="T28" s="1303" t="s">
        <v>5</v>
      </c>
      <c r="U28" s="1304">
        <f>H28</f>
        <v>100</v>
      </c>
      <c r="V28" s="1303" t="s">
        <v>5</v>
      </c>
      <c r="W28" s="1304">
        <f>J28</f>
        <v>100</v>
      </c>
      <c r="X28" s="1305"/>
      <c r="Y28" s="3597"/>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597"/>
      <c r="Q29" s="1306">
        <f t="shared" si="8"/>
        <v>111</v>
      </c>
      <c r="R29" s="1307" t="s">
        <v>5</v>
      </c>
      <c r="S29" s="1308">
        <f t="shared" ref="S29:S47" si="9">F29</f>
        <v>100</v>
      </c>
      <c r="T29" s="1307" t="s">
        <v>5</v>
      </c>
      <c r="U29" s="1308">
        <f t="shared" ref="U29:U47" si="10">H29</f>
        <v>100</v>
      </c>
      <c r="V29" s="1307" t="s">
        <v>5</v>
      </c>
      <c r="W29" s="1308">
        <f t="shared" ref="W29:W47" si="11">J29</f>
        <v>100</v>
      </c>
      <c r="X29" s="1302"/>
      <c r="Y29" s="3597"/>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597"/>
      <c r="Q30" s="1306">
        <f t="shared" si="8"/>
        <v>111</v>
      </c>
      <c r="R30" s="1307" t="s">
        <v>5</v>
      </c>
      <c r="S30" s="1308">
        <f t="shared" si="9"/>
        <v>100</v>
      </c>
      <c r="T30" s="1307" t="s">
        <v>5</v>
      </c>
      <c r="U30" s="1308">
        <f t="shared" si="10"/>
        <v>100</v>
      </c>
      <c r="V30" s="1307" t="s">
        <v>5</v>
      </c>
      <c r="W30" s="1308">
        <f t="shared" si="11"/>
        <v>100</v>
      </c>
      <c r="X30" s="1302"/>
      <c r="Y30" s="3597"/>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597"/>
      <c r="Q31" s="1306">
        <f t="shared" si="8"/>
        <v>111</v>
      </c>
      <c r="R31" s="1307" t="s">
        <v>5</v>
      </c>
      <c r="S31" s="1308">
        <f t="shared" si="9"/>
        <v>100</v>
      </c>
      <c r="T31" s="1307" t="s">
        <v>5</v>
      </c>
      <c r="U31" s="1308">
        <f t="shared" si="10"/>
        <v>100</v>
      </c>
      <c r="V31" s="1307" t="s">
        <v>5</v>
      </c>
      <c r="W31" s="1308">
        <f t="shared" si="11"/>
        <v>100</v>
      </c>
      <c r="X31" s="1302"/>
      <c r="Y31" s="3597"/>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597"/>
      <c r="Q32" s="1306">
        <f t="shared" si="8"/>
        <v>111</v>
      </c>
      <c r="R32" s="1307" t="s">
        <v>5</v>
      </c>
      <c r="S32" s="1308">
        <f t="shared" si="9"/>
        <v>100</v>
      </c>
      <c r="T32" s="1307" t="s">
        <v>5</v>
      </c>
      <c r="U32" s="1308">
        <f t="shared" si="10"/>
        <v>100</v>
      </c>
      <c r="V32" s="1307" t="s">
        <v>5</v>
      </c>
      <c r="W32" s="1308">
        <f t="shared" si="11"/>
        <v>100</v>
      </c>
      <c r="X32" s="1302"/>
      <c r="Y32" s="3597"/>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598" t="s">
        <v>499</v>
      </c>
      <c r="Q33" s="1306" t="str">
        <f t="shared" si="8"/>
        <v>建筑类型</v>
      </c>
      <c r="R33" s="1307" t="s">
        <v>5</v>
      </c>
      <c r="S33" s="1308">
        <f t="shared" si="9"/>
        <v>100</v>
      </c>
      <c r="T33" s="1307" t="s">
        <v>5</v>
      </c>
      <c r="U33" s="1308">
        <f t="shared" si="10"/>
        <v>100</v>
      </c>
      <c r="V33" s="1307" t="s">
        <v>5</v>
      </c>
      <c r="W33" s="1308">
        <f t="shared" si="11"/>
        <v>100</v>
      </c>
      <c r="X33" s="1302"/>
      <c r="Y33" s="3599" t="s">
        <v>499</v>
      </c>
      <c r="Z33" s="1309" t="str">
        <f t="shared" si="12"/>
        <v>建筑类型</v>
      </c>
      <c r="AA33" s="1309">
        <f t="shared" si="3"/>
        <v>1</v>
      </c>
      <c r="AB33" s="1309">
        <f t="shared" si="4"/>
        <v>1</v>
      </c>
      <c r="AC33" s="1309">
        <f t="shared" si="5"/>
        <v>1</v>
      </c>
    </row>
    <row r="34" spans="1:29" s="1133"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599"/>
      <c r="Q34" s="819" t="str">
        <f t="shared" si="8"/>
        <v>项目建筑规模</v>
      </c>
      <c r="R34" s="1310" t="s">
        <v>5</v>
      </c>
      <c r="S34" s="1311" t="e">
        <f t="shared" si="9"/>
        <v>#N/A</v>
      </c>
      <c r="T34" s="1310" t="s">
        <v>5</v>
      </c>
      <c r="U34" s="1311" t="e">
        <f t="shared" si="10"/>
        <v>#N/A</v>
      </c>
      <c r="V34" s="1310" t="s">
        <v>5</v>
      </c>
      <c r="W34" s="1311" t="e">
        <f t="shared" si="11"/>
        <v>#N/A</v>
      </c>
      <c r="X34" s="1312"/>
      <c r="Y34" s="3599"/>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599"/>
      <c r="Q35" s="1306" t="str">
        <f t="shared" si="8"/>
        <v>建筑结构</v>
      </c>
      <c r="R35" s="1307" t="s">
        <v>5</v>
      </c>
      <c r="S35" s="1308">
        <f t="shared" si="9"/>
        <v>100</v>
      </c>
      <c r="T35" s="1307" t="s">
        <v>5</v>
      </c>
      <c r="U35" s="1308">
        <f t="shared" si="10"/>
        <v>100</v>
      </c>
      <c r="V35" s="1307" t="s">
        <v>5</v>
      </c>
      <c r="W35" s="1308">
        <f t="shared" si="11"/>
        <v>100</v>
      </c>
      <c r="X35" s="1302"/>
      <c r="Y35" s="3599"/>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599"/>
      <c r="Q36" s="1306" t="str">
        <f t="shared" si="8"/>
        <v>公共部分装修</v>
      </c>
      <c r="R36" s="1307" t="s">
        <v>5</v>
      </c>
      <c r="S36" s="1308">
        <f t="shared" si="9"/>
        <v>100</v>
      </c>
      <c r="T36" s="1307" t="s">
        <v>5</v>
      </c>
      <c r="U36" s="1308">
        <f t="shared" si="10"/>
        <v>100</v>
      </c>
      <c r="V36" s="1307" t="s">
        <v>5</v>
      </c>
      <c r="W36" s="1308">
        <f t="shared" si="11"/>
        <v>100</v>
      </c>
      <c r="X36" s="1302"/>
      <c r="Y36" s="3599"/>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599"/>
      <c r="Q37" s="1306" t="str">
        <f t="shared" si="8"/>
        <v>成新度</v>
      </c>
      <c r="R37" s="1307" t="s">
        <v>5</v>
      </c>
      <c r="S37" s="1308" t="e">
        <f t="shared" si="9"/>
        <v>#N/A</v>
      </c>
      <c r="T37" s="1307" t="s">
        <v>5</v>
      </c>
      <c r="U37" s="1308" t="e">
        <f t="shared" si="10"/>
        <v>#N/A</v>
      </c>
      <c r="V37" s="1307" t="s">
        <v>5</v>
      </c>
      <c r="W37" s="1308" t="e">
        <f t="shared" si="11"/>
        <v>#N/A</v>
      </c>
      <c r="X37" s="1302"/>
      <c r="Y37" s="3599"/>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599"/>
      <c r="Q38" s="818" t="str">
        <f t="shared" si="8"/>
        <v>写字楼等级</v>
      </c>
      <c r="R38" s="1303" t="s">
        <v>5</v>
      </c>
      <c r="S38" s="1304">
        <f t="shared" si="9"/>
        <v>100</v>
      </c>
      <c r="T38" s="1303" t="s">
        <v>5</v>
      </c>
      <c r="U38" s="1304">
        <f t="shared" si="10"/>
        <v>100</v>
      </c>
      <c r="V38" s="1303" t="s">
        <v>5</v>
      </c>
      <c r="W38" s="1304">
        <f t="shared" si="11"/>
        <v>100</v>
      </c>
      <c r="X38" s="1305"/>
      <c r="Y38" s="3599"/>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599" t="s">
        <v>499</v>
      </c>
      <c r="Q39" s="1306" t="str">
        <f t="shared" si="8"/>
        <v>物业管理</v>
      </c>
      <c r="R39" s="1307" t="s">
        <v>5</v>
      </c>
      <c r="S39" s="1308">
        <f t="shared" si="9"/>
        <v>100</v>
      </c>
      <c r="T39" s="1307" t="s">
        <v>5</v>
      </c>
      <c r="U39" s="1308">
        <f t="shared" si="10"/>
        <v>100</v>
      </c>
      <c r="V39" s="1307" t="s">
        <v>5</v>
      </c>
      <c r="W39" s="1308">
        <f t="shared" si="11"/>
        <v>100</v>
      </c>
      <c r="X39" s="1302"/>
      <c r="Y39" s="3599"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599"/>
      <c r="Q40" s="1306" t="str">
        <f t="shared" si="8"/>
        <v>市政基础设施</v>
      </c>
      <c r="R40" s="1307" t="s">
        <v>5</v>
      </c>
      <c r="S40" s="1308">
        <f t="shared" si="9"/>
        <v>100</v>
      </c>
      <c r="T40" s="1307" t="s">
        <v>5</v>
      </c>
      <c r="U40" s="1308">
        <f t="shared" si="10"/>
        <v>100</v>
      </c>
      <c r="V40" s="1307" t="s">
        <v>5</v>
      </c>
      <c r="W40" s="1308">
        <f t="shared" si="11"/>
        <v>100</v>
      </c>
      <c r="X40" s="1302"/>
      <c r="Y40" s="3599"/>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599"/>
      <c r="Q41" s="1306" t="str">
        <f t="shared" si="8"/>
        <v>层高</v>
      </c>
      <c r="R41" s="1307" t="s">
        <v>5</v>
      </c>
      <c r="S41" s="1308">
        <f t="shared" si="9"/>
        <v>100</v>
      </c>
      <c r="T41" s="1307" t="s">
        <v>5</v>
      </c>
      <c r="U41" s="1308">
        <f t="shared" si="10"/>
        <v>100</v>
      </c>
      <c r="V41" s="1307" t="s">
        <v>5</v>
      </c>
      <c r="W41" s="1308">
        <f t="shared" si="11"/>
        <v>100</v>
      </c>
      <c r="X41" s="1302"/>
      <c r="Y41" s="3599"/>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599"/>
      <c r="Q42" s="819" t="str">
        <f t="shared" si="8"/>
        <v>单套建筑面积</v>
      </c>
      <c r="R42" s="1310" t="s">
        <v>5</v>
      </c>
      <c r="S42" s="1311">
        <f t="shared" si="9"/>
        <v>100</v>
      </c>
      <c r="T42" s="1310" t="s">
        <v>5</v>
      </c>
      <c r="U42" s="1311">
        <f t="shared" si="10"/>
        <v>100</v>
      </c>
      <c r="V42" s="1310" t="s">
        <v>5</v>
      </c>
      <c r="W42" s="1311">
        <f t="shared" si="11"/>
        <v>100</v>
      </c>
      <c r="X42" s="1312"/>
      <c r="Y42" s="3599"/>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599"/>
      <c r="Q43" s="1306" t="str">
        <f t="shared" si="8"/>
        <v>内部装修</v>
      </c>
      <c r="R43" s="1307" t="s">
        <v>5</v>
      </c>
      <c r="S43" s="1308">
        <f t="shared" si="9"/>
        <v>100</v>
      </c>
      <c r="T43" s="1307" t="s">
        <v>5</v>
      </c>
      <c r="U43" s="1308">
        <f t="shared" si="10"/>
        <v>100</v>
      </c>
      <c r="V43" s="1307" t="s">
        <v>5</v>
      </c>
      <c r="W43" s="1308">
        <f t="shared" si="11"/>
        <v>100</v>
      </c>
      <c r="X43" s="1302"/>
      <c r="Y43" s="3599"/>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599"/>
      <c r="Q44" s="1306" t="str">
        <f t="shared" si="8"/>
        <v>内部装修维护情况</v>
      </c>
      <c r="R44" s="1307" t="s">
        <v>5</v>
      </c>
      <c r="S44" s="1308">
        <f t="shared" si="9"/>
        <v>100</v>
      </c>
      <c r="T44" s="1307" t="s">
        <v>5</v>
      </c>
      <c r="U44" s="1308">
        <f t="shared" si="10"/>
        <v>100</v>
      </c>
      <c r="V44" s="1307" t="s">
        <v>5</v>
      </c>
      <c r="W44" s="1308">
        <f t="shared" si="11"/>
        <v>100</v>
      </c>
      <c r="X44" s="1302"/>
      <c r="Y44" s="3599"/>
      <c r="Z44" s="1309" t="str">
        <f t="shared" si="12"/>
        <v>内部装修维护情况</v>
      </c>
      <c r="AA44" s="1309">
        <f t="shared" si="3"/>
        <v>1</v>
      </c>
      <c r="AB44" s="1309">
        <f t="shared" si="4"/>
        <v>1</v>
      </c>
      <c r="AC44" s="1309">
        <f t="shared" si="5"/>
        <v>1</v>
      </c>
    </row>
    <row r="45" spans="1:29" s="1059"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599"/>
      <c r="Q45" s="818">
        <f t="shared" si="8"/>
        <v>111</v>
      </c>
      <c r="R45" s="1303" t="s">
        <v>5</v>
      </c>
      <c r="S45" s="1304">
        <f t="shared" si="9"/>
        <v>100</v>
      </c>
      <c r="T45" s="1303" t="s">
        <v>5</v>
      </c>
      <c r="U45" s="1304">
        <f t="shared" si="10"/>
        <v>100</v>
      </c>
      <c r="V45" s="1303" t="s">
        <v>5</v>
      </c>
      <c r="W45" s="1304">
        <f t="shared" si="11"/>
        <v>100</v>
      </c>
      <c r="X45" s="1305"/>
      <c r="Y45" s="3599"/>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599"/>
      <c r="Q46" s="1306">
        <f t="shared" si="8"/>
        <v>111</v>
      </c>
      <c r="R46" s="1307" t="s">
        <v>5</v>
      </c>
      <c r="S46" s="1308">
        <f t="shared" si="9"/>
        <v>100</v>
      </c>
      <c r="T46" s="1307" t="s">
        <v>5</v>
      </c>
      <c r="U46" s="1308">
        <f t="shared" si="10"/>
        <v>100</v>
      </c>
      <c r="V46" s="1307" t="s">
        <v>5</v>
      </c>
      <c r="W46" s="1308">
        <f t="shared" si="11"/>
        <v>100</v>
      </c>
      <c r="X46" s="1302"/>
      <c r="Y46" s="3599"/>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10"/>
      <c r="Q47" s="1306">
        <f t="shared" si="8"/>
        <v>111</v>
      </c>
      <c r="R47" s="1307" t="s">
        <v>5</v>
      </c>
      <c r="S47" s="1308">
        <f t="shared" si="9"/>
        <v>100</v>
      </c>
      <c r="T47" s="1307" t="s">
        <v>5</v>
      </c>
      <c r="U47" s="1308">
        <f t="shared" si="10"/>
        <v>100</v>
      </c>
      <c r="V47" s="1307" t="s">
        <v>5</v>
      </c>
      <c r="W47" s="1308">
        <f t="shared" si="11"/>
        <v>100</v>
      </c>
      <c r="X47" s="1302"/>
      <c r="Y47" s="3710"/>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01" t="str">
        <f>A48</f>
        <v>成交单价（元/平方米）</v>
      </c>
      <c r="Q48" s="3594"/>
      <c r="R48" s="3610">
        <f>E48</f>
        <v>0</v>
      </c>
      <c r="S48" s="3610"/>
      <c r="T48" s="3610">
        <f>G48</f>
        <v>0</v>
      </c>
      <c r="U48" s="3610"/>
      <c r="V48" s="3610">
        <f>I48</f>
        <v>0</v>
      </c>
      <c r="W48" s="3610"/>
      <c r="X48" s="799"/>
      <c r="Y48" s="1314"/>
      <c r="Z48" s="799"/>
      <c r="AA48" s="799"/>
      <c r="AB48" s="799"/>
      <c r="AC48" s="799"/>
    </row>
    <row r="49" spans="1:29" ht="15.75" thickBot="1">
      <c r="A49" s="564" t="s">
        <v>2042</v>
      </c>
      <c r="B49" s="813"/>
      <c r="C49" s="2082" t="e">
        <f>R50</f>
        <v>#DIV/0!</v>
      </c>
      <c r="D49" s="2550" t="s">
        <v>2256</v>
      </c>
      <c r="E49" s="2083" t="e">
        <f>R49</f>
        <v>#DIV/0!</v>
      </c>
      <c r="F49" s="2551"/>
      <c r="G49" s="2082" t="e">
        <f>T49</f>
        <v>#DIV/0!</v>
      </c>
      <c r="H49" s="2551"/>
      <c r="I49" s="2083" t="e">
        <f>V49</f>
        <v>#DIV/0!</v>
      </c>
      <c r="J49" s="2551"/>
      <c r="K49" s="2558">
        <f>F49+H49+J49</f>
        <v>0</v>
      </c>
      <c r="L49" s="1751"/>
      <c r="M49" s="1742"/>
      <c r="N49" s="1742"/>
      <c r="O49" s="1742"/>
      <c r="P49" s="3601" t="str">
        <f>A49</f>
        <v>比较价格（元/平方米）</v>
      </c>
      <c r="Q49" s="3594"/>
      <c r="R49" s="3610" t="e">
        <f>IF(F1="售价",ROUND(PRODUCT(R48,AA7:AA47),0),ROUND(PRODUCT(R48,AA7:AA47),1))</f>
        <v>#DIV/0!</v>
      </c>
      <c r="S49" s="3610"/>
      <c r="T49" s="3610" t="e">
        <f>IF(F1="售价",ROUND(PRODUCT(T48,AB7:AB47),0),ROUND(PRODUCT(T48,AB7:AB47),1))</f>
        <v>#DIV/0!</v>
      </c>
      <c r="U49" s="3610"/>
      <c r="V49" s="3610" t="e">
        <f>IF(F1="售价",ROUND(PRODUCT(V48,AC7:AC47),0),ROUND(PRODUCT(V48,AC7:AC47),1))</f>
        <v>#DIV/0!</v>
      </c>
      <c r="W49" s="3610"/>
      <c r="X49" s="799"/>
      <c r="Y49" s="799"/>
      <c r="Z49" s="799"/>
      <c r="AA49" s="799"/>
      <c r="AB49" s="799"/>
      <c r="AC49" s="799"/>
    </row>
    <row r="50" spans="1:29" ht="15.75" thickBot="1">
      <c r="A50" s="568" t="s">
        <v>2193</v>
      </c>
      <c r="B50" s="569"/>
      <c r="C50" s="469" t="e">
        <f>R50</f>
        <v>#DIV/0!</v>
      </c>
      <c r="D50" s="469"/>
      <c r="E50" s="469"/>
      <c r="F50" s="469"/>
      <c r="G50" s="469"/>
      <c r="H50" s="469"/>
      <c r="I50" s="469"/>
      <c r="J50" s="469"/>
      <c r="K50" s="1336"/>
      <c r="L50" s="1751"/>
      <c r="M50" s="1742"/>
      <c r="N50" s="1742"/>
      <c r="O50" s="1742"/>
      <c r="P50" s="3716" t="str">
        <f>A50</f>
        <v>估价对象XX用房的比较价格（楼面单价，元/平方米）</v>
      </c>
      <c r="Q50" s="3601"/>
      <c r="R50" s="3709" t="e">
        <f>IF(F1="售价",ROUND(IF(D49="简单平均",AVERAGE(R49:V49),R49*F49+T49*H49+V49*J49),0),ROUND(IF(D49="简单平均",AVERAGE(R49:V49),R49*F49+T49*H49+V49*J49),1))</f>
        <v>#DIV/0!</v>
      </c>
      <c r="S50" s="3709"/>
      <c r="T50" s="3709"/>
      <c r="U50" s="3709"/>
      <c r="V50" s="3709"/>
      <c r="W50" s="3709"/>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2023-5</v>
      </c>
      <c r="D59" s="2115">
        <f>EDATE(C59,-1)</f>
        <v>45017</v>
      </c>
      <c r="E59" s="2115">
        <f t="shared" ref="E59:O59" si="13">EDATE(D59,-1)</f>
        <v>44986</v>
      </c>
      <c r="F59" s="2115">
        <f t="shared" si="13"/>
        <v>44958</v>
      </c>
      <c r="G59" s="2115">
        <f t="shared" si="13"/>
        <v>44927</v>
      </c>
      <c r="H59" s="2115">
        <f t="shared" si="13"/>
        <v>44896</v>
      </c>
      <c r="I59" s="2115">
        <f t="shared" si="13"/>
        <v>44866</v>
      </c>
      <c r="J59" s="2115">
        <f t="shared" si="13"/>
        <v>44835</v>
      </c>
      <c r="K59" s="2115">
        <f t="shared" si="13"/>
        <v>44805</v>
      </c>
      <c r="L59" s="2115">
        <f t="shared" si="13"/>
        <v>44774</v>
      </c>
      <c r="M59" s="2115">
        <f t="shared" si="13"/>
        <v>44743</v>
      </c>
      <c r="N59" s="2115">
        <f t="shared" si="13"/>
        <v>44713</v>
      </c>
      <c r="O59" s="2115">
        <f t="shared" si="13"/>
        <v>44682</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470</v>
      </c>
      <c r="B4" s="464"/>
      <c r="C4" s="3602" t="s">
        <v>471</v>
      </c>
      <c r="D4" s="3603"/>
      <c r="E4" s="3628" t="s">
        <v>472</v>
      </c>
      <c r="F4" s="3629"/>
      <c r="G4" s="3602" t="s">
        <v>473</v>
      </c>
      <c r="H4" s="3603"/>
      <c r="I4" s="3602" t="s">
        <v>474</v>
      </c>
      <c r="J4" s="3603"/>
      <c r="K4" s="465" t="s">
        <v>475</v>
      </c>
      <c r="L4" s="1741"/>
      <c r="M4" s="1742"/>
      <c r="N4" s="1742"/>
      <c r="O4" s="1742"/>
      <c r="P4" s="3604" t="s">
        <v>476</v>
      </c>
      <c r="Q4" s="3605"/>
      <c r="R4" s="3588" t="s">
        <v>472</v>
      </c>
      <c r="S4" s="3589"/>
      <c r="T4" s="3588" t="s">
        <v>473</v>
      </c>
      <c r="U4" s="3589"/>
      <c r="V4" s="3610" t="s">
        <v>474</v>
      </c>
      <c r="W4" s="3610"/>
      <c r="X4" s="1302"/>
      <c r="Y4" s="3588" t="s">
        <v>476</v>
      </c>
      <c r="Z4" s="3589"/>
      <c r="AA4" s="3583" t="s">
        <v>472</v>
      </c>
      <c r="AB4" s="3584" t="s">
        <v>473</v>
      </c>
      <c r="AC4" s="3583" t="s">
        <v>474</v>
      </c>
    </row>
    <row r="5" spans="1:29" ht="15">
      <c r="A5" s="466"/>
      <c r="B5" s="467"/>
      <c r="C5" s="3613" t="s">
        <v>2187</v>
      </c>
      <c r="D5" s="3614"/>
      <c r="E5" s="3630" t="s">
        <v>2188</v>
      </c>
      <c r="F5" s="3631"/>
      <c r="G5" s="3613" t="s">
        <v>2189</v>
      </c>
      <c r="H5" s="3614"/>
      <c r="I5" s="3613" t="s">
        <v>2190</v>
      </c>
      <c r="J5" s="3614"/>
      <c r="K5" s="465"/>
      <c r="L5" s="1741"/>
      <c r="M5" s="1742"/>
      <c r="N5" s="1742"/>
      <c r="O5" s="1742"/>
      <c r="P5" s="3606"/>
      <c r="Q5" s="3607"/>
      <c r="R5" s="3590"/>
      <c r="S5" s="3591"/>
      <c r="T5" s="3590"/>
      <c r="U5" s="3591"/>
      <c r="V5" s="3610"/>
      <c r="W5" s="3610"/>
      <c r="X5" s="1302"/>
      <c r="Y5" s="3590"/>
      <c r="Z5" s="3591"/>
      <c r="AA5" s="3584"/>
      <c r="AB5" s="3584"/>
      <c r="AC5" s="3584"/>
    </row>
    <row r="6" spans="1:29" ht="15.75" thickBot="1">
      <c r="A6" s="468"/>
      <c r="B6" s="469"/>
      <c r="C6" s="3611" t="s">
        <v>2191</v>
      </c>
      <c r="D6" s="3612"/>
      <c r="E6" s="3632" t="s">
        <v>2191</v>
      </c>
      <c r="F6" s="3633"/>
      <c r="G6" s="3611" t="s">
        <v>2191</v>
      </c>
      <c r="H6" s="3612"/>
      <c r="I6" s="3611" t="s">
        <v>2191</v>
      </c>
      <c r="J6" s="3612"/>
      <c r="K6" s="465" t="s">
        <v>477</v>
      </c>
      <c r="L6" s="1741"/>
      <c r="M6" s="1742"/>
      <c r="N6" s="1742"/>
      <c r="O6" s="1742"/>
      <c r="P6" s="3608"/>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SUMIF(52:52,YEAR(E7)&amp;"-"&amp;MONTH(E7),53:53)</f>
        <v>0</v>
      </c>
      <c r="G7" s="472"/>
      <c r="H7" s="471">
        <f>SUMIF(52:52,YEAR(G7)&amp;"-"&amp;MONTH(G7),53:53)</f>
        <v>0</v>
      </c>
      <c r="I7" s="472"/>
      <c r="J7" s="471">
        <f>SUMIF(52:52,YEAR(I7)&amp;"-"&amp;MONTH(I7),53:53)</f>
        <v>0</v>
      </c>
      <c r="K7" s="88"/>
      <c r="L7" s="1743"/>
      <c r="M7" s="1640"/>
      <c r="N7" s="1640"/>
      <c r="O7" s="1640"/>
      <c r="P7" s="3586" t="s">
        <v>479</v>
      </c>
      <c r="Q7" s="3595"/>
      <c r="R7" s="1303" t="s">
        <v>5</v>
      </c>
      <c r="S7" s="1304">
        <f t="shared" ref="S7:S15" si="0">F7</f>
        <v>0</v>
      </c>
      <c r="T7" s="1303" t="s">
        <v>5</v>
      </c>
      <c r="U7" s="1304">
        <f t="shared" ref="U7:U15" si="1">H7</f>
        <v>0</v>
      </c>
      <c r="V7" s="1303" t="s">
        <v>5</v>
      </c>
      <c r="W7" s="1304">
        <f t="shared" ref="W7:W15"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86" t="s">
        <v>482</v>
      </c>
      <c r="Q8" s="3587"/>
      <c r="R8" s="1303" t="s">
        <v>5</v>
      </c>
      <c r="S8" s="1304">
        <f t="shared" si="0"/>
        <v>0</v>
      </c>
      <c r="T8" s="1303" t="s">
        <v>5</v>
      </c>
      <c r="U8" s="1304">
        <f t="shared" si="1"/>
        <v>0</v>
      </c>
      <c r="V8" s="1303" t="s">
        <v>5</v>
      </c>
      <c r="W8" s="1304">
        <f t="shared" si="2"/>
        <v>0</v>
      </c>
      <c r="X8" s="1305"/>
      <c r="Y8" s="3586" t="s">
        <v>482</v>
      </c>
      <c r="Z8" s="3587"/>
      <c r="AA8" s="996" t="e">
        <f t="shared" ref="AA8:AA40" si="3">D8/F8</f>
        <v>#DIV/0!</v>
      </c>
      <c r="AB8" s="996" t="e">
        <f t="shared" ref="AB8:AB40" si="4">D8/H8</f>
        <v>#DIV/0!</v>
      </c>
      <c r="AC8" s="996" t="e">
        <f t="shared" ref="AC8:AC40" si="5">D8/J8</f>
        <v>#DIV/0!</v>
      </c>
    </row>
    <row r="9" spans="1:29" s="1059"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4" t="s">
        <v>484</v>
      </c>
      <c r="Q9" s="818"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4"/>
      <c r="Q11" s="818" t="str">
        <f t="shared" si="6"/>
        <v>容积率</v>
      </c>
      <c r="R11" s="1303" t="s">
        <v>5</v>
      </c>
      <c r="S11" s="1304" t="e">
        <f t="shared" si="0"/>
        <v>#N/A</v>
      </c>
      <c r="T11" s="1303" t="s">
        <v>5</v>
      </c>
      <c r="U11" s="1304" t="e">
        <f t="shared" si="1"/>
        <v>#N/A</v>
      </c>
      <c r="V11" s="1303" t="s">
        <v>5</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SUMIF(64:64,E12,65:65)-SUMIF(64:64,C12,65:65)+100</f>
        <v>100</v>
      </c>
      <c r="G12" s="841"/>
      <c r="H12" s="235">
        <f>SUMIF(64:64,G12,65:65)-SUMIF(64:64,C12,65:65)+100</f>
        <v>100</v>
      </c>
      <c r="I12" s="806"/>
      <c r="J12" s="235">
        <f>SUMIF(64:64,I12,65:65)-SUMIF(64:64,C12,65:65)+100</f>
        <v>100</v>
      </c>
      <c r="K12" s="531"/>
      <c r="L12" s="1743"/>
      <c r="M12" s="1640"/>
      <c r="N12" s="1640"/>
      <c r="O12" s="1744"/>
      <c r="P12" s="3594"/>
      <c r="Q12" s="818">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
      <c r="A13" s="2214"/>
      <c r="B13" s="2220">
        <v>111</v>
      </c>
      <c r="C13" s="489"/>
      <c r="D13" s="490">
        <v>100</v>
      </c>
      <c r="E13" s="489"/>
      <c r="F13" s="235">
        <f>SUMIF(66:66,E13,67:67)-SUMIF(66:66,C13,67:67)+100</f>
        <v>100</v>
      </c>
      <c r="G13" s="841"/>
      <c r="H13" s="490">
        <f>SUMIF(66:66,G13,67:67)-SUMIF(66:66,C13,67:67)+100</f>
        <v>100</v>
      </c>
      <c r="I13" s="806"/>
      <c r="J13" s="490">
        <f>SUMIF(66:66,I13,67:67)-SUMIF(66:66,C13,67:67)+100</f>
        <v>100</v>
      </c>
      <c r="K13" s="531"/>
      <c r="L13" s="1749"/>
      <c r="M13" s="1742"/>
      <c r="N13" s="1742"/>
      <c r="O13" s="1748"/>
      <c r="P13" s="3594"/>
      <c r="Q13" s="818">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5.75" thickBot="1">
      <c r="A14" s="2215"/>
      <c r="B14" s="2221">
        <v>111</v>
      </c>
      <c r="C14" s="495"/>
      <c r="D14" s="496">
        <v>100</v>
      </c>
      <c r="E14" s="495"/>
      <c r="F14" s="496">
        <f>SUMIF(68:68,E14,69:69)-SUMIF(68:68,C14,69:69)+100</f>
        <v>100</v>
      </c>
      <c r="G14" s="841"/>
      <c r="H14" s="496">
        <f>SUMIF(68:68,G14,69:69)-SUMIF(68:68,C14,69:69)+100</f>
        <v>100</v>
      </c>
      <c r="I14" s="806"/>
      <c r="J14" s="496">
        <f>SUMIF(68:68,I14,69:69)-SUMIF(68:68,C14,69:69)+100</f>
        <v>100</v>
      </c>
      <c r="K14" s="531"/>
      <c r="L14" s="1749"/>
      <c r="M14" s="1742"/>
      <c r="N14" s="1742"/>
      <c r="O14" s="1748"/>
      <c r="P14" s="3594"/>
      <c r="Q14" s="818">
        <f t="shared" si="6"/>
        <v>111</v>
      </c>
      <c r="R14" s="1303" t="s">
        <v>5</v>
      </c>
      <c r="S14" s="1304">
        <f t="shared" si="0"/>
        <v>100</v>
      </c>
      <c r="T14" s="1303" t="s">
        <v>5</v>
      </c>
      <c r="U14" s="1304">
        <f t="shared" si="1"/>
        <v>100</v>
      </c>
      <c r="V14" s="1303" t="s">
        <v>5</v>
      </c>
      <c r="W14" s="1304">
        <f t="shared" si="2"/>
        <v>100</v>
      </c>
      <c r="X14" s="1305"/>
      <c r="Y14" s="3546"/>
      <c r="Z14" s="996">
        <f t="shared" si="7"/>
        <v>111</v>
      </c>
      <c r="AA14" s="996">
        <f t="shared" si="3"/>
        <v>1</v>
      </c>
      <c r="AB14" s="996">
        <f t="shared" si="4"/>
        <v>1</v>
      </c>
      <c r="AC14" s="996">
        <f t="shared" si="5"/>
        <v>1</v>
      </c>
    </row>
    <row r="15" spans="1:29" ht="57">
      <c r="A15" s="2207" t="s">
        <v>2036</v>
      </c>
      <c r="B15" s="150" t="s">
        <v>729</v>
      </c>
      <c r="C15" s="842"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596" t="s">
        <v>489</v>
      </c>
      <c r="Q15" s="1306" t="str">
        <f t="shared" si="6"/>
        <v>产业集聚程度</v>
      </c>
      <c r="R15" s="1307" t="s">
        <v>5</v>
      </c>
      <c r="S15" s="1308">
        <f t="shared" si="0"/>
        <v>100</v>
      </c>
      <c r="T15" s="1307" t="s">
        <v>5</v>
      </c>
      <c r="U15" s="1308">
        <f t="shared" si="1"/>
        <v>100</v>
      </c>
      <c r="V15" s="1307" t="s">
        <v>5</v>
      </c>
      <c r="W15" s="1308">
        <f t="shared" si="2"/>
        <v>100</v>
      </c>
      <c r="X15" s="1302"/>
      <c r="Y15" s="3596"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597"/>
      <c r="Q16" s="1306"/>
      <c r="R16" s="1307"/>
      <c r="S16" s="1308"/>
      <c r="T16" s="1307"/>
      <c r="U16" s="1308"/>
      <c r="V16" s="1307"/>
      <c r="W16" s="1308"/>
      <c r="X16" s="1302"/>
      <c r="Y16" s="3597"/>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597"/>
      <c r="Q17" s="1306" t="str">
        <f>B17</f>
        <v>交通便捷度</v>
      </c>
      <c r="R17" s="1307" t="s">
        <v>5</v>
      </c>
      <c r="S17" s="1308">
        <f>F17</f>
        <v>100</v>
      </c>
      <c r="T17" s="1307" t="s">
        <v>5</v>
      </c>
      <c r="U17" s="1308">
        <f>H17</f>
        <v>100</v>
      </c>
      <c r="V17" s="1307" t="s">
        <v>5</v>
      </c>
      <c r="W17" s="1308">
        <f>J17</f>
        <v>100</v>
      </c>
      <c r="X17" s="1302"/>
      <c r="Y17" s="359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597"/>
      <c r="Q18" s="1306"/>
      <c r="R18" s="1307"/>
      <c r="S18" s="1308"/>
      <c r="T18" s="1307"/>
      <c r="U18" s="1308"/>
      <c r="V18" s="1307"/>
      <c r="W18" s="1308"/>
      <c r="X18" s="1302"/>
      <c r="Y18" s="3597"/>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597"/>
      <c r="Q19" s="1306" t="str">
        <f>B19</f>
        <v>公共配套设施</v>
      </c>
      <c r="R19" s="1307" t="s">
        <v>5</v>
      </c>
      <c r="S19" s="1308">
        <f>F19</f>
        <v>100</v>
      </c>
      <c r="T19" s="1307" t="s">
        <v>5</v>
      </c>
      <c r="U19" s="1308">
        <f>H19</f>
        <v>100</v>
      </c>
      <c r="V19" s="1307" t="s">
        <v>5</v>
      </c>
      <c r="W19" s="1308">
        <f>J19</f>
        <v>100</v>
      </c>
      <c r="X19" s="1302"/>
      <c r="Y19" s="3597"/>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597"/>
      <c r="Q20" s="1306"/>
      <c r="R20" s="1307"/>
      <c r="S20" s="1308"/>
      <c r="T20" s="1307"/>
      <c r="U20" s="1308"/>
      <c r="V20" s="1307"/>
      <c r="W20" s="1308"/>
      <c r="X20" s="1302"/>
      <c r="Y20" s="3597"/>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597"/>
      <c r="Q21" s="1306" t="str">
        <f>B21</f>
        <v>基础设施水平</v>
      </c>
      <c r="R21" s="1307" t="s">
        <v>5</v>
      </c>
      <c r="S21" s="1308">
        <f>F21</f>
        <v>100</v>
      </c>
      <c r="T21" s="1307" t="s">
        <v>5</v>
      </c>
      <c r="U21" s="1308">
        <f>H21</f>
        <v>100</v>
      </c>
      <c r="V21" s="1307" t="s">
        <v>5</v>
      </c>
      <c r="W21" s="1308">
        <f>J21</f>
        <v>100</v>
      </c>
      <c r="X21" s="1302"/>
      <c r="Y21" s="3597"/>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597"/>
      <c r="Q22" s="1306"/>
      <c r="R22" s="1307"/>
      <c r="S22" s="1308"/>
      <c r="T22" s="1307"/>
      <c r="U22" s="1308"/>
      <c r="V22" s="1307"/>
      <c r="W22" s="1308"/>
      <c r="X22" s="1302"/>
      <c r="Y22" s="3597"/>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597"/>
      <c r="Q23" s="1306" t="str">
        <f>B23</f>
        <v>环境质量</v>
      </c>
      <c r="R23" s="1307" t="s">
        <v>5</v>
      </c>
      <c r="S23" s="1308">
        <f>F23</f>
        <v>100</v>
      </c>
      <c r="T23" s="1307" t="s">
        <v>5</v>
      </c>
      <c r="U23" s="1308">
        <f>H23</f>
        <v>100</v>
      </c>
      <c r="V23" s="1307" t="s">
        <v>5</v>
      </c>
      <c r="W23" s="1308">
        <f>J23</f>
        <v>100</v>
      </c>
      <c r="X23" s="1302"/>
      <c r="Y23" s="3597"/>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3"/>
      <c r="L24" s="1749"/>
      <c r="M24" s="1742"/>
      <c r="N24" s="1742"/>
      <c r="O24" s="1748"/>
      <c r="P24" s="3597"/>
      <c r="Q24" s="1306"/>
      <c r="R24" s="1307"/>
      <c r="S24" s="1308"/>
      <c r="T24" s="1307"/>
      <c r="U24" s="1308"/>
      <c r="V24" s="1307"/>
      <c r="W24" s="1308"/>
      <c r="X24" s="1302"/>
      <c r="Y24" s="3597"/>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597"/>
      <c r="Q25" s="1306">
        <f>B25</f>
        <v>111</v>
      </c>
      <c r="R25" s="1307" t="s">
        <v>5</v>
      </c>
      <c r="S25" s="1308">
        <f>F25</f>
        <v>100</v>
      </c>
      <c r="T25" s="1307" t="s">
        <v>5</v>
      </c>
      <c r="U25" s="1308">
        <f>H25</f>
        <v>100</v>
      </c>
      <c r="V25" s="1307" t="s">
        <v>5</v>
      </c>
      <c r="W25" s="1308">
        <f>J25</f>
        <v>100</v>
      </c>
      <c r="X25" s="1302"/>
      <c r="Y25" s="3597"/>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597"/>
      <c r="Q26" s="1306">
        <f t="shared" ref="Q26:Q40" si="8">B26</f>
        <v>111</v>
      </c>
      <c r="R26" s="1307" t="s">
        <v>5</v>
      </c>
      <c r="S26" s="1308">
        <f>F26</f>
        <v>100</v>
      </c>
      <c r="T26" s="1307" t="s">
        <v>5</v>
      </c>
      <c r="U26" s="1308">
        <f>H26</f>
        <v>100</v>
      </c>
      <c r="V26" s="1307" t="s">
        <v>5</v>
      </c>
      <c r="W26" s="1308">
        <f>J26</f>
        <v>100</v>
      </c>
      <c r="X26" s="1302"/>
      <c r="Y26" s="3597"/>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597"/>
      <c r="Q27" s="818">
        <f t="shared" si="8"/>
        <v>111</v>
      </c>
      <c r="R27" s="1303" t="s">
        <v>5</v>
      </c>
      <c r="S27" s="1304">
        <f>F27</f>
        <v>100</v>
      </c>
      <c r="T27" s="1303" t="s">
        <v>5</v>
      </c>
      <c r="U27" s="1304">
        <f>H27</f>
        <v>100</v>
      </c>
      <c r="V27" s="1303" t="s">
        <v>5</v>
      </c>
      <c r="W27" s="1304">
        <f>J27</f>
        <v>100</v>
      </c>
      <c r="X27" s="1305"/>
      <c r="Y27" s="3597"/>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597"/>
      <c r="Q28" s="1306">
        <f t="shared" si="8"/>
        <v>111</v>
      </c>
      <c r="R28" s="1307" t="s">
        <v>5</v>
      </c>
      <c r="S28" s="1308">
        <f t="shared" ref="S28:S40" si="9">F28</f>
        <v>100</v>
      </c>
      <c r="T28" s="1307" t="s">
        <v>5</v>
      </c>
      <c r="U28" s="1308">
        <f t="shared" ref="U28:U40" si="10">H28</f>
        <v>100</v>
      </c>
      <c r="V28" s="1307" t="s">
        <v>5</v>
      </c>
      <c r="W28" s="1308">
        <f t="shared" ref="W28:W40" si="11">J28</f>
        <v>100</v>
      </c>
      <c r="X28" s="1302"/>
      <c r="Y28" s="3597"/>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598" t="s">
        <v>499</v>
      </c>
      <c r="Q29" s="1306" t="str">
        <f t="shared" si="8"/>
        <v>建筑类型</v>
      </c>
      <c r="R29" s="1307" t="s">
        <v>5</v>
      </c>
      <c r="S29" s="1308">
        <f t="shared" si="9"/>
        <v>100</v>
      </c>
      <c r="T29" s="1307" t="s">
        <v>5</v>
      </c>
      <c r="U29" s="1308">
        <f t="shared" si="10"/>
        <v>100</v>
      </c>
      <c r="V29" s="1307" t="s">
        <v>5</v>
      </c>
      <c r="W29" s="1308">
        <f t="shared" si="11"/>
        <v>100</v>
      </c>
      <c r="X29" s="1302"/>
      <c r="Y29" s="3599" t="s">
        <v>499</v>
      </c>
      <c r="Z29" s="1309" t="str">
        <f t="shared" si="12"/>
        <v>建筑类型</v>
      </c>
      <c r="AA29" s="1309">
        <f t="shared" si="3"/>
        <v>1</v>
      </c>
      <c r="AB29" s="1309">
        <f t="shared" si="4"/>
        <v>1</v>
      </c>
      <c r="AC29" s="1309">
        <f t="shared" si="5"/>
        <v>1</v>
      </c>
    </row>
    <row r="30" spans="1:29" s="1133"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599"/>
      <c r="Q30" s="819" t="str">
        <f t="shared" si="8"/>
        <v>项目建筑规模</v>
      </c>
      <c r="R30" s="1310" t="s">
        <v>5</v>
      </c>
      <c r="S30" s="1311" t="e">
        <f t="shared" si="9"/>
        <v>#N/A</v>
      </c>
      <c r="T30" s="1310" t="s">
        <v>5</v>
      </c>
      <c r="U30" s="1311" t="e">
        <f t="shared" si="10"/>
        <v>#N/A</v>
      </c>
      <c r="V30" s="1310" t="s">
        <v>5</v>
      </c>
      <c r="W30" s="1311" t="e">
        <f t="shared" si="11"/>
        <v>#N/A</v>
      </c>
      <c r="X30" s="1312"/>
      <c r="Y30" s="3599"/>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599"/>
      <c r="Q31" s="1306" t="str">
        <f t="shared" si="8"/>
        <v>建筑结构</v>
      </c>
      <c r="R31" s="1307" t="s">
        <v>5</v>
      </c>
      <c r="S31" s="1308">
        <f t="shared" si="9"/>
        <v>100</v>
      </c>
      <c r="T31" s="1307" t="s">
        <v>5</v>
      </c>
      <c r="U31" s="1308">
        <f t="shared" si="10"/>
        <v>100</v>
      </c>
      <c r="V31" s="1307" t="s">
        <v>5</v>
      </c>
      <c r="W31" s="1308">
        <f t="shared" si="11"/>
        <v>100</v>
      </c>
      <c r="X31" s="1302"/>
      <c r="Y31" s="3599"/>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599"/>
      <c r="Q32" s="1306" t="str">
        <f t="shared" si="8"/>
        <v>公共部分装修</v>
      </c>
      <c r="R32" s="1307" t="s">
        <v>5</v>
      </c>
      <c r="S32" s="1308">
        <f t="shared" si="9"/>
        <v>100</v>
      </c>
      <c r="T32" s="1307" t="s">
        <v>5</v>
      </c>
      <c r="U32" s="1308">
        <f t="shared" si="10"/>
        <v>100</v>
      </c>
      <c r="V32" s="1307" t="s">
        <v>5</v>
      </c>
      <c r="W32" s="1308">
        <f t="shared" si="11"/>
        <v>100</v>
      </c>
      <c r="X32" s="1302"/>
      <c r="Y32" s="3599"/>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599"/>
      <c r="Q33" s="1306" t="str">
        <f t="shared" si="8"/>
        <v>成新度</v>
      </c>
      <c r="R33" s="1307" t="s">
        <v>5</v>
      </c>
      <c r="S33" s="1308" t="e">
        <f t="shared" si="9"/>
        <v>#N/A</v>
      </c>
      <c r="T33" s="1307" t="s">
        <v>5</v>
      </c>
      <c r="U33" s="1308" t="e">
        <f t="shared" si="10"/>
        <v>#N/A</v>
      </c>
      <c r="V33" s="1307" t="s">
        <v>5</v>
      </c>
      <c r="W33" s="1308" t="e">
        <f t="shared" si="11"/>
        <v>#N/A</v>
      </c>
      <c r="X33" s="1302"/>
      <c r="Y33" s="3599"/>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599"/>
      <c r="Q34" s="818" t="str">
        <f t="shared" si="8"/>
        <v>物业管理</v>
      </c>
      <c r="R34" s="1303" t="s">
        <v>5</v>
      </c>
      <c r="S34" s="1304">
        <f t="shared" si="9"/>
        <v>100</v>
      </c>
      <c r="T34" s="1303" t="s">
        <v>5</v>
      </c>
      <c r="U34" s="1304">
        <f t="shared" si="10"/>
        <v>100</v>
      </c>
      <c r="V34" s="1303" t="s">
        <v>5</v>
      </c>
      <c r="W34" s="1304">
        <f t="shared" si="11"/>
        <v>100</v>
      </c>
      <c r="X34" s="1305"/>
      <c r="Y34" s="3599"/>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599" t="s">
        <v>499</v>
      </c>
      <c r="Q35" s="1306" t="str">
        <f t="shared" si="8"/>
        <v>市政基础设施</v>
      </c>
      <c r="R35" s="1307" t="s">
        <v>5</v>
      </c>
      <c r="S35" s="1308">
        <f t="shared" si="9"/>
        <v>100</v>
      </c>
      <c r="T35" s="1307" t="s">
        <v>5</v>
      </c>
      <c r="U35" s="1308">
        <f t="shared" si="10"/>
        <v>100</v>
      </c>
      <c r="V35" s="1307" t="s">
        <v>5</v>
      </c>
      <c r="W35" s="1308">
        <f t="shared" si="11"/>
        <v>100</v>
      </c>
      <c r="X35" s="1302"/>
      <c r="Y35" s="3599"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599"/>
      <c r="Q36" s="1306" t="str">
        <f t="shared" si="8"/>
        <v>内部装修</v>
      </c>
      <c r="R36" s="1307" t="s">
        <v>5</v>
      </c>
      <c r="S36" s="1308">
        <f t="shared" si="9"/>
        <v>100</v>
      </c>
      <c r="T36" s="1307" t="s">
        <v>5</v>
      </c>
      <c r="U36" s="1308">
        <f t="shared" si="10"/>
        <v>100</v>
      </c>
      <c r="V36" s="1307" t="s">
        <v>5</v>
      </c>
      <c r="W36" s="1308">
        <f t="shared" si="11"/>
        <v>100</v>
      </c>
      <c r="X36" s="1302"/>
      <c r="Y36" s="3599"/>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599"/>
      <c r="Q37" s="1306" t="str">
        <f t="shared" si="8"/>
        <v>内部装修状况</v>
      </c>
      <c r="R37" s="1307" t="s">
        <v>5</v>
      </c>
      <c r="S37" s="1308">
        <f t="shared" si="9"/>
        <v>100</v>
      </c>
      <c r="T37" s="1307" t="s">
        <v>5</v>
      </c>
      <c r="U37" s="1308">
        <f t="shared" si="10"/>
        <v>100</v>
      </c>
      <c r="V37" s="1307" t="s">
        <v>5</v>
      </c>
      <c r="W37" s="1308">
        <f t="shared" si="11"/>
        <v>100</v>
      </c>
      <c r="X37" s="1302"/>
      <c r="Y37" s="3599"/>
      <c r="Z37" s="1309" t="str">
        <f t="shared" si="12"/>
        <v>内部装修状况</v>
      </c>
      <c r="AA37" s="1309">
        <f t="shared" si="3"/>
        <v>1</v>
      </c>
      <c r="AB37" s="1309">
        <f t="shared" si="4"/>
        <v>1</v>
      </c>
      <c r="AC37" s="1309">
        <f t="shared" si="5"/>
        <v>1</v>
      </c>
    </row>
    <row r="38" spans="1:29" s="1133"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599"/>
      <c r="Q38" s="819">
        <f t="shared" si="8"/>
        <v>111</v>
      </c>
      <c r="R38" s="1310" t="s">
        <v>5</v>
      </c>
      <c r="S38" s="1311">
        <f t="shared" si="9"/>
        <v>100</v>
      </c>
      <c r="T38" s="1310" t="s">
        <v>5</v>
      </c>
      <c r="U38" s="1311">
        <f t="shared" si="10"/>
        <v>100</v>
      </c>
      <c r="V38" s="1310" t="s">
        <v>5</v>
      </c>
      <c r="W38" s="1311">
        <f t="shared" si="11"/>
        <v>100</v>
      </c>
      <c r="X38" s="1312"/>
      <c r="Y38" s="3599"/>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599"/>
      <c r="Q39" s="1306">
        <f t="shared" si="8"/>
        <v>111</v>
      </c>
      <c r="R39" s="1307" t="s">
        <v>5</v>
      </c>
      <c r="S39" s="1308">
        <f t="shared" si="9"/>
        <v>100</v>
      </c>
      <c r="T39" s="1307" t="s">
        <v>5</v>
      </c>
      <c r="U39" s="1308">
        <f t="shared" si="10"/>
        <v>100</v>
      </c>
      <c r="V39" s="1307" t="s">
        <v>5</v>
      </c>
      <c r="W39" s="1308">
        <f t="shared" si="11"/>
        <v>100</v>
      </c>
      <c r="X39" s="1302"/>
      <c r="Y39" s="3599"/>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10"/>
      <c r="Q40" s="1306">
        <f t="shared" si="8"/>
        <v>111</v>
      </c>
      <c r="R40" s="1307" t="s">
        <v>5</v>
      </c>
      <c r="S40" s="1308">
        <f t="shared" si="9"/>
        <v>100</v>
      </c>
      <c r="T40" s="1307" t="s">
        <v>5</v>
      </c>
      <c r="U40" s="1308">
        <f t="shared" si="10"/>
        <v>100</v>
      </c>
      <c r="V40" s="1307" t="s">
        <v>5</v>
      </c>
      <c r="W40" s="1308">
        <f t="shared" si="11"/>
        <v>100</v>
      </c>
      <c r="X40" s="1302"/>
      <c r="Y40" s="3710"/>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594" t="str">
        <f>A41</f>
        <v>成交单价（元/平方米）</v>
      </c>
      <c r="Q41" s="3594"/>
      <c r="R41" s="3610">
        <f>E41</f>
        <v>0</v>
      </c>
      <c r="S41" s="3610"/>
      <c r="T41" s="3610">
        <f>G41</f>
        <v>0</v>
      </c>
      <c r="U41" s="3610"/>
      <c r="V41" s="3610">
        <f>I41</f>
        <v>0</v>
      </c>
      <c r="W41" s="3610"/>
      <c r="X41" s="799"/>
      <c r="Y41" s="1314"/>
      <c r="Z41" s="799"/>
      <c r="AA41" s="799"/>
      <c r="AB41" s="799"/>
      <c r="AC41" s="799"/>
    </row>
    <row r="42" spans="1:29" ht="15.75" thickBot="1">
      <c r="A42" s="564" t="s">
        <v>2042</v>
      </c>
      <c r="B42" s="813"/>
      <c r="C42" s="2082" t="e">
        <f>R43</f>
        <v>#DIV/0!</v>
      </c>
      <c r="D42" s="2550" t="s">
        <v>2256</v>
      </c>
      <c r="E42" s="2083" t="e">
        <f>R42</f>
        <v>#DIV/0!</v>
      </c>
      <c r="F42" s="2551"/>
      <c r="G42" s="2082" t="e">
        <f>T42</f>
        <v>#DIV/0!</v>
      </c>
      <c r="H42" s="2551"/>
      <c r="I42" s="2083" t="e">
        <f>V42</f>
        <v>#DIV/0!</v>
      </c>
      <c r="J42" s="2551"/>
      <c r="K42" s="2558">
        <f>F42+H42+J42</f>
        <v>0</v>
      </c>
      <c r="L42" s="1751"/>
      <c r="M42" s="1742"/>
      <c r="N42" s="1742"/>
      <c r="O42" s="1742"/>
      <c r="P42" s="3594" t="str">
        <f>A42</f>
        <v>比较价格（元/平方米）</v>
      </c>
      <c r="Q42" s="3594"/>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799"/>
      <c r="Y42" s="799"/>
      <c r="Z42" s="799"/>
      <c r="AA42" s="799"/>
      <c r="AB42" s="799"/>
      <c r="AC42" s="799"/>
    </row>
    <row r="43" spans="1:29" ht="15.75" thickBot="1">
      <c r="A43" s="568" t="s">
        <v>2193</v>
      </c>
      <c r="B43" s="569"/>
      <c r="C43" s="469" t="e">
        <f>R43</f>
        <v>#DIV/0!</v>
      </c>
      <c r="D43" s="469"/>
      <c r="E43" s="469"/>
      <c r="F43" s="469"/>
      <c r="G43" s="469"/>
      <c r="H43" s="469"/>
      <c r="I43" s="469"/>
      <c r="J43" s="469"/>
      <c r="K43" s="1336"/>
      <c r="L43" s="1751"/>
      <c r="M43" s="1742"/>
      <c r="N43" s="1742"/>
      <c r="O43" s="1742"/>
      <c r="P43" s="3600" t="str">
        <f>A43</f>
        <v>估价对象XX用房的比较价格（楼面单价，元/平方米）</v>
      </c>
      <c r="Q43" s="3601"/>
      <c r="R43" s="3709" t="e">
        <f>IF(F1="售价",ROUND(IF(D42="简单平均",AVERAGE(R42:V42),R42*F42+T42*H42+V42*J42),0),ROUND(IF(D42="简单平均",AVERAGE(R42:V42),R42*F42+T42*H42+V42*J42),1))</f>
        <v>#DIV/0!</v>
      </c>
      <c r="S43" s="3709"/>
      <c r="T43" s="3709"/>
      <c r="U43" s="3709"/>
      <c r="V43" s="3709"/>
      <c r="W43" s="3709"/>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2023-5</v>
      </c>
      <c r="D52" s="2115">
        <f>EDATE(C52,-1)</f>
        <v>45017</v>
      </c>
      <c r="E52" s="2115">
        <f t="shared" ref="E52:O52" si="13">EDATE(D52,-1)</f>
        <v>44986</v>
      </c>
      <c r="F52" s="2115">
        <f t="shared" si="13"/>
        <v>44958</v>
      </c>
      <c r="G52" s="2115">
        <f t="shared" si="13"/>
        <v>44927</v>
      </c>
      <c r="H52" s="2115">
        <f t="shared" si="13"/>
        <v>44896</v>
      </c>
      <c r="I52" s="2115">
        <f t="shared" si="13"/>
        <v>44866</v>
      </c>
      <c r="J52" s="2115">
        <f t="shared" si="13"/>
        <v>44835</v>
      </c>
      <c r="K52" s="2115">
        <f t="shared" si="13"/>
        <v>44805</v>
      </c>
      <c r="L52" s="2115">
        <f t="shared" si="13"/>
        <v>44774</v>
      </c>
      <c r="M52" s="2115">
        <f t="shared" si="13"/>
        <v>44743</v>
      </c>
      <c r="N52" s="2115">
        <f t="shared" si="13"/>
        <v>44713</v>
      </c>
      <c r="O52" s="2115">
        <f t="shared" si="13"/>
        <v>44682</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受贵公司委托，我公司对江苏省连云港海州区锦屏山东南侧4号地出让国有建设用地使用权抵押价格进行了预评估。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93.75">
      <c r="A7" s="2178" t="s">
        <v>2030</v>
      </c>
    </row>
    <row r="8" spans="1:4" ht="18.75">
      <c r="A8" s="1491" t="s">
        <v>1430</v>
      </c>
    </row>
    <row r="9" spans="1:4" ht="75">
      <c r="A9" s="1488"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2023年5月11日（评估专业人员勘察现场之日）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02" t="s">
        <v>738</v>
      </c>
      <c r="D4" s="3603"/>
      <c r="E4" s="3602" t="s">
        <v>739</v>
      </c>
      <c r="F4" s="3603"/>
      <c r="G4" s="3602" t="s">
        <v>740</v>
      </c>
      <c r="H4" s="3603"/>
      <c r="I4" s="3602" t="s">
        <v>741</v>
      </c>
      <c r="J4" s="3603"/>
      <c r="K4" s="465" t="s">
        <v>742</v>
      </c>
      <c r="L4" s="1741"/>
      <c r="M4" s="1742"/>
      <c r="N4" s="1742"/>
      <c r="O4" s="1742"/>
      <c r="P4" s="3604" t="s">
        <v>743</v>
      </c>
      <c r="Q4" s="3605"/>
      <c r="R4" s="3588" t="s">
        <v>739</v>
      </c>
      <c r="S4" s="3589"/>
      <c r="T4" s="3588" t="s">
        <v>740</v>
      </c>
      <c r="U4" s="3589"/>
      <c r="V4" s="3610" t="s">
        <v>741</v>
      </c>
      <c r="W4" s="3610"/>
      <c r="X4" s="1302"/>
      <c r="Y4" s="3588" t="s">
        <v>743</v>
      </c>
      <c r="Z4" s="3589"/>
      <c r="AA4" s="3583" t="s">
        <v>739</v>
      </c>
      <c r="AB4" s="3584" t="s">
        <v>740</v>
      </c>
      <c r="AC4" s="3583" t="s">
        <v>741</v>
      </c>
    </row>
    <row r="5" spans="1:29" ht="15">
      <c r="A5" s="466"/>
      <c r="B5" s="467"/>
      <c r="C5" s="3613" t="s">
        <v>2187</v>
      </c>
      <c r="D5" s="3614"/>
      <c r="E5" s="3613" t="s">
        <v>2188</v>
      </c>
      <c r="F5" s="3614"/>
      <c r="G5" s="3613" t="s">
        <v>2189</v>
      </c>
      <c r="H5" s="3614"/>
      <c r="I5" s="3613" t="s">
        <v>2190</v>
      </c>
      <c r="J5" s="3614"/>
      <c r="K5" s="465"/>
      <c r="L5" s="1741"/>
      <c r="M5" s="1742"/>
      <c r="N5" s="1742"/>
      <c r="O5" s="1742"/>
      <c r="P5" s="3606"/>
      <c r="Q5" s="3607"/>
      <c r="R5" s="3590"/>
      <c r="S5" s="3591"/>
      <c r="T5" s="3590"/>
      <c r="U5" s="3591"/>
      <c r="V5" s="3610"/>
      <c r="W5" s="3610"/>
      <c r="X5" s="1302"/>
      <c r="Y5" s="3590"/>
      <c r="Z5" s="3591"/>
      <c r="AA5" s="3584"/>
      <c r="AB5" s="3584"/>
      <c r="AC5" s="3584"/>
    </row>
    <row r="6" spans="1:29" ht="15.75" thickBot="1">
      <c r="A6" s="468"/>
      <c r="B6" s="469"/>
      <c r="C6" s="3611" t="s">
        <v>2191</v>
      </c>
      <c r="D6" s="3612"/>
      <c r="E6" s="3615" t="s">
        <v>2191</v>
      </c>
      <c r="F6" s="3616"/>
      <c r="G6" s="3611" t="s">
        <v>2191</v>
      </c>
      <c r="H6" s="3612"/>
      <c r="I6" s="3611" t="s">
        <v>2191</v>
      </c>
      <c r="J6" s="3612"/>
      <c r="K6" s="465" t="s">
        <v>477</v>
      </c>
      <c r="L6" s="1741"/>
      <c r="M6" s="1742"/>
      <c r="N6" s="1742"/>
      <c r="O6" s="1742"/>
      <c r="P6" s="3608"/>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SUMIF(48:48,YEAR(E7)&amp;"-"&amp;MONTH(E7),49:49)</f>
        <v>0</v>
      </c>
      <c r="G7" s="474"/>
      <c r="H7" s="471">
        <f>SUMIF(48:48,YEAR(G7)&amp;"-"&amp;MONTH(G7),49:49)</f>
        <v>0</v>
      </c>
      <c r="I7" s="474"/>
      <c r="J7" s="471">
        <f>SUMIF(48:48,YEAR(I7)&amp;"-"&amp;MONTH(I7),49:49)</f>
        <v>0</v>
      </c>
      <c r="K7" s="88"/>
      <c r="L7" s="1743"/>
      <c r="M7" s="1640"/>
      <c r="N7" s="1640"/>
      <c r="O7" s="1640"/>
      <c r="P7" s="3586" t="s">
        <v>479</v>
      </c>
      <c r="Q7" s="3595"/>
      <c r="R7" s="1303" t="s">
        <v>5</v>
      </c>
      <c r="S7" s="1304">
        <f t="shared" ref="S7:S14" si="0">F7</f>
        <v>0</v>
      </c>
      <c r="T7" s="1303" t="s">
        <v>5</v>
      </c>
      <c r="U7" s="1304">
        <f t="shared" ref="U7:U14" si="1">H7</f>
        <v>0</v>
      </c>
      <c r="V7" s="1303" t="s">
        <v>5</v>
      </c>
      <c r="W7" s="1304">
        <f t="shared" ref="W7:W14"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586" t="s">
        <v>482</v>
      </c>
      <c r="Q8" s="3587"/>
      <c r="R8" s="1303" t="s">
        <v>5</v>
      </c>
      <c r="S8" s="1304">
        <f t="shared" si="0"/>
        <v>0</v>
      </c>
      <c r="T8" s="1303" t="s">
        <v>5</v>
      </c>
      <c r="U8" s="1304">
        <f t="shared" si="1"/>
        <v>0</v>
      </c>
      <c r="V8" s="1303" t="s">
        <v>5</v>
      </c>
      <c r="W8" s="1304">
        <f t="shared" si="2"/>
        <v>0</v>
      </c>
      <c r="X8" s="1305"/>
      <c r="Y8" s="3586" t="s">
        <v>482</v>
      </c>
      <c r="Z8" s="3587"/>
      <c r="AA8" s="996" t="e">
        <f t="shared" ref="AA8:AA36" si="3">D8/F8</f>
        <v>#DIV/0!</v>
      </c>
      <c r="AB8" s="996" t="e">
        <f t="shared" ref="AB8:AB36" si="4">D8/H8</f>
        <v>#DIV/0!</v>
      </c>
      <c r="AC8" s="996" t="e">
        <f t="shared" ref="AC8:AC36" si="5">D8/J8</f>
        <v>#DIV/0!</v>
      </c>
    </row>
    <row r="9" spans="1:29" s="1059"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594" t="s">
        <v>484</v>
      </c>
      <c r="Q9" s="818" t="str">
        <f t="shared" ref="Q9:Q14" si="6">B9</f>
        <v>用途</v>
      </c>
      <c r="R9" s="1303" t="s">
        <v>5</v>
      </c>
      <c r="S9" s="1304">
        <f t="shared" si="0"/>
        <v>100</v>
      </c>
      <c r="T9" s="1303" t="s">
        <v>5</v>
      </c>
      <c r="U9" s="1304">
        <f t="shared" si="1"/>
        <v>100</v>
      </c>
      <c r="V9" s="1303" t="s">
        <v>5</v>
      </c>
      <c r="W9" s="1304">
        <f t="shared" si="2"/>
        <v>100</v>
      </c>
      <c r="X9" s="1305"/>
      <c r="Y9" s="3546"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4"/>
      <c r="Q11" s="818">
        <f t="shared" si="6"/>
        <v>111</v>
      </c>
      <c r="R11" s="1303" t="s">
        <v>5</v>
      </c>
      <c r="S11" s="1304">
        <f t="shared" si="0"/>
        <v>100</v>
      </c>
      <c r="T11" s="1303" t="s">
        <v>5</v>
      </c>
      <c r="U11" s="1304">
        <f t="shared" si="1"/>
        <v>100</v>
      </c>
      <c r="V11" s="1303" t="s">
        <v>5</v>
      </c>
      <c r="W11" s="1304">
        <f t="shared" si="2"/>
        <v>100</v>
      </c>
      <c r="X11" s="1305"/>
      <c r="Y11" s="3546"/>
      <c r="Z11" s="996">
        <f t="shared" si="7"/>
        <v>111</v>
      </c>
      <c r="AA11" s="996">
        <f t="shared" si="3"/>
        <v>1</v>
      </c>
      <c r="AB11" s="996">
        <f t="shared" si="4"/>
        <v>1</v>
      </c>
      <c r="AC11" s="996">
        <f t="shared" si="5"/>
        <v>1</v>
      </c>
    </row>
    <row r="12" spans="1:29" s="1059"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4"/>
      <c r="Q12" s="818">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4"/>
      <c r="Q13" s="818">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14">
      <c r="A14" s="2207" t="s">
        <v>2036</v>
      </c>
      <c r="B14" s="497" t="s">
        <v>492</v>
      </c>
      <c r="C14" s="842" t="str">
        <f>IF(B1="工业",估价对象房地状况!G4,估价对象房地状况!C6)</f>
        <v>估价对象周边道路状况一般、公共交通通达情况较差，有5、122路经过、停车便捷程度，综合评价交通便捷度一般</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596" t="s">
        <v>489</v>
      </c>
      <c r="Q14" s="1306" t="str">
        <f t="shared" si="6"/>
        <v>交通便捷度</v>
      </c>
      <c r="R14" s="1307" t="s">
        <v>5</v>
      </c>
      <c r="S14" s="1308">
        <f t="shared" si="0"/>
        <v>100</v>
      </c>
      <c r="T14" s="1307" t="s">
        <v>5</v>
      </c>
      <c r="U14" s="1308">
        <f t="shared" si="1"/>
        <v>100</v>
      </c>
      <c r="V14" s="1307" t="s">
        <v>5</v>
      </c>
      <c r="W14" s="1308">
        <f t="shared" si="2"/>
        <v>100</v>
      </c>
      <c r="X14" s="1302"/>
      <c r="Y14" s="3596"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3"/>
      <c r="L15" s="1749"/>
      <c r="M15" s="1742"/>
      <c r="N15" s="1742"/>
      <c r="O15" s="1748"/>
      <c r="P15" s="3597"/>
      <c r="Q15" s="1306"/>
      <c r="R15" s="1307"/>
      <c r="S15" s="1308"/>
      <c r="T15" s="1307"/>
      <c r="U15" s="1308"/>
      <c r="V15" s="1307"/>
      <c r="W15" s="1308"/>
      <c r="X15" s="1302"/>
      <c r="Y15" s="3597"/>
      <c r="Z15" s="1309"/>
      <c r="AA15" s="1309">
        <v>1</v>
      </c>
      <c r="AB15" s="1309">
        <v>1</v>
      </c>
      <c r="AC15" s="1309">
        <v>1</v>
      </c>
    </row>
    <row r="16" spans="1:29" ht="42.75">
      <c r="A16" s="466"/>
      <c r="B16" s="2062" t="s">
        <v>1829</v>
      </c>
      <c r="C16" s="801" t="str">
        <f>IF(B1="工业",估价对象房地状况!G5,估价对象房地状况!C7)</f>
        <v>估价对象所在区域公共配套设施齐备情况较差</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597"/>
      <c r="Q16" s="1306" t="str">
        <f>B16</f>
        <v>公共配套设施</v>
      </c>
      <c r="R16" s="1307" t="s">
        <v>5</v>
      </c>
      <c r="S16" s="1308">
        <f>F16</f>
        <v>100</v>
      </c>
      <c r="T16" s="1307" t="s">
        <v>5</v>
      </c>
      <c r="U16" s="1308">
        <f>H16</f>
        <v>100</v>
      </c>
      <c r="V16" s="1307" t="s">
        <v>5</v>
      </c>
      <c r="W16" s="1308">
        <f>J16</f>
        <v>100</v>
      </c>
      <c r="X16" s="1302"/>
      <c r="Y16" s="3597"/>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597"/>
      <c r="Q17" s="1306"/>
      <c r="R17" s="1307"/>
      <c r="S17" s="1308"/>
      <c r="T17" s="1307"/>
      <c r="U17" s="1308"/>
      <c r="V17" s="1307"/>
      <c r="W17" s="1308"/>
      <c r="X17" s="1302"/>
      <c r="Y17" s="3597"/>
      <c r="Z17" s="1309"/>
      <c r="AA17" s="1309">
        <v>1</v>
      </c>
      <c r="AB17" s="1309">
        <v>1</v>
      </c>
      <c r="AC17" s="1309">
        <v>1</v>
      </c>
    </row>
    <row r="18" spans="1:29" ht="15">
      <c r="A18" s="466"/>
      <c r="B18" s="2050" t="s">
        <v>1841</v>
      </c>
      <c r="C18" s="801" t="str">
        <f>IF(B1="工业",估价对象房地状况!G6,估价对象房地状况!C8)</f>
        <v>六通</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597"/>
      <c r="Q18" s="1306" t="str">
        <f>B18</f>
        <v>基础设施水平</v>
      </c>
      <c r="R18" s="1307" t="s">
        <v>5</v>
      </c>
      <c r="S18" s="1308">
        <f>F18</f>
        <v>100</v>
      </c>
      <c r="T18" s="1307" t="s">
        <v>5</v>
      </c>
      <c r="U18" s="1308">
        <f>H18</f>
        <v>100</v>
      </c>
      <c r="V18" s="1307" t="s">
        <v>5</v>
      </c>
      <c r="W18" s="1308">
        <f>J18</f>
        <v>100</v>
      </c>
      <c r="X18" s="1302"/>
      <c r="Y18" s="3597"/>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597"/>
      <c r="Q19" s="1306"/>
      <c r="R19" s="1307"/>
      <c r="S19" s="1308"/>
      <c r="T19" s="1307"/>
      <c r="U19" s="1308"/>
      <c r="V19" s="1307"/>
      <c r="W19" s="1308"/>
      <c r="X19" s="1302"/>
      <c r="Y19" s="3597"/>
      <c r="Z19" s="1309"/>
      <c r="AA19" s="1309">
        <v>1</v>
      </c>
      <c r="AB19" s="1309">
        <v>1</v>
      </c>
      <c r="AC19" s="1309">
        <v>1</v>
      </c>
    </row>
    <row r="20" spans="1:29" ht="57">
      <c r="A20" s="466"/>
      <c r="B20" s="510" t="s">
        <v>744</v>
      </c>
      <c r="C20" s="801" t="str">
        <f>IF(B1="工业",估价对象房地状况!G7,估价对象房地状况!C9)</f>
        <v>区域自然环境：；人文环境；综合评价环境状况较好</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597"/>
      <c r="Q20" s="1306" t="str">
        <f>B20</f>
        <v>自然及人文环境</v>
      </c>
      <c r="R20" s="1307" t="s">
        <v>5</v>
      </c>
      <c r="S20" s="1308">
        <f>F20</f>
        <v>100</v>
      </c>
      <c r="T20" s="1307" t="s">
        <v>5</v>
      </c>
      <c r="U20" s="1308">
        <f>H20</f>
        <v>100</v>
      </c>
      <c r="V20" s="1307" t="s">
        <v>5</v>
      </c>
      <c r="W20" s="1308">
        <f>J20</f>
        <v>100</v>
      </c>
      <c r="X20" s="1302"/>
      <c r="Y20" s="3597"/>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597"/>
      <c r="Q21" s="1306"/>
      <c r="R21" s="1307"/>
      <c r="S21" s="1308"/>
      <c r="T21" s="1307"/>
      <c r="U21" s="1308"/>
      <c r="V21" s="1307"/>
      <c r="W21" s="1308"/>
      <c r="X21" s="1302"/>
      <c r="Y21" s="3597"/>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597"/>
      <c r="Q22" s="1306" t="str">
        <f>B22</f>
        <v>楼层</v>
      </c>
      <c r="R22" s="1307" t="s">
        <v>5</v>
      </c>
      <c r="S22" s="1308">
        <f>F22</f>
        <v>100</v>
      </c>
      <c r="T22" s="1307" t="s">
        <v>5</v>
      </c>
      <c r="U22" s="1308">
        <f>H22</f>
        <v>100</v>
      </c>
      <c r="V22" s="1307" t="s">
        <v>5</v>
      </c>
      <c r="W22" s="1308">
        <f>J22</f>
        <v>100</v>
      </c>
      <c r="X22" s="1302"/>
      <c r="Y22" s="3597"/>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597"/>
      <c r="Q23" s="1306">
        <f>B23</f>
        <v>111</v>
      </c>
      <c r="R23" s="1307" t="s">
        <v>5</v>
      </c>
      <c r="S23" s="1308">
        <f>F23</f>
        <v>100</v>
      </c>
      <c r="T23" s="1307" t="s">
        <v>5</v>
      </c>
      <c r="U23" s="1308">
        <f>H23</f>
        <v>100</v>
      </c>
      <c r="V23" s="1307" t="s">
        <v>5</v>
      </c>
      <c r="W23" s="1308">
        <f>J23</f>
        <v>100</v>
      </c>
      <c r="X23" s="1302"/>
      <c r="Y23" s="3597"/>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597"/>
      <c r="Q24" s="1306">
        <f t="shared" ref="Q24:Q36" si="8">B24</f>
        <v>111</v>
      </c>
      <c r="R24" s="1307" t="s">
        <v>5</v>
      </c>
      <c r="S24" s="1308">
        <f>F24</f>
        <v>100</v>
      </c>
      <c r="T24" s="1307" t="s">
        <v>5</v>
      </c>
      <c r="U24" s="1308">
        <f>H24</f>
        <v>100</v>
      </c>
      <c r="V24" s="1307" t="s">
        <v>5</v>
      </c>
      <c r="W24" s="1308">
        <f>J24</f>
        <v>100</v>
      </c>
      <c r="X24" s="1302"/>
      <c r="Y24" s="3597"/>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597"/>
      <c r="Q25" s="818">
        <f t="shared" si="8"/>
        <v>111</v>
      </c>
      <c r="R25" s="1303" t="s">
        <v>5</v>
      </c>
      <c r="S25" s="1304">
        <f>F25</f>
        <v>100</v>
      </c>
      <c r="T25" s="1303" t="s">
        <v>5</v>
      </c>
      <c r="U25" s="1304">
        <f>H25</f>
        <v>100</v>
      </c>
      <c r="V25" s="1303" t="s">
        <v>5</v>
      </c>
      <c r="W25" s="1304">
        <f>J25</f>
        <v>100</v>
      </c>
      <c r="X25" s="1305"/>
      <c r="Y25" s="3597"/>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598"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599"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599"/>
      <c r="Q27" s="819" t="str">
        <f t="shared" si="8"/>
        <v>项目停车位配比</v>
      </c>
      <c r="R27" s="1310" t="s">
        <v>5</v>
      </c>
      <c r="S27" s="1311">
        <f t="shared" si="9"/>
        <v>100</v>
      </c>
      <c r="T27" s="1310" t="s">
        <v>5</v>
      </c>
      <c r="U27" s="1311">
        <f t="shared" si="10"/>
        <v>100</v>
      </c>
      <c r="V27" s="1310" t="s">
        <v>5</v>
      </c>
      <c r="W27" s="1311">
        <f t="shared" si="11"/>
        <v>100</v>
      </c>
      <c r="X27" s="1312"/>
      <c r="Y27" s="3599"/>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599"/>
      <c r="Q28" s="1306" t="str">
        <f t="shared" si="8"/>
        <v>公共部分装修</v>
      </c>
      <c r="R28" s="1307" t="s">
        <v>5</v>
      </c>
      <c r="S28" s="1308">
        <f t="shared" si="9"/>
        <v>100</v>
      </c>
      <c r="T28" s="1307" t="s">
        <v>5</v>
      </c>
      <c r="U28" s="1308">
        <f t="shared" si="10"/>
        <v>100</v>
      </c>
      <c r="V28" s="1307" t="s">
        <v>5</v>
      </c>
      <c r="W28" s="1308">
        <f t="shared" si="11"/>
        <v>100</v>
      </c>
      <c r="X28" s="1302"/>
      <c r="Y28" s="3599"/>
      <c r="Z28" s="1309" t="str">
        <f t="shared" si="12"/>
        <v>公共部分装修</v>
      </c>
      <c r="AA28" s="1309">
        <f t="shared" si="3"/>
        <v>1</v>
      </c>
      <c r="AB28" s="1309">
        <f t="shared" si="4"/>
        <v>1</v>
      </c>
      <c r="AC28" s="1309">
        <f t="shared" si="5"/>
        <v>1</v>
      </c>
    </row>
    <row r="29" spans="1:29" ht="15">
      <c r="A29" s="851"/>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599"/>
      <c r="Q29" s="1306" t="str">
        <f t="shared" si="8"/>
        <v>成新率</v>
      </c>
      <c r="R29" s="1307" t="s">
        <v>5</v>
      </c>
      <c r="S29" s="1308" t="e">
        <f t="shared" si="9"/>
        <v>#N/A</v>
      </c>
      <c r="T29" s="1307" t="s">
        <v>5</v>
      </c>
      <c r="U29" s="1308" t="e">
        <f t="shared" si="10"/>
        <v>#N/A</v>
      </c>
      <c r="V29" s="1307" t="s">
        <v>5</v>
      </c>
      <c r="W29" s="1308" t="e">
        <f t="shared" si="11"/>
        <v>#N/A</v>
      </c>
      <c r="X29" s="1302"/>
      <c r="Y29" s="3599"/>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599"/>
      <c r="Q30" s="1306" t="str">
        <f t="shared" si="8"/>
        <v>物业等级</v>
      </c>
      <c r="R30" s="1307" t="s">
        <v>5</v>
      </c>
      <c r="S30" s="1308">
        <f t="shared" si="9"/>
        <v>100</v>
      </c>
      <c r="T30" s="1307" t="s">
        <v>5</v>
      </c>
      <c r="U30" s="1308">
        <f t="shared" si="10"/>
        <v>100</v>
      </c>
      <c r="V30" s="1307" t="s">
        <v>5</v>
      </c>
      <c r="W30" s="1308">
        <f t="shared" si="11"/>
        <v>100</v>
      </c>
      <c r="X30" s="1302"/>
      <c r="Y30" s="3599"/>
      <c r="Z30" s="1309" t="str">
        <f t="shared" si="12"/>
        <v>物业等级</v>
      </c>
      <c r="AA30" s="1309">
        <f t="shared" si="3"/>
        <v>1</v>
      </c>
      <c r="AB30" s="1309">
        <f t="shared" si="4"/>
        <v>1</v>
      </c>
      <c r="AC30" s="1309">
        <f t="shared" si="5"/>
        <v>1</v>
      </c>
    </row>
    <row r="31" spans="1:29" s="1059" customFormat="1" ht="15">
      <c r="A31" s="853"/>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599"/>
      <c r="Q31" s="818" t="str">
        <f t="shared" si="8"/>
        <v>停车位面积</v>
      </c>
      <c r="R31" s="1303" t="s">
        <v>5</v>
      </c>
      <c r="S31" s="1304" t="e">
        <f t="shared" si="9"/>
        <v>#N/A</v>
      </c>
      <c r="T31" s="1303" t="s">
        <v>5</v>
      </c>
      <c r="U31" s="1304" t="e">
        <f t="shared" si="10"/>
        <v>#N/A</v>
      </c>
      <c r="V31" s="1303" t="s">
        <v>5</v>
      </c>
      <c r="W31" s="1304" t="e">
        <f t="shared" si="11"/>
        <v>#N/A</v>
      </c>
      <c r="X31" s="1305"/>
      <c r="Y31" s="3599"/>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599" t="s">
        <v>499</v>
      </c>
      <c r="Q32" s="1306" t="str">
        <f t="shared" si="8"/>
        <v>车位类型</v>
      </c>
      <c r="R32" s="1307" t="s">
        <v>5</v>
      </c>
      <c r="S32" s="1308">
        <f t="shared" si="9"/>
        <v>100</v>
      </c>
      <c r="T32" s="1307" t="s">
        <v>5</v>
      </c>
      <c r="U32" s="1308">
        <f t="shared" si="10"/>
        <v>100</v>
      </c>
      <c r="V32" s="1307" t="s">
        <v>5</v>
      </c>
      <c r="W32" s="1308">
        <f t="shared" si="11"/>
        <v>100</v>
      </c>
      <c r="X32" s="1302"/>
      <c r="Y32" s="3599"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599"/>
      <c r="Q33" s="1306" t="str">
        <f t="shared" si="8"/>
        <v>是否直接入户</v>
      </c>
      <c r="R33" s="1307" t="s">
        <v>5</v>
      </c>
      <c r="S33" s="1308">
        <f t="shared" si="9"/>
        <v>100</v>
      </c>
      <c r="T33" s="1307" t="s">
        <v>5</v>
      </c>
      <c r="U33" s="1308">
        <f t="shared" si="10"/>
        <v>100</v>
      </c>
      <c r="V33" s="1307" t="s">
        <v>5</v>
      </c>
      <c r="W33" s="1308">
        <f t="shared" si="11"/>
        <v>100</v>
      </c>
      <c r="X33" s="1302"/>
      <c r="Y33" s="3599"/>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599"/>
      <c r="Q34" s="1306">
        <f t="shared" si="8"/>
        <v>111</v>
      </c>
      <c r="R34" s="1307" t="s">
        <v>5</v>
      </c>
      <c r="S34" s="1308">
        <f t="shared" si="9"/>
        <v>100</v>
      </c>
      <c r="T34" s="1307" t="s">
        <v>5</v>
      </c>
      <c r="U34" s="1308">
        <f t="shared" si="10"/>
        <v>100</v>
      </c>
      <c r="V34" s="1307" t="s">
        <v>5</v>
      </c>
      <c r="W34" s="1308">
        <f t="shared" si="11"/>
        <v>100</v>
      </c>
      <c r="X34" s="1302"/>
      <c r="Y34" s="3599"/>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599"/>
      <c r="Q35" s="819">
        <f t="shared" si="8"/>
        <v>111</v>
      </c>
      <c r="R35" s="1310" t="s">
        <v>5</v>
      </c>
      <c r="S35" s="1311">
        <f t="shared" si="9"/>
        <v>100</v>
      </c>
      <c r="T35" s="1310" t="s">
        <v>5</v>
      </c>
      <c r="U35" s="1311">
        <f t="shared" si="10"/>
        <v>100</v>
      </c>
      <c r="V35" s="1310" t="s">
        <v>5</v>
      </c>
      <c r="W35" s="1311">
        <f t="shared" si="11"/>
        <v>100</v>
      </c>
      <c r="X35" s="1312"/>
      <c r="Y35" s="3599"/>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599"/>
      <c r="Q36" s="1306">
        <f t="shared" si="8"/>
        <v>111</v>
      </c>
      <c r="R36" s="1307" t="s">
        <v>5</v>
      </c>
      <c r="S36" s="1308">
        <f t="shared" si="9"/>
        <v>100</v>
      </c>
      <c r="T36" s="1307" t="s">
        <v>5</v>
      </c>
      <c r="U36" s="1308">
        <f t="shared" si="10"/>
        <v>100</v>
      </c>
      <c r="V36" s="1307" t="s">
        <v>5</v>
      </c>
      <c r="W36" s="1308">
        <f t="shared" si="11"/>
        <v>100</v>
      </c>
      <c r="X36" s="1302"/>
      <c r="Y36" s="3599"/>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594" t="str">
        <f>A37</f>
        <v>成交单价</v>
      </c>
      <c r="Q37" s="3594"/>
      <c r="R37" s="3610">
        <f>E37</f>
        <v>0</v>
      </c>
      <c r="S37" s="3610"/>
      <c r="T37" s="3610">
        <f>G37</f>
        <v>0</v>
      </c>
      <c r="U37" s="3610"/>
      <c r="V37" s="3610">
        <f>I37</f>
        <v>0</v>
      </c>
      <c r="W37" s="3610"/>
      <c r="X37" s="799"/>
      <c r="Y37" s="1314"/>
      <c r="Z37" s="799"/>
      <c r="AA37" s="799"/>
      <c r="AB37" s="799"/>
      <c r="AC37" s="799"/>
    </row>
    <row r="38" spans="1:29" ht="15.75" thickBot="1">
      <c r="A38" s="564" t="s">
        <v>2042</v>
      </c>
      <c r="B38" s="813"/>
      <c r="C38" s="2082" t="e">
        <f>R39</f>
        <v>#DIV/0!</v>
      </c>
      <c r="D38" s="2550" t="s">
        <v>2256</v>
      </c>
      <c r="E38" s="2083" t="e">
        <f>R38</f>
        <v>#DIV/0!</v>
      </c>
      <c r="F38" s="2551"/>
      <c r="G38" s="2082" t="e">
        <f>T38</f>
        <v>#DIV/0!</v>
      </c>
      <c r="H38" s="2551"/>
      <c r="I38" s="2083" t="e">
        <f>V38</f>
        <v>#DIV/0!</v>
      </c>
      <c r="J38" s="2551"/>
      <c r="K38" s="2558">
        <f>F38+H38+J38</f>
        <v>0</v>
      </c>
      <c r="L38" s="1751"/>
      <c r="M38" s="1742"/>
      <c r="N38" s="1742"/>
      <c r="O38" s="1742"/>
      <c r="P38" s="3594" t="str">
        <f>A38</f>
        <v>比较价格（元/平方米）</v>
      </c>
      <c r="Q38" s="3594"/>
      <c r="R38" s="3610" t="e">
        <f>IF(F1="售价",ROUND(PRODUCT(R37,AA7:AA36),0),ROUND(PRODUCT(R37,AA7:AA36),1))</f>
        <v>#DIV/0!</v>
      </c>
      <c r="S38" s="3610"/>
      <c r="T38" s="3610" t="e">
        <f>IF(F1="售价",ROUND(PRODUCT(T37,AB7:AB36),0),ROUND(PRODUCT(T37,AB7:AB36),1))</f>
        <v>#DIV/0!</v>
      </c>
      <c r="U38" s="3610"/>
      <c r="V38" s="3610" t="e">
        <f>IF(F1="售价",ROUND(PRODUCT(V37,AC7:AC36),0),ROUND(PRODUCT(V37,AC7:AC36),1))</f>
        <v>#DIV/0!</v>
      </c>
      <c r="W38" s="3610"/>
      <c r="X38" s="799"/>
      <c r="Y38" s="799"/>
      <c r="Z38" s="799"/>
      <c r="AA38" s="799"/>
      <c r="AB38" s="799"/>
      <c r="AC38" s="799"/>
    </row>
    <row r="39" spans="1:29" ht="15.75" thickBot="1">
      <c r="A39" s="568" t="s">
        <v>2193</v>
      </c>
      <c r="B39" s="569"/>
      <c r="C39" s="469" t="e">
        <f>R39</f>
        <v>#DIV/0!</v>
      </c>
      <c r="D39" s="469"/>
      <c r="E39" s="469"/>
      <c r="F39" s="469"/>
      <c r="G39" s="469"/>
      <c r="H39" s="469"/>
      <c r="I39" s="469"/>
      <c r="J39" s="469"/>
      <c r="K39" s="1336"/>
      <c r="L39" s="1751"/>
      <c r="M39" s="1742"/>
      <c r="N39" s="1742"/>
      <c r="O39" s="1742"/>
      <c r="P39" s="3600" t="str">
        <f>A39</f>
        <v>估价对象XX用房的比较价格（楼面单价，元/平方米）</v>
      </c>
      <c r="Q39" s="3601"/>
      <c r="R39" s="3709" t="e">
        <f>IF(F1="售价",ROUND(IF(D38="简单平均",AVERAGE(R38:W38),R38*F38+T38*H38+V38*J38),0),ROUND(IF(D38="简单平均",AVERAGE(R38:V38),R38*F38+T38*H38+V38*J38),1))</f>
        <v>#DIV/0!</v>
      </c>
      <c r="S39" s="3709"/>
      <c r="T39" s="3709"/>
      <c r="U39" s="3709"/>
      <c r="V39" s="3709"/>
      <c r="W39" s="3709"/>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2023-5</v>
      </c>
      <c r="D48" s="2115">
        <f>EDATE(C48,-1)</f>
        <v>45017</v>
      </c>
      <c r="E48" s="2115">
        <f t="shared" ref="E48:O48" si="13">EDATE(D48,-1)</f>
        <v>44986</v>
      </c>
      <c r="F48" s="2115">
        <f t="shared" si="13"/>
        <v>44958</v>
      </c>
      <c r="G48" s="2115">
        <f t="shared" si="13"/>
        <v>44927</v>
      </c>
      <c r="H48" s="2115">
        <f t="shared" si="13"/>
        <v>44896</v>
      </c>
      <c r="I48" s="2115">
        <f t="shared" si="13"/>
        <v>44866</v>
      </c>
      <c r="J48" s="2115">
        <f t="shared" si="13"/>
        <v>44835</v>
      </c>
      <c r="K48" s="2115">
        <f t="shared" si="13"/>
        <v>44805</v>
      </c>
      <c r="L48" s="2115">
        <f t="shared" si="13"/>
        <v>44774</v>
      </c>
      <c r="M48" s="2115">
        <f t="shared" si="13"/>
        <v>44743</v>
      </c>
      <c r="N48" s="2115">
        <f t="shared" si="13"/>
        <v>44713</v>
      </c>
      <c r="O48" s="2115">
        <f t="shared" si="13"/>
        <v>44682</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02" t="s">
        <v>738</v>
      </c>
      <c r="D4" s="3603"/>
      <c r="E4" s="3628" t="s">
        <v>739</v>
      </c>
      <c r="F4" s="3629"/>
      <c r="G4" s="3602" t="s">
        <v>740</v>
      </c>
      <c r="H4" s="3603"/>
      <c r="I4" s="3602" t="s">
        <v>741</v>
      </c>
      <c r="J4" s="3603"/>
      <c r="K4" s="465" t="s">
        <v>742</v>
      </c>
      <c r="L4" s="1741"/>
      <c r="M4" s="1742"/>
      <c r="N4" s="1742"/>
      <c r="O4" s="1742"/>
      <c r="P4" s="3604" t="s">
        <v>743</v>
      </c>
      <c r="Q4" s="3605"/>
      <c r="R4" s="3588" t="s">
        <v>739</v>
      </c>
      <c r="S4" s="3589"/>
      <c r="T4" s="3588" t="s">
        <v>740</v>
      </c>
      <c r="U4" s="3589"/>
      <c r="V4" s="3610" t="s">
        <v>741</v>
      </c>
      <c r="W4" s="3610"/>
      <c r="X4" s="1302"/>
      <c r="Y4" s="3588" t="s">
        <v>743</v>
      </c>
      <c r="Z4" s="3589"/>
      <c r="AA4" s="3583" t="s">
        <v>739</v>
      </c>
      <c r="AB4" s="3584" t="s">
        <v>740</v>
      </c>
      <c r="AC4" s="3583" t="s">
        <v>741</v>
      </c>
    </row>
    <row r="5" spans="1:29" ht="15">
      <c r="A5" s="466"/>
      <c r="B5" s="467"/>
      <c r="C5" s="3613" t="s">
        <v>2187</v>
      </c>
      <c r="D5" s="3614"/>
      <c r="E5" s="3630" t="s">
        <v>2188</v>
      </c>
      <c r="F5" s="3631"/>
      <c r="G5" s="3613" t="s">
        <v>2189</v>
      </c>
      <c r="H5" s="3614"/>
      <c r="I5" s="3613" t="s">
        <v>2190</v>
      </c>
      <c r="J5" s="3614"/>
      <c r="K5" s="465"/>
      <c r="L5" s="1741"/>
      <c r="M5" s="1742"/>
      <c r="N5" s="1742"/>
      <c r="O5" s="1742"/>
      <c r="P5" s="3606"/>
      <c r="Q5" s="3607"/>
      <c r="R5" s="3590"/>
      <c r="S5" s="3591"/>
      <c r="T5" s="3590"/>
      <c r="U5" s="3591"/>
      <c r="V5" s="3610"/>
      <c r="W5" s="3610"/>
      <c r="X5" s="1302"/>
      <c r="Y5" s="3590"/>
      <c r="Z5" s="3591"/>
      <c r="AA5" s="3584"/>
      <c r="AB5" s="3584"/>
      <c r="AC5" s="3584"/>
    </row>
    <row r="6" spans="1:29" ht="15.75" thickBot="1">
      <c r="A6" s="468"/>
      <c r="B6" s="469"/>
      <c r="C6" s="3611" t="s">
        <v>2191</v>
      </c>
      <c r="D6" s="3612"/>
      <c r="E6" s="3632" t="s">
        <v>2191</v>
      </c>
      <c r="F6" s="3633"/>
      <c r="G6" s="3611" t="s">
        <v>2191</v>
      </c>
      <c r="H6" s="3612"/>
      <c r="I6" s="3611" t="s">
        <v>2191</v>
      </c>
      <c r="J6" s="3612"/>
      <c r="K6" s="465" t="s">
        <v>477</v>
      </c>
      <c r="L6" s="1741"/>
      <c r="M6" s="1742"/>
      <c r="N6" s="1742"/>
      <c r="O6" s="1742"/>
      <c r="P6" s="3608"/>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SUMIF(46:46,YEAR(E7)&amp;"-"&amp;MONTH(E7),47:47)</f>
        <v>0</v>
      </c>
      <c r="G7" s="474"/>
      <c r="H7" s="471">
        <f>SUMIF(46:46,YEAR(G7)&amp;"-"&amp;MONTH(G7),47:47)</f>
        <v>0</v>
      </c>
      <c r="I7" s="474"/>
      <c r="J7" s="471">
        <f>SUMIF(46:46,YEAR(I7)&amp;"-"&amp;MONTH(I7),47:47)</f>
        <v>0</v>
      </c>
      <c r="K7" s="88"/>
      <c r="L7" s="1743"/>
      <c r="M7" s="1640"/>
      <c r="N7" s="1640"/>
      <c r="O7" s="1640"/>
      <c r="P7" s="3586" t="s">
        <v>479</v>
      </c>
      <c r="Q7" s="3595"/>
      <c r="R7" s="1303" t="s">
        <v>5</v>
      </c>
      <c r="S7" s="1304">
        <f t="shared" ref="S7:S14" si="0">F7</f>
        <v>0</v>
      </c>
      <c r="T7" s="1303" t="s">
        <v>5</v>
      </c>
      <c r="U7" s="1304">
        <f t="shared" ref="U7:U14" si="1">H7</f>
        <v>0</v>
      </c>
      <c r="V7" s="1303" t="s">
        <v>5</v>
      </c>
      <c r="W7" s="1304">
        <f t="shared" ref="W7:W14"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86" t="s">
        <v>482</v>
      </c>
      <c r="Q8" s="3587"/>
      <c r="R8" s="1303" t="s">
        <v>5</v>
      </c>
      <c r="S8" s="1304">
        <f t="shared" si="0"/>
        <v>0</v>
      </c>
      <c r="T8" s="1303" t="s">
        <v>5</v>
      </c>
      <c r="U8" s="1304">
        <f t="shared" si="1"/>
        <v>0</v>
      </c>
      <c r="V8" s="1303" t="s">
        <v>5</v>
      </c>
      <c r="W8" s="1304">
        <f t="shared" si="2"/>
        <v>0</v>
      </c>
      <c r="X8" s="1305"/>
      <c r="Y8" s="3586" t="s">
        <v>482</v>
      </c>
      <c r="Z8" s="3587"/>
      <c r="AA8" s="996" t="e">
        <f t="shared" ref="AA8:AA34" si="3">D8/F8</f>
        <v>#DIV/0!</v>
      </c>
      <c r="AB8" s="996" t="e">
        <f t="shared" ref="AB8:AB34" si="4">D8/H8</f>
        <v>#DIV/0!</v>
      </c>
      <c r="AC8" s="996" t="e">
        <f t="shared" ref="AC8:AC34" si="5">D8/J8</f>
        <v>#DIV/0!</v>
      </c>
    </row>
    <row r="9" spans="1:29" s="1059"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4" t="s">
        <v>484</v>
      </c>
      <c r="Q9" s="818" t="str">
        <f t="shared" ref="Q9:Q14" si="6">B9</f>
        <v>用途</v>
      </c>
      <c r="R9" s="1303" t="s">
        <v>5</v>
      </c>
      <c r="S9" s="1304">
        <f t="shared" si="0"/>
        <v>100</v>
      </c>
      <c r="T9" s="1303" t="s">
        <v>5</v>
      </c>
      <c r="U9" s="1304">
        <f t="shared" si="1"/>
        <v>100</v>
      </c>
      <c r="V9" s="1303" t="s">
        <v>5</v>
      </c>
      <c r="W9" s="1304">
        <f t="shared" si="2"/>
        <v>100</v>
      </c>
      <c r="X9" s="1305"/>
      <c r="Y9" s="3546"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94"/>
      <c r="Q11" s="818">
        <f t="shared" si="6"/>
        <v>111</v>
      </c>
      <c r="R11" s="1303" t="s">
        <v>5</v>
      </c>
      <c r="S11" s="1304">
        <f t="shared" si="0"/>
        <v>100</v>
      </c>
      <c r="T11" s="1303" t="s">
        <v>5</v>
      </c>
      <c r="U11" s="1304">
        <f t="shared" si="1"/>
        <v>100</v>
      </c>
      <c r="V11" s="1303" t="s">
        <v>5</v>
      </c>
      <c r="W11" s="1304">
        <f t="shared" si="2"/>
        <v>100</v>
      </c>
      <c r="X11" s="1305"/>
      <c r="Y11" s="3546"/>
      <c r="Z11" s="996">
        <f t="shared" si="7"/>
        <v>111</v>
      </c>
      <c r="AA11" s="996">
        <f t="shared" si="3"/>
        <v>1</v>
      </c>
      <c r="AB11" s="996">
        <f t="shared" si="4"/>
        <v>1</v>
      </c>
      <c r="AC11" s="996">
        <f t="shared" si="5"/>
        <v>1</v>
      </c>
    </row>
    <row r="12" spans="1:29" s="1059"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94"/>
      <c r="Q12" s="818">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94"/>
      <c r="Q13" s="818">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14">
      <c r="A14" s="2207" t="s">
        <v>2036</v>
      </c>
      <c r="B14" s="150" t="s">
        <v>492</v>
      </c>
      <c r="C14" s="842" t="str">
        <f>IF(B1="工业",估价对象房地状况!G4,估价对象房地状况!C6)</f>
        <v>估价对象周边道路状况一般、公共交通通达情况较差，有5、122路经过、停车便捷程度，综合评价交通便捷度一般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596" t="s">
        <v>489</v>
      </c>
      <c r="Q14" s="1306" t="str">
        <f t="shared" si="6"/>
        <v>交通便捷度</v>
      </c>
      <c r="R14" s="1307" t="s">
        <v>5</v>
      </c>
      <c r="S14" s="1308">
        <f t="shared" si="0"/>
        <v>100</v>
      </c>
      <c r="T14" s="1307" t="s">
        <v>5</v>
      </c>
      <c r="U14" s="1308">
        <f t="shared" si="1"/>
        <v>100</v>
      </c>
      <c r="V14" s="1307" t="s">
        <v>5</v>
      </c>
      <c r="W14" s="1308">
        <f t="shared" si="2"/>
        <v>100</v>
      </c>
      <c r="X14" s="1302"/>
      <c r="Y14" s="3596"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597"/>
      <c r="Q15" s="1306"/>
      <c r="R15" s="1307"/>
      <c r="S15" s="1308"/>
      <c r="T15" s="1307"/>
      <c r="U15" s="1308"/>
      <c r="V15" s="1307"/>
      <c r="W15" s="1308"/>
      <c r="X15" s="1302"/>
      <c r="Y15" s="3597"/>
      <c r="Z15" s="1309"/>
      <c r="AA15" s="1309">
        <v>1</v>
      </c>
      <c r="AB15" s="1309">
        <v>1</v>
      </c>
      <c r="AC15" s="1309">
        <v>1</v>
      </c>
    </row>
    <row r="16" spans="1:29" ht="42.75">
      <c r="A16" s="482"/>
      <c r="B16" s="2062" t="s">
        <v>1829</v>
      </c>
      <c r="C16" s="801" t="str">
        <f>IF(B1="工业",估价对象房地状况!G5,估价对象房地状况!C7)</f>
        <v>估价对象所在区域公共配套设施齐备情况较差</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597"/>
      <c r="Q16" s="1306" t="str">
        <f>B16</f>
        <v>公共配套设施</v>
      </c>
      <c r="R16" s="1307" t="s">
        <v>5</v>
      </c>
      <c r="S16" s="1308">
        <f>F16</f>
        <v>100</v>
      </c>
      <c r="T16" s="1307" t="s">
        <v>5</v>
      </c>
      <c r="U16" s="1308">
        <f>H16</f>
        <v>100</v>
      </c>
      <c r="V16" s="1307" t="s">
        <v>5</v>
      </c>
      <c r="W16" s="1308">
        <f>J16</f>
        <v>100</v>
      </c>
      <c r="X16" s="1302"/>
      <c r="Y16" s="3597"/>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597"/>
      <c r="Q17" s="1306"/>
      <c r="R17" s="1307"/>
      <c r="S17" s="1308"/>
      <c r="T17" s="1307"/>
      <c r="U17" s="1308"/>
      <c r="V17" s="1307"/>
      <c r="W17" s="1308"/>
      <c r="X17" s="1302"/>
      <c r="Y17" s="3597"/>
      <c r="Z17" s="1309"/>
      <c r="AA17" s="1309">
        <v>1</v>
      </c>
      <c r="AB17" s="1309">
        <v>1</v>
      </c>
      <c r="AC17" s="1309">
        <v>1</v>
      </c>
    </row>
    <row r="18" spans="1:29" ht="15">
      <c r="A18" s="482"/>
      <c r="B18" s="2050" t="s">
        <v>1841</v>
      </c>
      <c r="C18" s="801" t="str">
        <f>IF(B1="工业",估价对象房地状况!G6,估价对象房地状况!C8)</f>
        <v>六通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597"/>
      <c r="Q18" s="1306" t="str">
        <f>B18</f>
        <v>基础设施水平</v>
      </c>
      <c r="R18" s="1307" t="s">
        <v>5</v>
      </c>
      <c r="S18" s="1308">
        <f>F18</f>
        <v>100</v>
      </c>
      <c r="T18" s="1307" t="s">
        <v>5</v>
      </c>
      <c r="U18" s="1308">
        <f>H18</f>
        <v>100</v>
      </c>
      <c r="V18" s="1307" t="s">
        <v>5</v>
      </c>
      <c r="W18" s="1308">
        <f>J18</f>
        <v>100</v>
      </c>
      <c r="X18" s="1302"/>
      <c r="Y18" s="3597"/>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597"/>
      <c r="Q19" s="1306"/>
      <c r="R19" s="1307"/>
      <c r="S19" s="1308"/>
      <c r="T19" s="1307"/>
      <c r="U19" s="1308"/>
      <c r="V19" s="1307"/>
      <c r="W19" s="1308"/>
      <c r="X19" s="1302"/>
      <c r="Y19" s="3597"/>
      <c r="Z19" s="1309"/>
      <c r="AA19" s="1309">
        <v>1</v>
      </c>
      <c r="AB19" s="1309">
        <v>1</v>
      </c>
      <c r="AC19" s="1309">
        <v>1</v>
      </c>
    </row>
    <row r="20" spans="1:29" ht="57">
      <c r="A20" s="482"/>
      <c r="B20" s="677" t="s">
        <v>744</v>
      </c>
      <c r="C20" s="801" t="str">
        <f>IF(B1="工业",估价对象房地状况!G7,估价对象房地状况!C9)</f>
        <v>区域自然环境：；人文环境；综合评价环境状况较好</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597"/>
      <c r="Q20" s="1306" t="str">
        <f>B20</f>
        <v>自然及人文环境</v>
      </c>
      <c r="R20" s="1307" t="s">
        <v>5</v>
      </c>
      <c r="S20" s="1308">
        <f>F20</f>
        <v>100</v>
      </c>
      <c r="T20" s="1307" t="s">
        <v>5</v>
      </c>
      <c r="U20" s="1308">
        <f>H20</f>
        <v>100</v>
      </c>
      <c r="V20" s="1307" t="s">
        <v>5</v>
      </c>
      <c r="W20" s="1308">
        <f>J20</f>
        <v>100</v>
      </c>
      <c r="X20" s="1302"/>
      <c r="Y20" s="3597"/>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597"/>
      <c r="Q21" s="1306"/>
      <c r="R21" s="1307"/>
      <c r="S21" s="1308"/>
      <c r="T21" s="1307"/>
      <c r="U21" s="1308"/>
      <c r="V21" s="1307"/>
      <c r="W21" s="1308"/>
      <c r="X21" s="1302"/>
      <c r="Y21" s="3597"/>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597"/>
      <c r="Q22" s="1306" t="str">
        <f>B22</f>
        <v>楼层</v>
      </c>
      <c r="R22" s="1307" t="s">
        <v>5</v>
      </c>
      <c r="S22" s="1308">
        <f>F22</f>
        <v>100</v>
      </c>
      <c r="T22" s="1307" t="s">
        <v>5</v>
      </c>
      <c r="U22" s="1308">
        <f>H22</f>
        <v>100</v>
      </c>
      <c r="V22" s="1307" t="s">
        <v>5</v>
      </c>
      <c r="W22" s="1308">
        <f>J22</f>
        <v>100</v>
      </c>
      <c r="X22" s="1302"/>
      <c r="Y22" s="3597"/>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597"/>
      <c r="Q23" s="1306">
        <f>B23</f>
        <v>111</v>
      </c>
      <c r="R23" s="1307" t="s">
        <v>5</v>
      </c>
      <c r="S23" s="1308">
        <f>F23</f>
        <v>100</v>
      </c>
      <c r="T23" s="1307" t="s">
        <v>5</v>
      </c>
      <c r="U23" s="1308">
        <f>H23</f>
        <v>100</v>
      </c>
      <c r="V23" s="1307" t="s">
        <v>5</v>
      </c>
      <c r="W23" s="1308">
        <f>J23</f>
        <v>100</v>
      </c>
      <c r="X23" s="1302"/>
      <c r="Y23" s="3597"/>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597"/>
      <c r="Q24" s="1306">
        <f t="shared" ref="Q24:Q34" si="8">B24</f>
        <v>111</v>
      </c>
      <c r="R24" s="1307" t="s">
        <v>5</v>
      </c>
      <c r="S24" s="1308">
        <f>F24</f>
        <v>100</v>
      </c>
      <c r="T24" s="1307" t="s">
        <v>5</v>
      </c>
      <c r="U24" s="1308">
        <f>H24</f>
        <v>100</v>
      </c>
      <c r="V24" s="1307" t="s">
        <v>5</v>
      </c>
      <c r="W24" s="1308">
        <f>J24</f>
        <v>100</v>
      </c>
      <c r="X24" s="1302"/>
      <c r="Y24" s="3597"/>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597"/>
      <c r="Q25" s="818">
        <f t="shared" si="8"/>
        <v>111</v>
      </c>
      <c r="R25" s="1303" t="s">
        <v>5</v>
      </c>
      <c r="S25" s="1304">
        <f>F25</f>
        <v>100</v>
      </c>
      <c r="T25" s="1303" t="s">
        <v>5</v>
      </c>
      <c r="U25" s="1304">
        <f>H25</f>
        <v>100</v>
      </c>
      <c r="V25" s="1303" t="s">
        <v>5</v>
      </c>
      <c r="W25" s="1304">
        <f>J25</f>
        <v>100</v>
      </c>
      <c r="X25" s="1305"/>
      <c r="Y25" s="3597"/>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598"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599" t="s">
        <v>761</v>
      </c>
      <c r="Z26" s="1309" t="str">
        <f t="shared" ref="Z26:Z34" si="12">Q26</f>
        <v>公共部分装修</v>
      </c>
      <c r="AA26" s="1309">
        <f t="shared" si="3"/>
        <v>1</v>
      </c>
      <c r="AB26" s="1309">
        <f t="shared" si="4"/>
        <v>1</v>
      </c>
      <c r="AC26" s="1309">
        <f t="shared" si="5"/>
        <v>1</v>
      </c>
    </row>
    <row r="27" spans="1:29" s="1133"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599"/>
      <c r="Q27" s="819" t="str">
        <f t="shared" si="8"/>
        <v>成新率</v>
      </c>
      <c r="R27" s="1310" t="s">
        <v>5</v>
      </c>
      <c r="S27" s="1311" t="e">
        <f t="shared" si="9"/>
        <v>#N/A</v>
      </c>
      <c r="T27" s="1310" t="s">
        <v>5</v>
      </c>
      <c r="U27" s="1311" t="e">
        <f t="shared" si="10"/>
        <v>#N/A</v>
      </c>
      <c r="V27" s="1310" t="s">
        <v>5</v>
      </c>
      <c r="W27" s="1311" t="e">
        <f t="shared" si="11"/>
        <v>#N/A</v>
      </c>
      <c r="X27" s="1312"/>
      <c r="Y27" s="3599"/>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599"/>
      <c r="Q28" s="1306" t="str">
        <f t="shared" si="8"/>
        <v>物业等级</v>
      </c>
      <c r="R28" s="1307" t="s">
        <v>5</v>
      </c>
      <c r="S28" s="1308">
        <f t="shared" si="9"/>
        <v>100</v>
      </c>
      <c r="T28" s="1307" t="s">
        <v>5</v>
      </c>
      <c r="U28" s="1308">
        <f t="shared" si="10"/>
        <v>100</v>
      </c>
      <c r="V28" s="1307" t="s">
        <v>5</v>
      </c>
      <c r="W28" s="1308">
        <f t="shared" si="11"/>
        <v>100</v>
      </c>
      <c r="X28" s="1302"/>
      <c r="Y28" s="3599"/>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599"/>
      <c r="Q29" s="1306" t="str">
        <f t="shared" si="8"/>
        <v>有无电梯</v>
      </c>
      <c r="R29" s="1307" t="s">
        <v>5</v>
      </c>
      <c r="S29" s="1308">
        <f t="shared" si="9"/>
        <v>100</v>
      </c>
      <c r="T29" s="1307" t="s">
        <v>5</v>
      </c>
      <c r="U29" s="1308">
        <f t="shared" si="10"/>
        <v>100</v>
      </c>
      <c r="V29" s="1307" t="s">
        <v>5</v>
      </c>
      <c r="W29" s="1308">
        <f t="shared" si="11"/>
        <v>100</v>
      </c>
      <c r="X29" s="1302"/>
      <c r="Y29" s="3599"/>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599"/>
      <c r="Q30" s="1306" t="str">
        <f t="shared" si="8"/>
        <v>建筑面积</v>
      </c>
      <c r="R30" s="1307" t="s">
        <v>5</v>
      </c>
      <c r="S30" s="1308" t="e">
        <f t="shared" si="9"/>
        <v>#N/A</v>
      </c>
      <c r="T30" s="1307" t="s">
        <v>5</v>
      </c>
      <c r="U30" s="1308" t="e">
        <f t="shared" si="10"/>
        <v>#N/A</v>
      </c>
      <c r="V30" s="1307" t="s">
        <v>5</v>
      </c>
      <c r="W30" s="1308" t="e">
        <f t="shared" si="11"/>
        <v>#N/A</v>
      </c>
      <c r="X30" s="1302"/>
      <c r="Y30" s="3599"/>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599"/>
      <c r="Q31" s="818" t="str">
        <f t="shared" si="8"/>
        <v>是否封闭</v>
      </c>
      <c r="R31" s="1303" t="s">
        <v>5</v>
      </c>
      <c r="S31" s="1304">
        <f t="shared" si="9"/>
        <v>100</v>
      </c>
      <c r="T31" s="1303" t="s">
        <v>5</v>
      </c>
      <c r="U31" s="1304">
        <f t="shared" si="10"/>
        <v>100</v>
      </c>
      <c r="V31" s="1303" t="s">
        <v>5</v>
      </c>
      <c r="W31" s="1304">
        <f t="shared" si="11"/>
        <v>100</v>
      </c>
      <c r="X31" s="1305"/>
      <c r="Y31" s="3599"/>
      <c r="Z31" s="996" t="str">
        <f t="shared" si="12"/>
        <v>是否封闭</v>
      </c>
      <c r="AA31" s="996">
        <f t="shared" si="3"/>
        <v>1</v>
      </c>
      <c r="AB31" s="996">
        <f t="shared" si="4"/>
        <v>1</v>
      </c>
      <c r="AC31" s="996">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599" t="s">
        <v>499</v>
      </c>
      <c r="Q32" s="1306">
        <f t="shared" si="8"/>
        <v>111</v>
      </c>
      <c r="R32" s="1307" t="s">
        <v>5</v>
      </c>
      <c r="S32" s="1308">
        <f t="shared" si="9"/>
        <v>100</v>
      </c>
      <c r="T32" s="1307" t="s">
        <v>5</v>
      </c>
      <c r="U32" s="1308">
        <f t="shared" si="10"/>
        <v>100</v>
      </c>
      <c r="V32" s="1307" t="s">
        <v>5</v>
      </c>
      <c r="W32" s="1308">
        <f t="shared" si="11"/>
        <v>100</v>
      </c>
      <c r="X32" s="1302"/>
      <c r="Y32" s="3599"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599"/>
      <c r="Q33" s="1306">
        <f t="shared" si="8"/>
        <v>111</v>
      </c>
      <c r="R33" s="1307" t="s">
        <v>5</v>
      </c>
      <c r="S33" s="1308">
        <f t="shared" si="9"/>
        <v>100</v>
      </c>
      <c r="T33" s="1307" t="s">
        <v>5</v>
      </c>
      <c r="U33" s="1308">
        <f t="shared" si="10"/>
        <v>100</v>
      </c>
      <c r="V33" s="1307" t="s">
        <v>5</v>
      </c>
      <c r="W33" s="1308">
        <f t="shared" si="11"/>
        <v>100</v>
      </c>
      <c r="X33" s="1302"/>
      <c r="Y33" s="3599"/>
      <c r="Z33" s="1309">
        <f t="shared" si="12"/>
        <v>111</v>
      </c>
      <c r="AA33" s="1309">
        <f t="shared" si="3"/>
        <v>1</v>
      </c>
      <c r="AB33" s="1309">
        <f t="shared" si="4"/>
        <v>1</v>
      </c>
      <c r="AC33" s="1309">
        <f t="shared" si="5"/>
        <v>1</v>
      </c>
    </row>
    <row r="34" spans="1:29" ht="15.75" thickBot="1">
      <c r="A34" s="811"/>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599"/>
      <c r="Q34" s="1306">
        <f t="shared" si="8"/>
        <v>111</v>
      </c>
      <c r="R34" s="1307" t="s">
        <v>5</v>
      </c>
      <c r="S34" s="1308">
        <f t="shared" si="9"/>
        <v>100</v>
      </c>
      <c r="T34" s="1307" t="s">
        <v>5</v>
      </c>
      <c r="U34" s="1308">
        <f t="shared" si="10"/>
        <v>100</v>
      </c>
      <c r="V34" s="1307" t="s">
        <v>5</v>
      </c>
      <c r="W34" s="1308">
        <f t="shared" si="11"/>
        <v>100</v>
      </c>
      <c r="X34" s="1302"/>
      <c r="Y34" s="3599"/>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594" t="str">
        <f>A35</f>
        <v>成交单价（元/平方米）</v>
      </c>
      <c r="Q35" s="3594"/>
      <c r="R35" s="3610">
        <f>E35</f>
        <v>0</v>
      </c>
      <c r="S35" s="3610"/>
      <c r="T35" s="3610">
        <f>G35</f>
        <v>0</v>
      </c>
      <c r="U35" s="3610"/>
      <c r="V35" s="3610">
        <f>I35</f>
        <v>0</v>
      </c>
      <c r="W35" s="3610"/>
      <c r="X35" s="799"/>
      <c r="Y35" s="1314"/>
      <c r="Z35" s="799"/>
      <c r="AA35" s="799"/>
      <c r="AB35" s="799"/>
      <c r="AC35" s="799"/>
    </row>
    <row r="36" spans="1:29" ht="15.75" thickBot="1">
      <c r="A36" s="564" t="s">
        <v>2042</v>
      </c>
      <c r="B36" s="813"/>
      <c r="C36" s="2082" t="e">
        <f>R37</f>
        <v>#DIV/0!</v>
      </c>
      <c r="D36" s="2550" t="s">
        <v>2257</v>
      </c>
      <c r="E36" s="2083" t="e">
        <f>R36</f>
        <v>#DIV/0!</v>
      </c>
      <c r="F36" s="2551"/>
      <c r="G36" s="2082" t="e">
        <f>T36</f>
        <v>#DIV/0!</v>
      </c>
      <c r="H36" s="2551"/>
      <c r="I36" s="2083" t="e">
        <f>V36</f>
        <v>#DIV/0!</v>
      </c>
      <c r="J36" s="2551"/>
      <c r="K36" s="2558">
        <f>F36+H36+J36</f>
        <v>0</v>
      </c>
      <c r="L36" s="1751"/>
      <c r="M36" s="1742"/>
      <c r="N36" s="1742"/>
      <c r="O36" s="1742"/>
      <c r="P36" s="3594" t="str">
        <f>A36</f>
        <v>比较价格（元/平方米）</v>
      </c>
      <c r="Q36" s="3594"/>
      <c r="R36" s="3610" t="e">
        <f>IF(F1="售价",ROUND(PRODUCT(R35,AA7:AA34),0),ROUND(PRODUCT(R35,AA7:AA34),1))</f>
        <v>#DIV/0!</v>
      </c>
      <c r="S36" s="3610"/>
      <c r="T36" s="3610" t="e">
        <f>IF(F1="售价",ROUND(PRODUCT(T35,AB7:AB34),0),ROUND(PRODUCT(T35,AB7:AB34),1))</f>
        <v>#DIV/0!</v>
      </c>
      <c r="U36" s="3610"/>
      <c r="V36" s="3610" t="e">
        <f>IF(F1="售价",ROUND(PRODUCT(V35,AC7:AC34),0),ROUND(PRODUCT(V35,AC7:AC34),1))</f>
        <v>#DIV/0!</v>
      </c>
      <c r="W36" s="3610"/>
      <c r="X36" s="799"/>
      <c r="Y36" s="799"/>
      <c r="Z36" s="799"/>
      <c r="AA36" s="799"/>
      <c r="AB36" s="799"/>
      <c r="AC36" s="799"/>
    </row>
    <row r="37" spans="1:29" ht="15.75" thickBot="1">
      <c r="A37" s="568" t="s">
        <v>2193</v>
      </c>
      <c r="B37" s="569"/>
      <c r="C37" s="469" t="e">
        <f>R37</f>
        <v>#DIV/0!</v>
      </c>
      <c r="D37" s="469"/>
      <c r="E37" s="469"/>
      <c r="F37" s="469"/>
      <c r="G37" s="469"/>
      <c r="H37" s="469"/>
      <c r="I37" s="469"/>
      <c r="J37" s="469"/>
      <c r="K37" s="1336"/>
      <c r="L37" s="1751"/>
      <c r="M37" s="1742"/>
      <c r="N37" s="1742"/>
      <c r="O37" s="1742"/>
      <c r="P37" s="3600" t="str">
        <f>A37</f>
        <v>估价对象XX用房的比较价格（楼面单价，元/平方米）</v>
      </c>
      <c r="Q37" s="3601"/>
      <c r="R37" s="3709" t="e">
        <f>IF(F1="售价",ROUND(IF(D36="简单平均",AVERAGE(R36:W36),R36*F36+T36*H36+V36*J36),0),ROUND(IF(D36="简单平均",AVERAGE(R36:V36),R36*F36+T36*H36+V36*J36),1))</f>
        <v>#DIV/0!</v>
      </c>
      <c r="S37" s="3709"/>
      <c r="T37" s="3709"/>
      <c r="U37" s="3709"/>
      <c r="V37" s="3709"/>
      <c r="W37" s="3709"/>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2023-5</v>
      </c>
      <c r="D46" s="2115">
        <f>EDATE(C46,-1)</f>
        <v>45017</v>
      </c>
      <c r="E46" s="2115">
        <f t="shared" ref="E46:O46" si="13">EDATE(D46,-1)</f>
        <v>44986</v>
      </c>
      <c r="F46" s="2115">
        <f t="shared" si="13"/>
        <v>44958</v>
      </c>
      <c r="G46" s="2115">
        <f t="shared" si="13"/>
        <v>44927</v>
      </c>
      <c r="H46" s="2115">
        <f t="shared" si="13"/>
        <v>44896</v>
      </c>
      <c r="I46" s="2115">
        <f t="shared" si="13"/>
        <v>44866</v>
      </c>
      <c r="J46" s="2115">
        <f t="shared" si="13"/>
        <v>44835</v>
      </c>
      <c r="K46" s="2115">
        <f t="shared" si="13"/>
        <v>44805</v>
      </c>
      <c r="L46" s="2115">
        <f t="shared" si="13"/>
        <v>44774</v>
      </c>
      <c r="M46" s="2115">
        <f t="shared" si="13"/>
        <v>44743</v>
      </c>
      <c r="N46" s="2115">
        <f t="shared" si="13"/>
        <v>44713</v>
      </c>
      <c r="O46" s="2115">
        <f t="shared" si="13"/>
        <v>44682</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20" t="s">
        <v>1661</v>
      </c>
      <c r="D1" s="3721"/>
      <c r="E1" s="3721"/>
      <c r="F1" s="3721"/>
      <c r="G1" s="3721"/>
      <c r="H1" s="3721"/>
      <c r="I1" s="3721"/>
      <c r="J1" s="3721"/>
      <c r="K1" s="3721"/>
      <c r="L1" s="3721"/>
      <c r="M1" s="3721"/>
      <c r="N1" s="3721"/>
      <c r="O1" s="3721"/>
      <c r="P1" s="3721"/>
      <c r="Q1" s="3721"/>
      <c r="R1" s="3721"/>
      <c r="S1" s="3722"/>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2186</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2185</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2184</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2197</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2183</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2182</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17" t="s">
        <v>14</v>
      </c>
      <c r="D22" s="3718"/>
      <c r="E22" s="3718"/>
      <c r="F22" s="3718"/>
      <c r="G22" s="3718"/>
      <c r="H22" s="3718"/>
      <c r="I22" s="3718"/>
      <c r="J22" s="3718"/>
      <c r="K22" s="3718"/>
      <c r="L22" s="3718"/>
      <c r="M22" s="3718"/>
      <c r="N22" s="3718"/>
      <c r="O22" s="3718"/>
      <c r="P22" s="3718"/>
      <c r="Q22" s="3719"/>
      <c r="R22" s="49" t="e">
        <f>ROUND(S22*10000/B22,0)</f>
        <v>#DIV/0!</v>
      </c>
      <c r="S22" s="49">
        <f>SUM(S24:S10000)</f>
        <v>0</v>
      </c>
    </row>
    <row r="23" spans="1:45" s="1337" customFormat="1" ht="24">
      <c r="A23" s="14" t="s">
        <v>770</v>
      </c>
      <c r="B23" s="2419" t="s">
        <v>2205</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45057</v>
      </c>
      <c r="H1" s="2234">
        <f>IF(C1&gt;C13,0,MATCH(C1,C$13:C$109,-1))+IF(SUMIF(C13:C109,C1,D13:D109)=0,13,12)</f>
        <v>13</v>
      </c>
      <c r="I1" s="2234">
        <f ca="1">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3</v>
      </c>
      <c r="D2" s="2291" t="s">
        <v>2066</v>
      </c>
      <c r="E2" s="2294">
        <f ca="1">INDIRECT("I"&amp;$I$1)/100</f>
        <v>3.6499999999999998E-2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3.65</v>
      </c>
      <c r="J3" s="2240">
        <f ca="1">INDIRECT("d"&amp;$H$1)</f>
        <v>3.65</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3.65</v>
      </c>
      <c r="J4" s="2246">
        <f ca="1">INDIRECT("e"&amp;$H$1)</f>
        <v>3.65</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3.65</v>
      </c>
      <c r="J5" s="2246">
        <f ca="1">INDIRECT("f"&amp;$H$1)</f>
        <v>3.65</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3.65</v>
      </c>
      <c r="J6" s="2246">
        <f ca="1">INDIRECT("g"&amp;$H$1)</f>
        <v>3.65</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4.3</v>
      </c>
      <c r="J7" s="2251">
        <f ca="1">INDIRECT("h"&amp;$H$1)</f>
        <v>4.3</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44795</v>
      </c>
      <c r="D13" s="2280">
        <v>3.65</v>
      </c>
      <c r="E13" s="2280">
        <f>D13</f>
        <v>3.65</v>
      </c>
      <c r="F13" s="2280">
        <f>D13</f>
        <v>3.65</v>
      </c>
      <c r="G13" s="2280">
        <f>D13</f>
        <v>3.65</v>
      </c>
      <c r="H13" s="2280">
        <v>4.3</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44701</v>
      </c>
      <c r="D14" s="2284">
        <v>3.7</v>
      </c>
      <c r="E14" s="2284">
        <f>D14</f>
        <v>3.7</v>
      </c>
      <c r="F14" s="2284">
        <f>D14</f>
        <v>3.7</v>
      </c>
      <c r="G14" s="2284">
        <f>D14</f>
        <v>3.7</v>
      </c>
      <c r="H14" s="2284">
        <v>4.45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44581</v>
      </c>
      <c r="D15" s="2284">
        <v>3.7</v>
      </c>
      <c r="E15" s="2284">
        <f>D15</f>
        <v>3.7</v>
      </c>
      <c r="F15" s="2284">
        <f>D15</f>
        <v>3.7</v>
      </c>
      <c r="G15" s="2284">
        <f>D15</f>
        <v>3.7</v>
      </c>
      <c r="H15" s="2284">
        <v>4.5999999999999996</v>
      </c>
      <c r="I15" s="2280"/>
      <c r="J15" s="2280"/>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44550</v>
      </c>
      <c r="D16" s="2284">
        <v>3.8</v>
      </c>
      <c r="E16" s="2284">
        <f>D16</f>
        <v>3.8</v>
      </c>
      <c r="F16" s="2284">
        <f>D16</f>
        <v>3.8</v>
      </c>
      <c r="G16" s="2284">
        <f>D16</f>
        <v>3.8</v>
      </c>
      <c r="H16" s="2284">
        <v>4.6500000000000004</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84"/>
      <c r="C17" s="2285">
        <v>43941</v>
      </c>
      <c r="D17" s="2284">
        <v>3.85</v>
      </c>
      <c r="E17" s="2284">
        <v>3.85</v>
      </c>
      <c r="F17" s="2284">
        <v>3.85</v>
      </c>
      <c r="G17" s="2284">
        <v>3.85</v>
      </c>
      <c r="H17" s="2284">
        <v>4.6500000000000004</v>
      </c>
      <c r="I17" s="2284"/>
      <c r="J17" s="2284"/>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84"/>
      <c r="C18" s="2285">
        <v>43881</v>
      </c>
      <c r="D18" s="2284">
        <v>4.05</v>
      </c>
      <c r="E18" s="2284">
        <v>4.05</v>
      </c>
      <c r="F18" s="2284">
        <v>4.05</v>
      </c>
      <c r="G18" s="2284">
        <v>4.05</v>
      </c>
      <c r="H18" s="2284">
        <v>4.75</v>
      </c>
      <c r="I18" s="2284"/>
      <c r="J18" s="2284"/>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84"/>
      <c r="C19" s="2285">
        <v>43789</v>
      </c>
      <c r="D19" s="2284">
        <v>4.1500000000000004</v>
      </c>
      <c r="E19" s="2284">
        <v>4.1500000000000004</v>
      </c>
      <c r="F19" s="2284">
        <v>4.1500000000000004</v>
      </c>
      <c r="G19" s="2284">
        <v>4.1500000000000004</v>
      </c>
      <c r="H19" s="2284">
        <v>4.8</v>
      </c>
      <c r="I19" s="2284"/>
      <c r="J19" s="2284"/>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84"/>
      <c r="C20" s="2285">
        <v>43728</v>
      </c>
      <c r="D20" s="2284">
        <v>4.2</v>
      </c>
      <c r="E20" s="2284">
        <v>4.2</v>
      </c>
      <c r="F20" s="2284">
        <v>4.2</v>
      </c>
      <c r="G20" s="2284">
        <v>4.2</v>
      </c>
      <c r="H20" s="2284">
        <v>4.8499999999999996</v>
      </c>
      <c r="I20" s="2284"/>
      <c r="J20" s="2284"/>
      <c r="K20" s="2266"/>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t="s">
        <v>2285</v>
      </c>
      <c r="C21" s="2286">
        <v>43697</v>
      </c>
      <c r="D21" s="2778">
        <v>4.25</v>
      </c>
      <c r="E21" s="2778">
        <v>4.25</v>
      </c>
      <c r="F21" s="2778">
        <v>4.25</v>
      </c>
      <c r="G21" s="2778">
        <v>4.25</v>
      </c>
      <c r="H21" s="2778">
        <v>4.8499999999999996</v>
      </c>
      <c r="I21" s="2778"/>
      <c r="J21" s="2778"/>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781"/>
      <c r="B22" s="2782"/>
      <c r="C22" s="2783">
        <v>42301</v>
      </c>
      <c r="D22" s="2784">
        <v>4.3499999999999996</v>
      </c>
      <c r="E22" s="2784">
        <v>4.3499999999999996</v>
      </c>
      <c r="F22" s="2784">
        <v>4.75</v>
      </c>
      <c r="G22" s="2784">
        <v>4.75</v>
      </c>
      <c r="H22" s="2784">
        <v>4.9000000000000004</v>
      </c>
      <c r="I22" s="2784"/>
      <c r="J22" s="27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c r="B23" s="2284"/>
      <c r="C23" s="2285">
        <v>42242</v>
      </c>
      <c r="D23" s="2284">
        <v>4.5999999999999996</v>
      </c>
      <c r="E23" s="2284">
        <v>4.5999999999999996</v>
      </c>
      <c r="F23" s="2284">
        <v>5</v>
      </c>
      <c r="G23" s="2284">
        <v>5</v>
      </c>
      <c r="H23" s="2284">
        <v>5.15</v>
      </c>
      <c r="I23" s="2284">
        <v>2.75</v>
      </c>
      <c r="J23" s="2284">
        <v>3.25</v>
      </c>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42183</v>
      </c>
      <c r="D24" s="2284">
        <v>4.8499999999999996</v>
      </c>
      <c r="E24" s="2284">
        <v>4.8499999999999996</v>
      </c>
      <c r="F24" s="2284">
        <v>5.25</v>
      </c>
      <c r="G24" s="2284">
        <v>5.25</v>
      </c>
      <c r="H24" s="2284">
        <v>5.4</v>
      </c>
      <c r="I24" s="2284">
        <v>3</v>
      </c>
      <c r="J24" s="2284">
        <v>3.5</v>
      </c>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42135</v>
      </c>
      <c r="D25" s="2284">
        <v>5.0999999999999996</v>
      </c>
      <c r="E25" s="2284">
        <v>5.0999999999999996</v>
      </c>
      <c r="F25" s="2284">
        <v>5.5</v>
      </c>
      <c r="G25" s="2284">
        <v>5.5</v>
      </c>
      <c r="H25" s="2284">
        <v>5.65</v>
      </c>
      <c r="I25" s="2284">
        <v>3.25</v>
      </c>
      <c r="J25" s="2284">
        <v>3.75</v>
      </c>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42064</v>
      </c>
      <c r="D26" s="2284">
        <v>5.35</v>
      </c>
      <c r="E26" s="2284">
        <v>5.35</v>
      </c>
      <c r="F26" s="2284">
        <v>5.75</v>
      </c>
      <c r="G26" s="2284">
        <v>5.75</v>
      </c>
      <c r="H26" s="2284">
        <v>5.9</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c r="B27" s="2284"/>
      <c r="C27" s="2285">
        <v>41965</v>
      </c>
      <c r="D27" s="2284">
        <v>5.6</v>
      </c>
      <c r="E27" s="2284">
        <v>5.6</v>
      </c>
      <c r="F27" s="2284">
        <v>6</v>
      </c>
      <c r="G27" s="2284">
        <v>6</v>
      </c>
      <c r="H27" s="2284">
        <v>6.15</v>
      </c>
      <c r="I27" s="2284"/>
      <c r="J27" s="2284"/>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41096</v>
      </c>
      <c r="D28" s="2284">
        <v>5.6</v>
      </c>
      <c r="E28" s="2284">
        <v>6</v>
      </c>
      <c r="F28" s="2284">
        <v>6.15</v>
      </c>
      <c r="G28" s="2284">
        <v>6.4</v>
      </c>
      <c r="H28" s="2284">
        <v>6.55</v>
      </c>
      <c r="I28" s="2284">
        <v>4</v>
      </c>
      <c r="J28" s="2284">
        <v>4.5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41068</v>
      </c>
      <c r="D29" s="2284">
        <v>5.85</v>
      </c>
      <c r="E29" s="2284">
        <v>6.31</v>
      </c>
      <c r="F29" s="2284">
        <v>6.4</v>
      </c>
      <c r="G29" s="2284">
        <v>6.65</v>
      </c>
      <c r="H29" s="2284">
        <v>6.8</v>
      </c>
      <c r="I29" s="2284">
        <v>4.2</v>
      </c>
      <c r="J29" s="2284">
        <v>4.7</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40731</v>
      </c>
      <c r="D30" s="2284">
        <v>6.1</v>
      </c>
      <c r="E30" s="2284">
        <v>6.56</v>
      </c>
      <c r="F30" s="2284">
        <v>6.65</v>
      </c>
      <c r="G30" s="2284">
        <v>6.9</v>
      </c>
      <c r="H30" s="2284">
        <v>7.05</v>
      </c>
      <c r="I30" s="2284">
        <v>4.45</v>
      </c>
      <c r="J30" s="2284">
        <v>4.9000000000000004</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40639</v>
      </c>
      <c r="D31" s="2284">
        <v>5.85</v>
      </c>
      <c r="E31" s="2284">
        <v>6.31</v>
      </c>
      <c r="F31" s="2284">
        <v>6.4</v>
      </c>
      <c r="G31" s="2284">
        <v>6.65</v>
      </c>
      <c r="H31" s="2284">
        <v>6.8</v>
      </c>
      <c r="I31" s="2284">
        <v>4.2</v>
      </c>
      <c r="J31" s="2284">
        <v>4.7</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40583</v>
      </c>
      <c r="D32" s="2284">
        <v>5.6</v>
      </c>
      <c r="E32" s="2284">
        <v>6.06</v>
      </c>
      <c r="F32" s="2284">
        <v>6.1</v>
      </c>
      <c r="G32" s="2284">
        <v>6.45</v>
      </c>
      <c r="H32" s="2284">
        <v>6.6</v>
      </c>
      <c r="I32" s="2284">
        <v>4</v>
      </c>
      <c r="J32" s="2284">
        <v>4.5</v>
      </c>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40538</v>
      </c>
      <c r="D33" s="2284">
        <v>5.35</v>
      </c>
      <c r="E33" s="2284">
        <v>5.81</v>
      </c>
      <c r="F33" s="2284">
        <v>5.85</v>
      </c>
      <c r="G33" s="2284">
        <v>6.22</v>
      </c>
      <c r="H33" s="2284">
        <v>6.4</v>
      </c>
      <c r="I33" s="2284">
        <v>3.75</v>
      </c>
      <c r="J33" s="2284">
        <v>4.3</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40471</v>
      </c>
      <c r="D34" s="2284">
        <v>5.0999999999999996</v>
      </c>
      <c r="E34" s="2284">
        <v>5.56</v>
      </c>
      <c r="F34" s="2284">
        <v>5.6</v>
      </c>
      <c r="G34" s="2284">
        <v>5.96</v>
      </c>
      <c r="H34" s="2284">
        <v>6.14</v>
      </c>
      <c r="I34" s="2284">
        <v>3.5</v>
      </c>
      <c r="J34" s="2284">
        <v>4.05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39805</v>
      </c>
      <c r="D35" s="2284">
        <v>4.8600000000000003</v>
      </c>
      <c r="E35" s="2284">
        <v>5.31</v>
      </c>
      <c r="F35" s="2284">
        <v>5.4</v>
      </c>
      <c r="G35" s="2284">
        <v>5.76</v>
      </c>
      <c r="H35" s="2284">
        <v>5.94</v>
      </c>
      <c r="I35" s="2284">
        <v>3.33</v>
      </c>
      <c r="J35" s="2284">
        <v>3.87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39779</v>
      </c>
      <c r="D36" s="2284">
        <v>5.04</v>
      </c>
      <c r="E36" s="2284">
        <v>5.58</v>
      </c>
      <c r="F36" s="2284">
        <v>5.67</v>
      </c>
      <c r="G36" s="2284">
        <v>5.94</v>
      </c>
      <c r="H36" s="2284">
        <v>6.12</v>
      </c>
      <c r="I36" s="2284">
        <v>3.51</v>
      </c>
      <c r="J36" s="2284">
        <v>4.05</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39751</v>
      </c>
      <c r="D37" s="2284">
        <v>6.03</v>
      </c>
      <c r="E37" s="2284">
        <v>6.66</v>
      </c>
      <c r="F37" s="2284">
        <v>6.75</v>
      </c>
      <c r="G37" s="2284">
        <v>7.02</v>
      </c>
      <c r="H37" s="2284">
        <v>7.2</v>
      </c>
      <c r="I37" s="2284">
        <v>4.05</v>
      </c>
      <c r="J37" s="2284">
        <v>4.59</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6">
        <v>39748</v>
      </c>
      <c r="D38" s="2284">
        <v>6.12</v>
      </c>
      <c r="E38" s="2284">
        <v>6.93</v>
      </c>
      <c r="F38" s="2284">
        <v>7.02</v>
      </c>
      <c r="G38" s="2284">
        <v>7.29</v>
      </c>
      <c r="H38" s="2284">
        <v>7.47</v>
      </c>
      <c r="I38" s="2284">
        <v>4.05</v>
      </c>
      <c r="J38" s="2284">
        <v>4.59</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39730</v>
      </c>
      <c r="D39" s="2284">
        <v>6.12</v>
      </c>
      <c r="E39" s="2284">
        <v>6.93</v>
      </c>
      <c r="F39" s="2284">
        <v>7.02</v>
      </c>
      <c r="G39" s="2284">
        <v>7.29</v>
      </c>
      <c r="H39" s="2284">
        <v>7.47</v>
      </c>
      <c r="I39" s="2284">
        <v>4.32</v>
      </c>
      <c r="J39" s="2284">
        <v>4.8600000000000003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39707</v>
      </c>
      <c r="D40" s="2284">
        <v>6.21</v>
      </c>
      <c r="E40" s="2284">
        <v>7.2</v>
      </c>
      <c r="F40" s="2284">
        <v>7.29</v>
      </c>
      <c r="G40" s="2284">
        <v>7.56</v>
      </c>
      <c r="H40" s="2284">
        <v>7.74</v>
      </c>
      <c r="I40" s="2284">
        <v>4.59</v>
      </c>
      <c r="J40" s="2284">
        <v>5.13</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39437</v>
      </c>
      <c r="D41" s="2284">
        <v>6.57</v>
      </c>
      <c r="E41" s="2284">
        <v>7.47</v>
      </c>
      <c r="F41" s="2284">
        <v>7.56</v>
      </c>
      <c r="G41" s="2284">
        <v>7.74</v>
      </c>
      <c r="H41" s="2284">
        <v>7.83</v>
      </c>
      <c r="I41" s="2284">
        <v>4.7699999999999996</v>
      </c>
      <c r="J41" s="2284">
        <v>5.22</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39340</v>
      </c>
      <c r="D42" s="2284">
        <v>6.48</v>
      </c>
      <c r="E42" s="2284">
        <v>7.29</v>
      </c>
      <c r="F42" s="2284">
        <v>7.47</v>
      </c>
      <c r="G42" s="2284">
        <v>7.65</v>
      </c>
      <c r="H42" s="2284">
        <v>7.83</v>
      </c>
      <c r="I42" s="2284">
        <v>4.7699999999999996</v>
      </c>
      <c r="J42" s="2284">
        <v>5.22</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39316</v>
      </c>
      <c r="D43" s="2284">
        <v>6.21</v>
      </c>
      <c r="E43" s="2284">
        <v>7.02</v>
      </c>
      <c r="F43" s="2284">
        <v>7.2</v>
      </c>
      <c r="G43" s="2284">
        <v>7.38</v>
      </c>
      <c r="H43" s="2284">
        <v>7.56</v>
      </c>
      <c r="I43" s="2284">
        <v>4.59</v>
      </c>
      <c r="J43" s="2284">
        <v>5.04</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39284</v>
      </c>
      <c r="D44" s="2284">
        <v>6.03</v>
      </c>
      <c r="E44" s="2284">
        <v>6.84</v>
      </c>
      <c r="F44" s="2284">
        <v>7.02</v>
      </c>
      <c r="G44" s="2284">
        <v>7.2</v>
      </c>
      <c r="H44" s="2284">
        <v>7.38</v>
      </c>
      <c r="I44" s="2284">
        <v>4.5</v>
      </c>
      <c r="J44" s="2284">
        <v>4.95</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39221</v>
      </c>
      <c r="D45" s="2284">
        <v>5.85</v>
      </c>
      <c r="E45" s="2284">
        <v>6.57</v>
      </c>
      <c r="F45" s="2284">
        <v>6.75</v>
      </c>
      <c r="G45" s="2284">
        <v>6.93</v>
      </c>
      <c r="H45" s="2284">
        <v>7.2</v>
      </c>
      <c r="I45" s="2284">
        <v>4.41</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39159</v>
      </c>
      <c r="D46" s="2284">
        <v>5.67</v>
      </c>
      <c r="E46" s="2284">
        <v>6.39</v>
      </c>
      <c r="F46" s="2284">
        <v>6.57</v>
      </c>
      <c r="G46" s="2284">
        <v>6.75</v>
      </c>
      <c r="H46" s="2284">
        <v>7.11</v>
      </c>
      <c r="I46" s="2284">
        <v>4.32</v>
      </c>
      <c r="J46" s="2284">
        <v>4.7699999999999996</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38948</v>
      </c>
      <c r="D47" s="2284">
        <v>5.58</v>
      </c>
      <c r="E47" s="2284">
        <v>6.12</v>
      </c>
      <c r="F47" s="2284">
        <v>6.3</v>
      </c>
      <c r="G47" s="2284">
        <v>6.48</v>
      </c>
      <c r="H47" s="2284">
        <v>6.84</v>
      </c>
      <c r="I47" s="2284">
        <v>4.1399999999999997</v>
      </c>
      <c r="J47" s="2284">
        <v>4.59</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38835</v>
      </c>
      <c r="D48" s="2284">
        <v>5.4</v>
      </c>
      <c r="E48" s="2284">
        <v>5.85</v>
      </c>
      <c r="F48" s="2284">
        <v>6.03</v>
      </c>
      <c r="G48" s="2284">
        <v>6.12</v>
      </c>
      <c r="H48" s="2284">
        <v>6.39</v>
      </c>
      <c r="I48" s="2284">
        <v>4.1399999999999997</v>
      </c>
      <c r="J48" s="2284">
        <v>4.59</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38428</v>
      </c>
      <c r="D49" s="2284">
        <v>5.22</v>
      </c>
      <c r="E49" s="2284">
        <v>5.58</v>
      </c>
      <c r="F49" s="2284">
        <v>5.76</v>
      </c>
      <c r="G49" s="2284">
        <v>5.85</v>
      </c>
      <c r="H49" s="2284">
        <v>6.12</v>
      </c>
      <c r="I49" s="2284">
        <v>3.96</v>
      </c>
      <c r="J49" s="2284">
        <v>4.41</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38289</v>
      </c>
      <c r="D50" s="2284">
        <v>5.22</v>
      </c>
      <c r="E50" s="2284">
        <v>5.58</v>
      </c>
      <c r="F50" s="2284">
        <v>5.76</v>
      </c>
      <c r="G50" s="2284">
        <v>5.85</v>
      </c>
      <c r="H50" s="2284">
        <v>6.12</v>
      </c>
      <c r="I50" s="2284">
        <v>3.78</v>
      </c>
      <c r="J50" s="2284">
        <v>4.2300000000000004</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37308</v>
      </c>
      <c r="D51" s="2284">
        <v>5.04</v>
      </c>
      <c r="E51" s="2284">
        <v>5.31</v>
      </c>
      <c r="F51" s="2284">
        <v>5.49</v>
      </c>
      <c r="G51" s="2284">
        <v>5.58</v>
      </c>
      <c r="H51" s="2284">
        <v>5.76</v>
      </c>
      <c r="I51" s="2284">
        <v>3.6</v>
      </c>
      <c r="J51" s="2284">
        <v>4.05</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36321</v>
      </c>
      <c r="D52" s="2284">
        <v>5.58</v>
      </c>
      <c r="E52" s="2284">
        <v>5.85</v>
      </c>
      <c r="F52" s="2284">
        <v>5.94</v>
      </c>
      <c r="G52" s="2284">
        <v>6.03</v>
      </c>
      <c r="H52" s="2284">
        <v>6.21</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36136</v>
      </c>
      <c r="D53" s="2284">
        <v>6.12</v>
      </c>
      <c r="E53" s="2284">
        <v>6.39</v>
      </c>
      <c r="F53" s="2284">
        <v>6.66</v>
      </c>
      <c r="G53" s="2284">
        <v>7.2</v>
      </c>
      <c r="H53" s="2284">
        <v>7.56</v>
      </c>
      <c r="I53" s="2284">
        <v>0</v>
      </c>
      <c r="J53" s="2284">
        <v>0</v>
      </c>
      <c r="L53" s="2284"/>
      <c r="M53" s="2285"/>
      <c r="N53" s="2284"/>
      <c r="O53" s="2284"/>
      <c r="P53" s="2284"/>
      <c r="Q53" s="2284"/>
      <c r="R53" s="2284"/>
      <c r="S53" s="2284"/>
      <c r="T53" s="2284"/>
      <c r="U53" s="2284"/>
      <c r="V53" s="2284"/>
      <c r="W53" s="2284"/>
      <c r="X53" s="2284"/>
      <c r="Y53" s="2284"/>
      <c r="Z53" s="2284"/>
    </row>
    <row r="54" spans="2:26">
      <c r="B54" s="2284"/>
      <c r="C54" s="2285">
        <v>35977</v>
      </c>
      <c r="D54" s="2284">
        <v>6.57</v>
      </c>
      <c r="E54" s="2284">
        <v>6.93</v>
      </c>
      <c r="F54" s="2284">
        <v>7.11</v>
      </c>
      <c r="G54" s="2284">
        <v>7.65</v>
      </c>
      <c r="H54" s="2284">
        <v>8.01</v>
      </c>
      <c r="I54" s="2284">
        <v>0</v>
      </c>
      <c r="J54" s="2284">
        <v>0</v>
      </c>
      <c r="L54" s="2284"/>
      <c r="M54" s="2285"/>
      <c r="N54" s="2284"/>
      <c r="O54" s="2284"/>
      <c r="P54" s="2284"/>
      <c r="Q54" s="2284"/>
      <c r="R54" s="2284"/>
      <c r="S54" s="2284"/>
      <c r="T54" s="2284"/>
      <c r="U54" s="2284"/>
      <c r="V54" s="2284"/>
      <c r="W54" s="2284"/>
      <c r="X54" s="2284"/>
      <c r="Y54" s="2284"/>
      <c r="Z54" s="2284"/>
    </row>
    <row r="55" spans="2:26">
      <c r="B55" s="2284"/>
      <c r="C55" s="2285">
        <v>35879</v>
      </c>
      <c r="D55" s="2284">
        <v>7.02</v>
      </c>
      <c r="E55" s="2284">
        <v>7.92</v>
      </c>
      <c r="F55" s="2284">
        <v>9</v>
      </c>
      <c r="G55" s="2284">
        <v>9.7200000000000006</v>
      </c>
      <c r="H55" s="2284">
        <v>10.35</v>
      </c>
      <c r="I55" s="2284">
        <v>0</v>
      </c>
      <c r="J55" s="2284">
        <v>0</v>
      </c>
      <c r="L55" s="2284"/>
      <c r="M55" s="2285"/>
      <c r="N55" s="2284"/>
      <c r="O55" s="2284"/>
      <c r="P55" s="2284"/>
      <c r="Q55" s="2284"/>
      <c r="R55" s="2284"/>
      <c r="S55" s="2284"/>
      <c r="T55" s="2284"/>
      <c r="U55" s="2284"/>
      <c r="V55" s="2284"/>
      <c r="W55" s="2284"/>
      <c r="X55" s="2284"/>
      <c r="Y55" s="2284"/>
      <c r="Z55" s="2284"/>
    </row>
    <row r="56" spans="2:26">
      <c r="B56" s="2284"/>
      <c r="C56" s="2285">
        <v>35726</v>
      </c>
      <c r="D56" s="2284">
        <v>7.65</v>
      </c>
      <c r="E56" s="2284">
        <v>8.64</v>
      </c>
      <c r="F56" s="2284">
        <v>9.36</v>
      </c>
      <c r="G56" s="2284">
        <v>9.9</v>
      </c>
      <c r="H56" s="2284">
        <v>10.53</v>
      </c>
      <c r="I56" s="2284">
        <v>0</v>
      </c>
      <c r="J56" s="2284">
        <v>0</v>
      </c>
      <c r="L56" s="2284"/>
      <c r="M56" s="2285"/>
      <c r="N56" s="2284"/>
      <c r="O56" s="2284"/>
      <c r="P56" s="2284"/>
      <c r="Q56" s="2284"/>
      <c r="R56" s="2284"/>
      <c r="S56" s="2284"/>
      <c r="T56" s="2284"/>
      <c r="U56" s="2284"/>
      <c r="V56" s="2284"/>
      <c r="W56" s="2284"/>
      <c r="X56" s="2284"/>
      <c r="Y56" s="2284"/>
      <c r="Z56" s="2284"/>
    </row>
    <row r="57" spans="2:26">
      <c r="B57" s="2284"/>
      <c r="C57" s="2285">
        <v>35300</v>
      </c>
      <c r="D57" s="2284">
        <v>9.18</v>
      </c>
      <c r="E57" s="2284">
        <v>10.08</v>
      </c>
      <c r="F57" s="2284">
        <v>10.98</v>
      </c>
      <c r="G57" s="2284">
        <v>11.7</v>
      </c>
      <c r="H57" s="2284">
        <v>12.42</v>
      </c>
      <c r="I57" s="2284">
        <v>0</v>
      </c>
      <c r="J57" s="2284">
        <v>0</v>
      </c>
      <c r="L57" s="2284"/>
      <c r="M57" s="2285"/>
      <c r="N57" s="2284"/>
      <c r="O57" s="2284"/>
      <c r="P57" s="2284"/>
      <c r="Q57" s="2284"/>
      <c r="R57" s="2284"/>
      <c r="S57" s="2284"/>
      <c r="T57" s="2284"/>
      <c r="U57" s="2284"/>
      <c r="V57" s="2284"/>
      <c r="W57" s="2284"/>
      <c r="X57" s="2284"/>
      <c r="Y57" s="2284"/>
      <c r="Z57" s="2284"/>
    </row>
    <row r="58" spans="2:26">
      <c r="B58" s="2284"/>
      <c r="C58" s="2285">
        <v>35186</v>
      </c>
      <c r="D58" s="2284">
        <v>9.7200000000000006</v>
      </c>
      <c r="E58" s="2284">
        <v>10.98</v>
      </c>
      <c r="F58" s="2284">
        <v>13.14</v>
      </c>
      <c r="G58" s="2284">
        <v>14.94</v>
      </c>
      <c r="H58" s="2284">
        <v>15.12</v>
      </c>
      <c r="I58" s="2284">
        <v>0</v>
      </c>
      <c r="J58" s="2284">
        <v>0</v>
      </c>
    </row>
    <row r="59" spans="2:26">
      <c r="B59" s="2284"/>
      <c r="C59" s="2285">
        <v>34881</v>
      </c>
      <c r="D59" s="2284">
        <v>10.08</v>
      </c>
      <c r="E59" s="2284">
        <v>12.06</v>
      </c>
      <c r="F59" s="2284">
        <v>13.5</v>
      </c>
      <c r="G59" s="2284">
        <v>15.12</v>
      </c>
      <c r="H59" s="2284">
        <v>15.3</v>
      </c>
      <c r="I59" s="2284">
        <v>0</v>
      </c>
      <c r="J59" s="2284">
        <v>0</v>
      </c>
    </row>
    <row r="60" spans="2:26">
      <c r="B60" s="2284"/>
      <c r="C60" s="2285">
        <v>34700</v>
      </c>
      <c r="D60" s="2284">
        <v>9</v>
      </c>
      <c r="E60" s="2284">
        <v>10.98</v>
      </c>
      <c r="F60" s="2284">
        <v>12.96</v>
      </c>
      <c r="G60" s="2284">
        <v>14.58</v>
      </c>
      <c r="H60" s="2284">
        <v>14.76</v>
      </c>
      <c r="I60" s="2284">
        <v>0</v>
      </c>
      <c r="J60" s="2284">
        <v>0</v>
      </c>
    </row>
    <row r="61" spans="2:26">
      <c r="B61" s="2284"/>
      <c r="C61" s="2285">
        <v>34161</v>
      </c>
      <c r="D61" s="2284">
        <v>9</v>
      </c>
      <c r="E61" s="2284">
        <v>10.98</v>
      </c>
      <c r="F61" s="2284">
        <v>12.24</v>
      </c>
      <c r="G61" s="2284">
        <v>13.86</v>
      </c>
      <c r="H61" s="2284">
        <v>14.04</v>
      </c>
      <c r="I61" s="2284">
        <v>0</v>
      </c>
      <c r="J61" s="2284">
        <v>0</v>
      </c>
    </row>
    <row r="62" spans="2:26">
      <c r="B62" s="2284"/>
      <c r="C62" s="2285">
        <v>34104</v>
      </c>
      <c r="D62" s="2284">
        <v>8.82</v>
      </c>
      <c r="E62" s="2284">
        <v>9.36</v>
      </c>
      <c r="F62" s="2284">
        <v>10.8</v>
      </c>
      <c r="G62" s="2284">
        <v>12.06</v>
      </c>
      <c r="H62" s="2284">
        <v>12.24</v>
      </c>
      <c r="I62" s="2284">
        <v>0</v>
      </c>
      <c r="J62" s="2284">
        <v>0</v>
      </c>
    </row>
    <row r="63" spans="2:26">
      <c r="B63" s="2284"/>
      <c r="C63" s="2285">
        <v>33349</v>
      </c>
      <c r="D63" s="2284">
        <v>8.1</v>
      </c>
      <c r="E63" s="2284">
        <v>8.64</v>
      </c>
      <c r="F63" s="2284">
        <v>9</v>
      </c>
      <c r="G63" s="2284">
        <v>9.5399999999999991</v>
      </c>
      <c r="H63" s="2284">
        <v>9.7200000000000006</v>
      </c>
      <c r="I63" s="2284">
        <v>0</v>
      </c>
      <c r="J63" s="2284">
        <v>0</v>
      </c>
    </row>
    <row r="64" spans="2:26">
      <c r="B64" s="2284"/>
      <c r="C64" s="2285">
        <v>33318</v>
      </c>
      <c r="D64" s="2284">
        <v>9</v>
      </c>
      <c r="E64" s="2284">
        <v>10.08</v>
      </c>
      <c r="F64" s="2284">
        <v>10.8</v>
      </c>
      <c r="G64" s="2284">
        <v>11.52</v>
      </c>
      <c r="H64" s="2284">
        <v>11.88</v>
      </c>
      <c r="I64" s="2284" t="s">
        <v>2095</v>
      </c>
      <c r="J64" s="2284" t="s">
        <v>2095</v>
      </c>
    </row>
    <row r="65" spans="2:10">
      <c r="B65" s="2284"/>
      <c r="C65" s="2285">
        <v>33106</v>
      </c>
      <c r="D65" s="2284">
        <v>8.64</v>
      </c>
      <c r="E65" s="2284">
        <v>9.36</v>
      </c>
      <c r="F65" s="2284">
        <v>10.08</v>
      </c>
      <c r="G65" s="2284">
        <v>10.8</v>
      </c>
      <c r="H65" s="2284">
        <v>11.16</v>
      </c>
      <c r="I65" s="2284">
        <v>0</v>
      </c>
      <c r="J65" s="2284">
        <v>0</v>
      </c>
    </row>
    <row r="66" spans="2:10">
      <c r="B66" s="2284"/>
      <c r="C66" s="2285">
        <v>32540</v>
      </c>
      <c r="D66" s="2284">
        <v>11.34</v>
      </c>
      <c r="E66" s="2284">
        <v>11.34</v>
      </c>
      <c r="F66" s="2284">
        <v>12.78</v>
      </c>
      <c r="G66" s="2284">
        <v>14.4</v>
      </c>
      <c r="H66" s="2284">
        <v>19.260000000000002</v>
      </c>
      <c r="I66" s="2284">
        <v>0</v>
      </c>
      <c r="J66" s="2284">
        <v>0</v>
      </c>
    </row>
    <row r="67" spans="2:10">
      <c r="B67" s="2284"/>
      <c r="C67" s="2285"/>
      <c r="D67" s="2284"/>
      <c r="E67" s="2284"/>
      <c r="F67" s="2284"/>
      <c r="G67" s="2284"/>
      <c r="H67" s="2284"/>
      <c r="I67" s="2284"/>
      <c r="J67" s="2284"/>
    </row>
    <row r="68" spans="2:10">
      <c r="B68" s="2287"/>
      <c r="C68" s="2288"/>
      <c r="D68" s="2287"/>
      <c r="E68" s="2287"/>
      <c r="F68" s="2287"/>
      <c r="G68" s="2287"/>
      <c r="H68" s="2287"/>
      <c r="I68" s="2287"/>
      <c r="J68" s="2287"/>
    </row>
    <row r="69" spans="2:10">
      <c r="B69" s="2287"/>
      <c r="C69" s="2288"/>
      <c r="D69" s="2287"/>
      <c r="E69" s="2287"/>
      <c r="F69" s="2287"/>
      <c r="G69" s="2287"/>
      <c r="H69" s="2287"/>
      <c r="I69" s="2287"/>
      <c r="J69" s="2287"/>
    </row>
    <row r="70" spans="2:10">
      <c r="B70" s="2287"/>
      <c r="C70" s="2288"/>
      <c r="D70" s="2287"/>
      <c r="E70" s="2287"/>
      <c r="F70" s="2287"/>
      <c r="G70" s="2287"/>
      <c r="H70" s="2287"/>
      <c r="I70" s="2287"/>
      <c r="J70" s="2287"/>
    </row>
    <row r="71" spans="2:10">
      <c r="B71" s="2237"/>
      <c r="C71" s="2237"/>
      <c r="D71" s="2237"/>
      <c r="E71" s="2237"/>
      <c r="F71" s="2237"/>
      <c r="G71" s="2237"/>
      <c r="H71" s="2237"/>
      <c r="I71" s="2237"/>
      <c r="J71" s="2237"/>
    </row>
    <row r="72" spans="2:10">
      <c r="B72" s="2237"/>
      <c r="C72" s="2237"/>
      <c r="D72" s="2237"/>
      <c r="E72" s="2237"/>
      <c r="F72" s="2237"/>
      <c r="G72" s="2237"/>
      <c r="H72" s="2237"/>
      <c r="I72" s="2237"/>
      <c r="J72"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1" t="s">
        <v>1556</v>
      </c>
      <c r="B1" s="3411"/>
      <c r="C1" s="3411"/>
      <c r="D1" s="3411"/>
      <c r="E1" s="3411"/>
      <c r="F1" s="3411"/>
      <c r="G1" s="3411"/>
      <c r="H1" s="3411"/>
      <c r="I1" s="3411"/>
      <c r="J1" s="3411"/>
      <c r="K1" s="3411"/>
      <c r="L1" s="3411"/>
      <c r="M1" s="3411"/>
      <c r="N1" s="3411"/>
      <c r="O1" s="3411"/>
      <c r="P1" s="3411"/>
      <c r="Q1" s="3411"/>
      <c r="R1" s="3411"/>
    </row>
    <row r="2" spans="1:18">
      <c r="A2" s="1502" t="s">
        <v>1558</v>
      </c>
      <c r="B2" s="1502"/>
      <c r="C2" s="1502"/>
      <c r="D2" s="1502"/>
      <c r="E2" s="1502"/>
      <c r="F2" s="1502"/>
      <c r="G2" s="1502"/>
      <c r="H2" s="1502"/>
      <c r="I2" s="1503"/>
      <c r="J2" s="1503"/>
      <c r="K2" s="1504" t="str">
        <f>"估价期日："&amp;TEXT(项目基本情况!D3,"yyyy年m月d日;;")</f>
        <v>估价期日：2023年5月11日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2" t="s">
        <v>1547</v>
      </c>
      <c r="B3" s="3412" t="s">
        <v>2013</v>
      </c>
      <c r="C3" s="3413" t="s">
        <v>1548</v>
      </c>
      <c r="D3" s="3412" t="s">
        <v>2017</v>
      </c>
      <c r="E3" s="3414" t="s">
        <v>1549</v>
      </c>
      <c r="F3" s="3414"/>
      <c r="G3" s="3414"/>
      <c r="H3" s="3414" t="s">
        <v>1550</v>
      </c>
      <c r="I3" s="3414"/>
      <c r="J3" s="3414"/>
      <c r="K3" s="3413" t="s">
        <v>1551</v>
      </c>
      <c r="L3" s="3413" t="s">
        <v>1552</v>
      </c>
      <c r="M3" s="3412" t="s">
        <v>2014</v>
      </c>
      <c r="N3" s="3412" t="str">
        <f>"（分摊）"&amp;项目基本情况!A17&amp;"国有建设用地使用权面积/㎡"</f>
        <v>（分摊）出让国有建设用地使用权面积/㎡</v>
      </c>
      <c r="O3" s="3412" t="s">
        <v>1581</v>
      </c>
      <c r="P3" s="3413" t="s">
        <v>1561</v>
      </c>
      <c r="Q3" s="3413" t="s">
        <v>1582</v>
      </c>
      <c r="R3" s="3413" t="s">
        <v>1553</v>
      </c>
    </row>
    <row r="4" spans="1:18" ht="36.75" customHeight="1">
      <c r="A4" s="3412"/>
      <c r="B4" s="3412"/>
      <c r="C4" s="3413"/>
      <c r="D4" s="3412"/>
      <c r="E4" s="1505" t="s">
        <v>1560</v>
      </c>
      <c r="F4" s="1505" t="s">
        <v>2026</v>
      </c>
      <c r="G4" s="1505" t="s">
        <v>1554</v>
      </c>
      <c r="H4" s="1505" t="s">
        <v>1555</v>
      </c>
      <c r="I4" s="1505" t="s">
        <v>2027</v>
      </c>
      <c r="J4" s="1505" t="s">
        <v>1554</v>
      </c>
      <c r="K4" s="3413"/>
      <c r="L4" s="3413"/>
      <c r="M4" s="3412"/>
      <c r="N4" s="3412"/>
      <c r="O4" s="3412"/>
      <c r="P4" s="3413"/>
      <c r="Q4" s="3413"/>
      <c r="R4" s="3413"/>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86493.04</v>
      </c>
      <c r="O5" s="1505">
        <f>项目基本情况!C21</f>
        <v>302725.5</v>
      </c>
      <c r="P5" s="1505">
        <f ca="1">结果表!E42</f>
        <v>5560</v>
      </c>
      <c r="Q5" s="1505">
        <f ca="1">结果表!D42</f>
        <v>1589</v>
      </c>
      <c r="R5" s="1506">
        <f ca="1">结果表!C42</f>
        <v>48091</v>
      </c>
    </row>
    <row r="6" spans="1:18">
      <c r="A6" s="3415" t="str">
        <f>IF(项目基本情况!B9="市场价格","——","抵押价格")</f>
        <v>抵押价格</v>
      </c>
      <c r="B6" s="3416"/>
      <c r="C6" s="3416"/>
      <c r="D6" s="3416"/>
      <c r="E6" s="3416"/>
      <c r="F6" s="3416"/>
      <c r="G6" s="3416"/>
      <c r="H6" s="3416"/>
      <c r="I6" s="3416"/>
      <c r="J6" s="3416"/>
      <c r="K6" s="3416"/>
      <c r="L6" s="3416"/>
      <c r="M6" s="3416"/>
      <c r="N6" s="3416"/>
      <c r="O6" s="3416"/>
      <c r="P6" s="3416"/>
      <c r="Q6" s="3417"/>
      <c r="R6" s="1507">
        <f ca="1">结果表!O39</f>
        <v>48091</v>
      </c>
    </row>
    <row r="7" spans="1:18">
      <c r="A7" s="3415" t="str">
        <f>IF(项目基本情况!B9="市场价格","——",IF(项目基本情况!E8="已注销及未注销","抵押担保权已注销时的抵押价格","——"))</f>
        <v>——</v>
      </c>
      <c r="B7" s="3416"/>
      <c r="C7" s="3416"/>
      <c r="D7" s="3416"/>
      <c r="E7" s="3416"/>
      <c r="F7" s="3416"/>
      <c r="G7" s="3416"/>
      <c r="H7" s="3416"/>
      <c r="I7" s="3416"/>
      <c r="J7" s="3416"/>
      <c r="K7" s="3416"/>
      <c r="L7" s="3416"/>
      <c r="M7" s="3416"/>
      <c r="N7" s="3416"/>
      <c r="O7" s="3416"/>
      <c r="P7" s="3416"/>
      <c r="Q7" s="3417"/>
      <c r="R7" s="1507" t="str">
        <f>结果表!O40</f>
        <v>——</v>
      </c>
    </row>
    <row r="8" spans="1:18">
      <c r="A8" s="3415" t="str">
        <f>IF(项目基本情况!B9="市场价格","——",项目基本情况!E9)</f>
        <v>——</v>
      </c>
      <c r="B8" s="3416"/>
      <c r="C8" s="3416"/>
      <c r="D8" s="3416"/>
      <c r="E8" s="3416"/>
      <c r="F8" s="3416"/>
      <c r="G8" s="3416"/>
      <c r="H8" s="3416"/>
      <c r="I8" s="3416"/>
      <c r="J8" s="3416"/>
      <c r="K8" s="3416"/>
      <c r="L8" s="3416"/>
      <c r="M8" s="3416"/>
      <c r="N8" s="3416"/>
      <c r="O8" s="3416"/>
      <c r="P8" s="3416"/>
      <c r="Q8" s="3417"/>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18" t="s">
        <v>1583</v>
      </c>
      <c r="B1" s="3418"/>
      <c r="C1" s="3418"/>
      <c r="D1" s="3418"/>
    </row>
    <row r="2" spans="1:4" ht="47.25" customHeight="1">
      <c r="A2" s="3421" t="str">
        <f>"1.权利限制："&amp;项目基本情况!L24&amp;"未设定租赁等其他他项权利。"</f>
        <v>1.权利限制：根据估价对象《不动产权证书》原件、《国有土地使用权》复印件，截至估价期日，估价对象抵押权未见登记。未设定租赁等其他他项权利。</v>
      </c>
      <c r="B2" s="3421"/>
      <c r="C2" s="3421"/>
      <c r="D2" s="3421"/>
    </row>
    <row r="3" spans="1:4" ht="48" customHeight="1">
      <c r="A3" s="34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8"/>
      <c r="C3" s="3418"/>
      <c r="D3" s="3418"/>
    </row>
    <row r="4" spans="1:4" ht="36.75" customHeight="1">
      <c r="A4" s="3418" t="str">
        <f>"3.估价规划限制条件：详见"&amp;项目基本情况!E21&amp;"。"</f>
        <v>3.估价规划限制条件：详见《建设工程规划许可证》[]、《出让合同》[]。</v>
      </c>
      <c r="B4" s="3418"/>
      <c r="C4" s="3418"/>
      <c r="D4" s="3418"/>
    </row>
    <row r="5" spans="1:4">
      <c r="A5" s="3420" t="s">
        <v>1584</v>
      </c>
      <c r="B5" s="3420"/>
      <c r="C5" s="3420"/>
      <c r="D5" s="3420"/>
    </row>
    <row r="6" spans="1:4">
      <c r="A6" s="3418" t="s">
        <v>1562</v>
      </c>
      <c r="B6" s="3418"/>
      <c r="C6" s="3418"/>
      <c r="D6" s="3418"/>
    </row>
    <row r="7" spans="1:4" ht="33" customHeight="1">
      <c r="A7" s="3418" t="s">
        <v>1857</v>
      </c>
      <c r="B7" s="3418"/>
      <c r="C7" s="3418"/>
      <c r="D7" s="3418"/>
    </row>
    <row r="8" spans="1:4" ht="32.25" customHeight="1">
      <c r="A8" s="34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8"/>
      <c r="C8" s="3418"/>
      <c r="D8" s="3418"/>
    </row>
    <row r="9" spans="1:4" ht="33.75" customHeight="1">
      <c r="A9" s="34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8"/>
      <c r="C9" s="3418"/>
      <c r="D9" s="3418"/>
    </row>
    <row r="10" spans="1:4">
      <c r="A10" s="3418" t="str">
        <f>IF(项目基本情况!B8="抵押","4.估价师所知悉的法定优先受偿款情况为：","——")</f>
        <v>4.估价师所知悉的法定优先受偿款情况为：</v>
      </c>
      <c r="B10" s="3418"/>
      <c r="C10" s="3418"/>
      <c r="D10" s="3418"/>
    </row>
    <row r="11" spans="1:4" ht="37.5" customHeight="1">
      <c r="A11" s="34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8"/>
      <c r="C11" s="3418"/>
      <c r="D11" s="3418"/>
    </row>
    <row r="12" spans="1:4" ht="168" customHeight="1">
      <c r="A12" s="3420" t="s">
        <v>1586</v>
      </c>
      <c r="B12" s="3420"/>
      <c r="C12" s="3420"/>
      <c r="D12" s="3420"/>
    </row>
    <row r="13" spans="1:4">
      <c r="A13" s="3419" t="s">
        <v>2028</v>
      </c>
      <c r="B13" s="3419"/>
      <c r="C13" s="3419"/>
      <c r="D13" s="3419"/>
    </row>
    <row r="14" spans="1:4">
      <c r="A14" s="3418" t="str">
        <f>IF(项目基本情况!B8="抵押","综上，"&amp;结果表!K47,"——")</f>
        <v>综上，本次评估不存在估价师知悉的法定优先受偿款</v>
      </c>
      <c r="B14" s="3418"/>
      <c r="C14" s="3418"/>
      <c r="D14" s="3418"/>
    </row>
    <row r="15" spans="1:4" ht="58.5" customHeight="1">
      <c r="A15" s="34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8"/>
      <c r="C15" s="3418"/>
      <c r="D15" s="3418"/>
    </row>
    <row r="16" spans="1:4" ht="70.5" customHeight="1">
      <c r="A16" s="34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8"/>
      <c r="C16" s="3418"/>
      <c r="D16" s="3418"/>
    </row>
    <row r="17" spans="1:4">
      <c r="A17" s="3418" t="s">
        <v>1984</v>
      </c>
      <c r="B17" s="3418"/>
      <c r="C17" s="3418"/>
      <c r="D17" s="3418"/>
    </row>
    <row r="18" spans="1:4">
      <c r="A18" s="3418" t="s">
        <v>1976</v>
      </c>
      <c r="B18" s="3418"/>
      <c r="C18" s="3418"/>
      <c r="D18" s="3418"/>
    </row>
    <row r="19" spans="1:4">
      <c r="A19" s="2173" t="s">
        <v>1977</v>
      </c>
      <c r="B19" s="2173" t="s">
        <v>1978</v>
      </c>
      <c r="C19" s="2173" t="s">
        <v>1979</v>
      </c>
      <c r="D19" s="2173" t="s">
        <v>1980</v>
      </c>
    </row>
    <row r="20" spans="1:4">
      <c r="A20" s="2173" t="str">
        <f>项目基本情况!B4</f>
        <v>王鹏</v>
      </c>
      <c r="B20" s="2173">
        <f ca="1">项目基本情况!C4</f>
        <v>2002110030</v>
      </c>
      <c r="C20" s="2175"/>
      <c r="D20" s="1496" t="s">
        <v>1985</v>
      </c>
    </row>
    <row r="21" spans="1:4">
      <c r="A21" s="2173" t="str">
        <f>项目基本情况!D4</f>
        <v>郑燚</v>
      </c>
      <c r="B21" s="2173">
        <f ca="1">项目基本情况!E4</f>
        <v>2014110011</v>
      </c>
      <c r="C21" s="2175"/>
      <c r="D21" s="1496" t="s">
        <v>1986</v>
      </c>
    </row>
    <row r="23" spans="1:4">
      <c r="A23" s="3418" t="s">
        <v>1981</v>
      </c>
      <c r="B23" s="3418"/>
      <c r="C23" s="3418"/>
      <c r="D23" s="3418"/>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29" t="s">
        <v>27</v>
      </c>
      <c r="B15" s="3430" t="s">
        <v>784</v>
      </c>
      <c r="C15" s="3426"/>
    </row>
    <row r="16" spans="1:7" ht="14.25">
      <c r="A16" s="3429"/>
      <c r="B16" s="3427" t="s">
        <v>28</v>
      </c>
      <c r="C16" s="1016" t="s">
        <v>27</v>
      </c>
    </row>
    <row r="17" spans="1:3" ht="14.25">
      <c r="A17" s="3429"/>
      <c r="B17" s="3427"/>
      <c r="C17" s="1016" t="s">
        <v>29</v>
      </c>
    </row>
    <row r="18" spans="1:3" ht="14.25">
      <c r="A18" s="3429"/>
      <c r="B18" s="3427"/>
      <c r="C18" s="1016" t="s">
        <v>30</v>
      </c>
    </row>
    <row r="19" spans="1:3" ht="14.25">
      <c r="A19" s="3429"/>
      <c r="B19" s="3425" t="s">
        <v>31</v>
      </c>
      <c r="C19" s="3426"/>
    </row>
    <row r="20" spans="1:3" ht="14.25">
      <c r="A20" s="1017" t="s">
        <v>32</v>
      </c>
      <c r="B20" s="1018"/>
      <c r="C20" s="1019"/>
    </row>
    <row r="21" spans="1:3" ht="14.25">
      <c r="A21" s="3428" t="s">
        <v>33</v>
      </c>
      <c r="B21" s="3425" t="s">
        <v>34</v>
      </c>
      <c r="C21" s="3426"/>
    </row>
    <row r="22" spans="1:3" ht="14.25">
      <c r="A22" s="3428"/>
      <c r="B22" s="3425" t="s">
        <v>35</v>
      </c>
      <c r="C22" s="3426"/>
    </row>
    <row r="23" spans="1:3" ht="14.25">
      <c r="A23" s="3428"/>
      <c r="B23" s="3425" t="s">
        <v>36</v>
      </c>
      <c r="C23" s="3426"/>
    </row>
    <row r="24" spans="1:3" ht="14.25">
      <c r="A24" s="3428"/>
      <c r="B24" s="3431" t="s">
        <v>37</v>
      </c>
      <c r="C24" s="1020" t="s">
        <v>775</v>
      </c>
    </row>
    <row r="25" spans="1:3" ht="14.25">
      <c r="A25" s="3428"/>
      <c r="B25" s="3432"/>
      <c r="C25" s="1020" t="s">
        <v>776</v>
      </c>
    </row>
    <row r="26" spans="1:3" ht="14.25">
      <c r="A26" s="3428"/>
      <c r="B26" s="3432"/>
      <c r="C26" s="1020" t="s">
        <v>777</v>
      </c>
    </row>
    <row r="27" spans="1:3" ht="14.25">
      <c r="A27" s="3428"/>
      <c r="B27" s="3432"/>
      <c r="C27" s="1020" t="s">
        <v>778</v>
      </c>
    </row>
    <row r="28" spans="1:3" ht="14.25">
      <c r="A28" s="3428"/>
      <c r="B28" s="3432"/>
      <c r="C28" s="1020" t="s">
        <v>779</v>
      </c>
    </row>
    <row r="29" spans="1:3" ht="14.25">
      <c r="A29" s="3428"/>
      <c r="B29" s="3432"/>
      <c r="C29" s="1020" t="s">
        <v>780</v>
      </c>
    </row>
    <row r="30" spans="1:3" ht="14.25">
      <c r="A30" s="3428"/>
      <c r="B30" s="3432"/>
      <c r="C30" s="1020" t="s">
        <v>781</v>
      </c>
    </row>
    <row r="31" spans="1:3" ht="14.25">
      <c r="A31" s="3428"/>
      <c r="B31" s="3432"/>
      <c r="C31" s="1020" t="s">
        <v>782</v>
      </c>
    </row>
    <row r="32" spans="1:3" ht="14.25">
      <c r="A32" s="3428"/>
      <c r="B32" s="3432"/>
      <c r="C32" s="1020" t="s">
        <v>1181</v>
      </c>
    </row>
    <row r="33" spans="1:3" ht="14.25">
      <c r="A33" s="3428"/>
      <c r="B33" s="3422" t="s">
        <v>1187</v>
      </c>
      <c r="C33" s="1020" t="s">
        <v>1182</v>
      </c>
    </row>
    <row r="34" spans="1:3" ht="14.25">
      <c r="A34" s="3428"/>
      <c r="B34" s="3423"/>
      <c r="C34" s="1025" t="s">
        <v>1183</v>
      </c>
    </row>
    <row r="35" spans="1:3" ht="14.25">
      <c r="A35" s="3428"/>
      <c r="B35" s="3423"/>
      <c r="C35" s="1026" t="s">
        <v>1184</v>
      </c>
    </row>
    <row r="36" spans="1:3" ht="14.25">
      <c r="A36" s="3428"/>
      <c r="B36" s="3423"/>
      <c r="C36" s="1026" t="s">
        <v>1185</v>
      </c>
    </row>
    <row r="37" spans="1:3" ht="14.25">
      <c r="A37" s="3428"/>
      <c r="B37" s="3424"/>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45076</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f ca="1">IF(C6&lt;B2,"已过期",1120050019)</f>
        <v>1120050019</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f ca="1">IF(C9&lt;B2,"已过期",1120060040)</f>
        <v>1120060040</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2234</v>
      </c>
      <c r="B12" s="2565">
        <f ca="1">IF(C12&lt;B2,"已过期",1120040230)</f>
        <v>1120040230</v>
      </c>
      <c r="C12" s="2568">
        <v>45937</v>
      </c>
      <c r="D12" s="2574" t="s">
        <v>2235</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f ca="1">IF(C14&lt;B2,"已过期",1120020033)</f>
        <v>1120020033</v>
      </c>
      <c r="C14" s="2568">
        <v>45375</v>
      </c>
      <c r="D14" s="2574" t="s">
        <v>1447</v>
      </c>
      <c r="E14" s="2565">
        <f ca="1">IF(F14&lt;B2,"已过期",2000110137)</f>
        <v>2000110137</v>
      </c>
      <c r="F14" s="2567">
        <v>46387</v>
      </c>
      <c r="G14" s="2560"/>
    </row>
    <row r="15" spans="1:7" ht="20.25" customHeight="1">
      <c r="A15" s="2565" t="s">
        <v>2245</v>
      </c>
      <c r="B15" s="2565" t="str">
        <f ca="1">IF(C15&lt;B2,"已过期",1119980106)</f>
        <v>已过期</v>
      </c>
      <c r="C15" s="2568">
        <v>44969</v>
      </c>
      <c r="D15" s="2574"/>
      <c r="E15" s="2565"/>
      <c r="F15" s="2565"/>
      <c r="G15" s="2560"/>
    </row>
    <row r="16" spans="1:7" ht="20.25" customHeight="1">
      <c r="A16" s="2564" t="s">
        <v>2445</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36" t="s">
        <v>1448</v>
      </c>
      <c r="B18" s="3437"/>
      <c r="C18" s="3437"/>
      <c r="D18" s="3437"/>
      <c r="E18" s="3437"/>
      <c r="F18" s="3437"/>
      <c r="G18" s="2560"/>
    </row>
    <row r="19" spans="1:7" ht="20.25" customHeight="1">
      <c r="A19" s="3433" t="s">
        <v>1449</v>
      </c>
      <c r="B19" s="3433"/>
      <c r="C19" s="3434"/>
      <c r="D19" s="3435" t="s">
        <v>1450</v>
      </c>
      <c r="E19" s="3433"/>
      <c r="F19" s="3433"/>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2446</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2758</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2744</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2745</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2746</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2747</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2748</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2749</v>
      </c>
    </row>
    <row r="8" spans="1:23">
      <c r="A8" s="6" t="s">
        <v>75</v>
      </c>
      <c r="B8" s="6" t="s">
        <v>76</v>
      </c>
      <c r="C8" s="1294" t="s">
        <v>1244</v>
      </c>
      <c r="F8" s="7" t="s">
        <v>121</v>
      </c>
      <c r="H8" s="3083" t="s">
        <v>2743</v>
      </c>
      <c r="I8" s="7" t="s">
        <v>2750</v>
      </c>
    </row>
    <row r="9" spans="1:23">
      <c r="A9" s="6" t="s">
        <v>77</v>
      </c>
      <c r="B9" s="6" t="s">
        <v>122</v>
      </c>
      <c r="C9" s="1294" t="s">
        <v>1245</v>
      </c>
      <c r="F9" s="7" t="s">
        <v>78</v>
      </c>
      <c r="H9" s="7"/>
      <c r="I9" s="7" t="s">
        <v>2751</v>
      </c>
    </row>
    <row r="10" spans="1:23">
      <c r="A10" s="6" t="s">
        <v>79</v>
      </c>
      <c r="B10" s="6" t="s">
        <v>123</v>
      </c>
      <c r="C10" s="1294" t="s">
        <v>1246</v>
      </c>
      <c r="F10" s="3083" t="s">
        <v>2742</v>
      </c>
      <c r="I10" s="7" t="s">
        <v>2752</v>
      </c>
    </row>
    <row r="11" spans="1:23">
      <c r="A11" s="6" t="s">
        <v>80</v>
      </c>
      <c r="B11" s="6" t="s">
        <v>124</v>
      </c>
      <c r="C11" s="1294" t="s">
        <v>1247</v>
      </c>
      <c r="I11" s="7" t="s">
        <v>2753</v>
      </c>
    </row>
    <row r="12" spans="1:23">
      <c r="A12" s="6" t="s">
        <v>81</v>
      </c>
      <c r="B12" s="6" t="s">
        <v>125</v>
      </c>
      <c r="C12" s="1294" t="s">
        <v>1248</v>
      </c>
      <c r="I12" s="7" t="s">
        <v>2754</v>
      </c>
    </row>
    <row r="13" spans="1:23">
      <c r="A13" s="6" t="s">
        <v>82</v>
      </c>
      <c r="B13" s="6" t="s">
        <v>126</v>
      </c>
      <c r="C13" s="1294" t="s">
        <v>1249</v>
      </c>
      <c r="I13" s="7" t="s">
        <v>2755</v>
      </c>
    </row>
    <row r="14" spans="1:23">
      <c r="A14" s="6" t="s">
        <v>83</v>
      </c>
      <c r="B14" s="6" t="s">
        <v>127</v>
      </c>
      <c r="C14" s="1296" t="s">
        <v>1421</v>
      </c>
      <c r="I14" s="7" t="s">
        <v>2756</v>
      </c>
    </row>
    <row r="15" spans="1:23">
      <c r="A15" s="6" t="s">
        <v>84</v>
      </c>
      <c r="B15" s="6" t="s">
        <v>1214</v>
      </c>
      <c r="C15" s="1296"/>
      <c r="I15" s="7" t="s">
        <v>2757</v>
      </c>
    </row>
    <row r="16" spans="1:23">
      <c r="A16" s="6" t="s">
        <v>85</v>
      </c>
      <c r="B16" s="6" t="s">
        <v>1215</v>
      </c>
      <c r="C16" s="1296"/>
    </row>
    <row r="17" spans="1:3">
      <c r="A17" s="6" t="s">
        <v>86</v>
      </c>
      <c r="B17" s="6" t="s">
        <v>1216</v>
      </c>
      <c r="C17" s="1296"/>
    </row>
    <row r="18" spans="1:3">
      <c r="A18" s="6" t="s">
        <v>87</v>
      </c>
      <c r="B18" s="2357" t="s">
        <v>2211</v>
      </c>
      <c r="C18" s="1296"/>
    </row>
    <row r="19" spans="1:3">
      <c r="A19" s="6" t="s">
        <v>88</v>
      </c>
      <c r="B19" s="2357" t="s">
        <v>2218</v>
      </c>
      <c r="C19" s="1296"/>
    </row>
    <row r="20" spans="1:3">
      <c r="A20" s="6" t="s">
        <v>89</v>
      </c>
      <c r="B20" s="2357" t="s">
        <v>2258</v>
      </c>
      <c r="C20" s="1296"/>
    </row>
    <row r="21" spans="1:3">
      <c r="A21" s="6" t="s">
        <v>90</v>
      </c>
      <c r="B21" s="6" t="s">
        <v>2437</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38"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c r="D53" s="1469"/>
      <c r="E53" s="1469"/>
    </row>
    <row r="54" spans="1:5">
      <c r="A54" s="3438"/>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38"/>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38"/>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38"/>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2023-05-30T03:05:57Z</dcterms:modified>
</cp:coreProperties>
</file>